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.sharepoint.com/sites/Bedryfsbediening/Data/"/>
    </mc:Choice>
  </mc:AlternateContent>
  <xr:revisionPtr revIDLastSave="521" documentId="8_{ECAF83F4-A9F9-4067-A5FF-3FD81FA1FA70}" xr6:coauthVersionLast="47" xr6:coauthVersionMax="47" xr10:uidLastSave="{341919B2-4994-4FF2-A0CA-2EF69601B7FC}"/>
  <bookViews>
    <workbookView xWindow="28680" yWindow="-120" windowWidth="29040" windowHeight="15720" tabRatio="836" firstSheet="10" activeTab="16" xr2:uid="{00000000-000D-0000-FFFF-FFFF00000000}"/>
  </bookViews>
  <sheets>
    <sheet name="WM-producer deliveries  " sheetId="23" r:id="rId1"/>
    <sheet name="YM-producer deliveries " sheetId="20" r:id="rId2"/>
    <sheet name="Weeklikse wit- en geellewerings" sheetId="11" r:id="rId3"/>
    <sheet name="Weeklikse totale lewerings" sheetId="9" r:id="rId4"/>
    <sheet name="Lewerings tot datum " sheetId="13" state="hidden" r:id="rId5"/>
    <sheet name="Lewerings tot datum (WM)" sheetId="24" state="hidden" r:id="rId6"/>
    <sheet name="Lewerings tot datum (YM)" sheetId="25" state="hidden" r:id="rId7"/>
    <sheet name="Chart1" sheetId="27" state="hidden" r:id="rId8"/>
    <sheet name="Lewerings tot datum (TM)" sheetId="26" state="hidden" r:id="rId9"/>
    <sheet name="Weeklikse kumulatiewe lewerings" sheetId="15" r:id="rId10"/>
    <sheet name="Table-SAGIS deliver vs CEC est" sheetId="4" r:id="rId11"/>
    <sheet name="Mielies-Maize 2025" sheetId="1" r:id="rId12"/>
    <sheet name="Mielies-Maize 2026" sheetId="36" r:id="rId13"/>
    <sheet name="Summary -White maize" sheetId="16" r:id="rId14"/>
    <sheet name="White 2025 vs 2026" sheetId="37" r:id="rId15"/>
    <sheet name="Summary -Yellow maize" sheetId="17" r:id="rId16"/>
    <sheet name="Yellow 2025 vs 2026" sheetId="38" r:id="rId17"/>
    <sheet name="Summary -Total maize" sheetId="6" r:id="rId18"/>
    <sheet name="Maize Grading Information" sheetId="35" r:id="rId19"/>
    <sheet name="Summary- Producer deliveries" sheetId="21" r:id="rId20"/>
    <sheet name="Producer deliveries" sheetId="28" r:id="rId21"/>
    <sheet name="Lewerings tot datum (TM)1" sheetId="29" r:id="rId22"/>
  </sheets>
  <definedNames>
    <definedName name="_xlnm.Print_Area" localSheetId="11">'Mielies-Maize 2025'!#REF!</definedName>
    <definedName name="_xlnm.Print_Area" localSheetId="12">'Mielies-Maize 2026'!#REF!</definedName>
    <definedName name="_xlnm.Print_Area" localSheetId="19">'Summary- Producer deliveries'!$A$1:$I$24</definedName>
    <definedName name="_xlnm.Print_Area" localSheetId="17">'Summary -Total maize'!$B$2:$J$85</definedName>
    <definedName name="_xlnm.Print_Area" localSheetId="13">'Summary -White maize'!$B$2:$I$84</definedName>
    <definedName name="_xlnm.Print_Area" localSheetId="15">'Summary -Yellow maize'!$B$2:$J$85</definedName>
    <definedName name="_xlnm.Print_Area" localSheetId="10">'Table-SAGIS deliver vs CEC est'!$B$1:$F$22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E13" i="4"/>
  <c r="D13" i="4"/>
  <c r="D14" i="4"/>
  <c r="C13" i="4"/>
  <c r="C11" i="4"/>
  <c r="D16" i="4"/>
  <c r="C16" i="4"/>
  <c r="E15" i="4"/>
  <c r="E6" i="4"/>
  <c r="C6" i="4"/>
  <c r="D56" i="35"/>
  <c r="U75" i="17"/>
  <c r="AB20" i="17"/>
  <c r="AB21" i="17"/>
  <c r="U21" i="16"/>
  <c r="U22" i="16"/>
  <c r="U20" i="16"/>
  <c r="AA20" i="16" s="1"/>
  <c r="AA19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5" i="16"/>
  <c r="X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62" i="16"/>
  <c r="X63" i="16"/>
  <c r="X64" i="16"/>
  <c r="X65" i="16"/>
  <c r="X66" i="16"/>
  <c r="X67" i="16"/>
  <c r="X68" i="16"/>
  <c r="X69" i="16"/>
  <c r="X70" i="16"/>
  <c r="X71" i="16"/>
  <c r="X72" i="16"/>
  <c r="X73" i="16"/>
  <c r="X74" i="16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7" i="17"/>
  <c r="Z48" i="17"/>
  <c r="Z49" i="17"/>
  <c r="Z50" i="17"/>
  <c r="Z51" i="17"/>
  <c r="Z52" i="17"/>
  <c r="Z53" i="17"/>
  <c r="Z54" i="17"/>
  <c r="Z55" i="17"/>
  <c r="Z56" i="17"/>
  <c r="Z57" i="17"/>
  <c r="Z58" i="17"/>
  <c r="Z59" i="17"/>
  <c r="Z60" i="17"/>
  <c r="Z61" i="17"/>
  <c r="Z62" i="17"/>
  <c r="Z63" i="17"/>
  <c r="Z64" i="17"/>
  <c r="Z65" i="17"/>
  <c r="Z66" i="17"/>
  <c r="Z67" i="17"/>
  <c r="Z68" i="17"/>
  <c r="Z69" i="17"/>
  <c r="Z70" i="17"/>
  <c r="Z72" i="17"/>
  <c r="Z73" i="17"/>
  <c r="Z74" i="17"/>
  <c r="Z75" i="17"/>
  <c r="Z19" i="17"/>
  <c r="E16" i="4"/>
  <c r="W18" i="16"/>
  <c r="W19" i="16"/>
  <c r="W20" i="16"/>
  <c r="X21" i="17"/>
  <c r="X22" i="17" s="1"/>
  <c r="X23" i="17" s="1"/>
  <c r="X24" i="17" s="1"/>
  <c r="X25" i="17" s="1"/>
  <c r="X26" i="17" s="1"/>
  <c r="X27" i="17" s="1"/>
  <c r="X28" i="17" s="1"/>
  <c r="X29" i="17" s="1"/>
  <c r="X30" i="17" s="1"/>
  <c r="X31" i="17" s="1"/>
  <c r="X32" i="17" s="1"/>
  <c r="X33" i="17" s="1"/>
  <c r="X34" i="17" s="1"/>
  <c r="X35" i="17" s="1"/>
  <c r="X36" i="17" s="1"/>
  <c r="X37" i="17" s="1"/>
  <c r="X38" i="17" s="1"/>
  <c r="X39" i="17" s="1"/>
  <c r="X40" i="17" s="1"/>
  <c r="X41" i="17" s="1"/>
  <c r="X42" i="17" s="1"/>
  <c r="X43" i="17" s="1"/>
  <c r="X44" i="17" s="1"/>
  <c r="X45" i="17" s="1"/>
  <c r="X46" i="17" s="1"/>
  <c r="X47" i="17" s="1"/>
  <c r="X48" i="17" s="1"/>
  <c r="X49" i="17" s="1"/>
  <c r="X50" i="17" s="1"/>
  <c r="X51" i="17" s="1"/>
  <c r="X52" i="17" s="1"/>
  <c r="X53" i="17" s="1"/>
  <c r="X54" i="17" s="1"/>
  <c r="X55" i="17" s="1"/>
  <c r="X56" i="17" s="1"/>
  <c r="X57" i="17" s="1"/>
  <c r="X58" i="17" s="1"/>
  <c r="X59" i="17" s="1"/>
  <c r="X60" i="17" s="1"/>
  <c r="X61" i="17" s="1"/>
  <c r="X62" i="17" s="1"/>
  <c r="X63" i="17" s="1"/>
  <c r="X64" i="17" s="1"/>
  <c r="X65" i="17" s="1"/>
  <c r="X66" i="17" s="1"/>
  <c r="X67" i="17" s="1"/>
  <c r="X68" i="17" s="1"/>
  <c r="X69" i="17" s="1"/>
  <c r="X70" i="17" s="1"/>
  <c r="X71" i="17" s="1"/>
  <c r="X72" i="17" s="1"/>
  <c r="X73" i="17" s="1"/>
  <c r="X74" i="17" s="1"/>
  <c r="X75" i="17" s="1"/>
  <c r="X20" i="17"/>
  <c r="X19" i="17"/>
  <c r="X18" i="17"/>
  <c r="Z21" i="16"/>
  <c r="Z22" i="16"/>
  <c r="Z23" i="16"/>
  <c r="Z24" i="16"/>
  <c r="Z25" i="16"/>
  <c r="Z26" i="16"/>
  <c r="Z27" i="16"/>
  <c r="Z28" i="16"/>
  <c r="Z29" i="16"/>
  <c r="Z30" i="16"/>
  <c r="Z31" i="16"/>
  <c r="Z32" i="16"/>
  <c r="Z33" i="16"/>
  <c r="Z34" i="16"/>
  <c r="Z35" i="16"/>
  <c r="Z36" i="16"/>
  <c r="Z37" i="16"/>
  <c r="Z38" i="16"/>
  <c r="Z39" i="16"/>
  <c r="Z40" i="16"/>
  <c r="Z41" i="16"/>
  <c r="Z42" i="16"/>
  <c r="Z43" i="16"/>
  <c r="Z44" i="16"/>
  <c r="Z45" i="16"/>
  <c r="Z46" i="16"/>
  <c r="Z47" i="16"/>
  <c r="Z48" i="16"/>
  <c r="Z49" i="16"/>
  <c r="Z50" i="16"/>
  <c r="Z51" i="16"/>
  <c r="Z52" i="16"/>
  <c r="Z53" i="16"/>
  <c r="Z54" i="16"/>
  <c r="Z55" i="16"/>
  <c r="Z56" i="16"/>
  <c r="Z57" i="16"/>
  <c r="Z58" i="16"/>
  <c r="Z59" i="16"/>
  <c r="Z60" i="16"/>
  <c r="Z61" i="16"/>
  <c r="Z62" i="16"/>
  <c r="Z63" i="16"/>
  <c r="Z64" i="16"/>
  <c r="Z65" i="16"/>
  <c r="Z66" i="16"/>
  <c r="Z67" i="16"/>
  <c r="Z68" i="16"/>
  <c r="Z69" i="16"/>
  <c r="E9" i="4"/>
  <c r="J68" i="36"/>
  <c r="D6" i="4" s="1"/>
  <c r="N68" i="36"/>
  <c r="V71" i="6" s="1"/>
  <c r="F68" i="36"/>
  <c r="N15" i="35"/>
  <c r="N16" i="35"/>
  <c r="N27" i="35"/>
  <c r="N28" i="35"/>
  <c r="N39" i="35"/>
  <c r="N40" i="35"/>
  <c r="N51" i="35"/>
  <c r="N52" i="35"/>
  <c r="M7" i="35"/>
  <c r="M8" i="35"/>
  <c r="M9" i="35"/>
  <c r="N9" i="35" s="1"/>
  <c r="M10" i="35"/>
  <c r="N10" i="35" s="1"/>
  <c r="M11" i="35"/>
  <c r="N11" i="35" s="1"/>
  <c r="M12" i="35"/>
  <c r="N12" i="35" s="1"/>
  <c r="M13" i="35"/>
  <c r="N13" i="35" s="1"/>
  <c r="M14" i="35"/>
  <c r="N14" i="35" s="1"/>
  <c r="M15" i="35"/>
  <c r="M16" i="35"/>
  <c r="M17" i="35"/>
  <c r="M18" i="35"/>
  <c r="M19" i="35"/>
  <c r="M20" i="35"/>
  <c r="M21" i="35"/>
  <c r="N21" i="35" s="1"/>
  <c r="M22" i="35"/>
  <c r="N22" i="35" s="1"/>
  <c r="M23" i="35"/>
  <c r="N23" i="35" s="1"/>
  <c r="M24" i="35"/>
  <c r="N24" i="35" s="1"/>
  <c r="M25" i="35"/>
  <c r="N25" i="35" s="1"/>
  <c r="M26" i="35"/>
  <c r="N26" i="35" s="1"/>
  <c r="M27" i="35"/>
  <c r="M28" i="35"/>
  <c r="M29" i="35"/>
  <c r="M30" i="35"/>
  <c r="M31" i="35"/>
  <c r="M32" i="35"/>
  <c r="M33" i="35"/>
  <c r="N33" i="35" s="1"/>
  <c r="M34" i="35"/>
  <c r="N34" i="35" s="1"/>
  <c r="M35" i="35"/>
  <c r="N35" i="35" s="1"/>
  <c r="M36" i="35"/>
  <c r="N36" i="35" s="1"/>
  <c r="M37" i="35"/>
  <c r="N37" i="35" s="1"/>
  <c r="M38" i="35"/>
  <c r="N38" i="35" s="1"/>
  <c r="M39" i="35"/>
  <c r="M40" i="35"/>
  <c r="M41" i="35"/>
  <c r="M42" i="35"/>
  <c r="M43" i="35"/>
  <c r="M44" i="35"/>
  <c r="M45" i="35"/>
  <c r="N45" i="35" s="1"/>
  <c r="M46" i="35"/>
  <c r="N46" i="35" s="1"/>
  <c r="M47" i="35"/>
  <c r="N47" i="35" s="1"/>
  <c r="M48" i="35"/>
  <c r="N48" i="35" s="1"/>
  <c r="M49" i="35"/>
  <c r="N49" i="35" s="1"/>
  <c r="M50" i="35"/>
  <c r="N50" i="35" s="1"/>
  <c r="M51" i="35"/>
  <c r="M52" i="35"/>
  <c r="M53" i="35"/>
  <c r="M54" i="35"/>
  <c r="M55" i="35"/>
  <c r="H7" i="35"/>
  <c r="N7" i="35" s="1"/>
  <c r="H8" i="35"/>
  <c r="N8" i="35" s="1"/>
  <c r="H9" i="35"/>
  <c r="H10" i="35"/>
  <c r="H11" i="35"/>
  <c r="H12" i="35"/>
  <c r="H13" i="35"/>
  <c r="H14" i="35"/>
  <c r="H15" i="35"/>
  <c r="H16" i="35"/>
  <c r="H17" i="35"/>
  <c r="N17" i="35" s="1"/>
  <c r="H18" i="35"/>
  <c r="N18" i="35" s="1"/>
  <c r="H19" i="35"/>
  <c r="N19" i="35" s="1"/>
  <c r="H20" i="35"/>
  <c r="N20" i="35" s="1"/>
  <c r="H21" i="35"/>
  <c r="H22" i="35"/>
  <c r="H23" i="35"/>
  <c r="H24" i="35"/>
  <c r="H25" i="35"/>
  <c r="H26" i="35"/>
  <c r="H27" i="35"/>
  <c r="H28" i="35"/>
  <c r="H29" i="35"/>
  <c r="N29" i="35" s="1"/>
  <c r="H30" i="35"/>
  <c r="N30" i="35" s="1"/>
  <c r="H31" i="35"/>
  <c r="N31" i="35" s="1"/>
  <c r="H32" i="35"/>
  <c r="N32" i="35" s="1"/>
  <c r="H33" i="35"/>
  <c r="H34" i="35"/>
  <c r="H35" i="35"/>
  <c r="H36" i="35"/>
  <c r="H37" i="35"/>
  <c r="H38" i="35"/>
  <c r="H39" i="35"/>
  <c r="H40" i="35"/>
  <c r="H41" i="35"/>
  <c r="N41" i="35" s="1"/>
  <c r="H42" i="35"/>
  <c r="N42" i="35" s="1"/>
  <c r="H43" i="35"/>
  <c r="N43" i="35" s="1"/>
  <c r="H44" i="35"/>
  <c r="N44" i="35" s="1"/>
  <c r="H45" i="35"/>
  <c r="H46" i="35"/>
  <c r="H47" i="35"/>
  <c r="H48" i="35"/>
  <c r="H49" i="35"/>
  <c r="H50" i="35"/>
  <c r="H51" i="35"/>
  <c r="H52" i="35"/>
  <c r="H53" i="35"/>
  <c r="N53" i="35" s="1"/>
  <c r="H54" i="35"/>
  <c r="N54" i="35" s="1"/>
  <c r="H55" i="35"/>
  <c r="N55" i="35" s="1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2" i="6"/>
  <c r="V73" i="6"/>
  <c r="V74" i="6"/>
  <c r="V75" i="6"/>
  <c r="V82" i="6" s="1"/>
  <c r="V20" i="17"/>
  <c r="Z20" i="17" s="1"/>
  <c r="V21" i="17"/>
  <c r="Z21" i="17" s="1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2" i="17"/>
  <c r="V73" i="17"/>
  <c r="V74" i="17"/>
  <c r="V75" i="17"/>
  <c r="U19" i="16"/>
  <c r="X19" i="16" s="1"/>
  <c r="Z20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E5" i="4"/>
  <c r="D5" i="4"/>
  <c r="C5" i="4"/>
  <c r="C10" i="4"/>
  <c r="Y74" i="17"/>
  <c r="D8" i="4"/>
  <c r="E8" i="4" s="1"/>
  <c r="E10" i="4" s="1"/>
  <c r="C8" i="4"/>
  <c r="V17" i="6"/>
  <c r="T18" i="16"/>
  <c r="U18" i="16"/>
  <c r="AA18" i="16" s="1"/>
  <c r="U16" i="16"/>
  <c r="V17" i="17"/>
  <c r="V19" i="6"/>
  <c r="V15" i="6"/>
  <c r="V14" i="6"/>
  <c r="V16" i="6" s="1"/>
  <c r="V18" i="6" s="1"/>
  <c r="V19" i="17"/>
  <c r="V18" i="17"/>
  <c r="W14" i="17"/>
  <c r="W15" i="17"/>
  <c r="V15" i="17"/>
  <c r="V14" i="17"/>
  <c r="U15" i="16"/>
  <c r="U17" i="16" s="1"/>
  <c r="T15" i="16"/>
  <c r="U14" i="16"/>
  <c r="U13" i="16"/>
  <c r="A18" i="36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C17" i="36"/>
  <c r="C18" i="36" s="1"/>
  <c r="C19" i="36" s="1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A17" i="36"/>
  <c r="I14" i="36"/>
  <c r="H14" i="36"/>
  <c r="E14" i="36"/>
  <c r="D14" i="36"/>
  <c r="L13" i="36"/>
  <c r="N13" i="36" s="1"/>
  <c r="J13" i="36"/>
  <c r="F13" i="36"/>
  <c r="M12" i="36"/>
  <c r="L12" i="36"/>
  <c r="N12" i="36" s="1"/>
  <c r="J12" i="36"/>
  <c r="F12" i="36"/>
  <c r="M11" i="36"/>
  <c r="L11" i="36"/>
  <c r="N11" i="36" s="1"/>
  <c r="J11" i="36"/>
  <c r="F11" i="36"/>
  <c r="M10" i="36"/>
  <c r="N10" i="36" s="1"/>
  <c r="L10" i="36"/>
  <c r="J10" i="36"/>
  <c r="F10" i="36"/>
  <c r="N9" i="36"/>
  <c r="M9" i="36"/>
  <c r="L9" i="36"/>
  <c r="J9" i="36"/>
  <c r="F9" i="36"/>
  <c r="M8" i="36"/>
  <c r="L8" i="36"/>
  <c r="N8" i="36" s="1"/>
  <c r="J8" i="36"/>
  <c r="G8" i="36"/>
  <c r="G9" i="36" s="1"/>
  <c r="G10" i="36" s="1"/>
  <c r="G11" i="36" s="1"/>
  <c r="G12" i="36" s="1"/>
  <c r="G13" i="36" s="1"/>
  <c r="F8" i="36"/>
  <c r="M7" i="36"/>
  <c r="L7" i="36"/>
  <c r="N7" i="36" s="1"/>
  <c r="O7" i="36" s="1"/>
  <c r="J7" i="36"/>
  <c r="K7" i="36" s="1"/>
  <c r="G7" i="36"/>
  <c r="G14" i="36" s="1"/>
  <c r="F7" i="36"/>
  <c r="C7" i="36"/>
  <c r="C8" i="36" s="1"/>
  <c r="C9" i="36" s="1"/>
  <c r="C10" i="36" s="1"/>
  <c r="C11" i="36" s="1"/>
  <c r="C12" i="36" s="1"/>
  <c r="C13" i="36" s="1"/>
  <c r="M6" i="36"/>
  <c r="M14" i="36" s="1"/>
  <c r="L6" i="36"/>
  <c r="L14" i="36" s="1"/>
  <c r="J6" i="36"/>
  <c r="J14" i="36" s="1"/>
  <c r="F6" i="36"/>
  <c r="F14" i="36" s="1"/>
  <c r="A6" i="36"/>
  <c r="A7" i="36" s="1"/>
  <c r="A8" i="36" s="1"/>
  <c r="A9" i="36" s="1"/>
  <c r="A10" i="36" s="1"/>
  <c r="A11" i="36" s="1"/>
  <c r="A12" i="36" s="1"/>
  <c r="A13" i="36" s="1"/>
  <c r="X20" i="16" l="1"/>
  <c r="X18" i="16"/>
  <c r="Z18" i="16"/>
  <c r="Z19" i="16"/>
  <c r="AA74" i="17"/>
  <c r="AB19" i="17"/>
  <c r="V71" i="17"/>
  <c r="Z71" i="17" s="1"/>
  <c r="V18" i="16"/>
  <c r="O8" i="36"/>
  <c r="O9" i="36" s="1"/>
  <c r="O10" i="36" s="1"/>
  <c r="O11" i="36" s="1"/>
  <c r="O12" i="36" s="1"/>
  <c r="O13" i="36" s="1"/>
  <c r="K8" i="36"/>
  <c r="K9" i="36" s="1"/>
  <c r="K10" i="36" s="1"/>
  <c r="K11" i="36" s="1"/>
  <c r="K12" i="36" s="1"/>
  <c r="K13" i="36" s="1"/>
  <c r="K14" i="36"/>
  <c r="N6" i="36"/>
  <c r="N14" i="36" s="1"/>
  <c r="E56" i="35"/>
  <c r="D10" i="4"/>
  <c r="I56" i="35"/>
  <c r="J56" i="35"/>
  <c r="K56" i="35"/>
  <c r="L56" i="35"/>
  <c r="F56" i="35"/>
  <c r="G56" i="35"/>
  <c r="U65" i="17"/>
  <c r="W65" i="17" s="1"/>
  <c r="U73" i="17"/>
  <c r="Y73" i="17" l="1"/>
  <c r="AA73" i="17"/>
  <c r="AA65" i="17"/>
  <c r="O14" i="36"/>
  <c r="H56" i="35"/>
  <c r="C61" i="35" s="1"/>
  <c r="M56" i="35"/>
  <c r="C62" i="35" l="1"/>
  <c r="E61" i="35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6" i="17"/>
  <c r="U71" i="17"/>
  <c r="AA71" i="17" s="1"/>
  <c r="U72" i="17"/>
  <c r="AA72" i="17" s="1"/>
  <c r="AA75" i="17"/>
  <c r="T46" i="16"/>
  <c r="V46" i="16" s="1"/>
  <c r="U47" i="17"/>
  <c r="U46" i="17"/>
  <c r="U18" i="17"/>
  <c r="W59" i="17" l="1"/>
  <c r="AA59" i="17"/>
  <c r="W55" i="17"/>
  <c r="AA55" i="17"/>
  <c r="W54" i="17"/>
  <c r="AA54" i="17"/>
  <c r="W53" i="17"/>
  <c r="AA53" i="17"/>
  <c r="W64" i="17"/>
  <c r="AA64" i="17"/>
  <c r="W63" i="17"/>
  <c r="AA63" i="17"/>
  <c r="W49" i="17"/>
  <c r="AA49" i="17"/>
  <c r="W46" i="17"/>
  <c r="AA46" i="17"/>
  <c r="W47" i="17"/>
  <c r="AA47" i="17"/>
  <c r="W58" i="17"/>
  <c r="AA58" i="17"/>
  <c r="W57" i="17"/>
  <c r="AA57" i="17"/>
  <c r="W56" i="17"/>
  <c r="AA56" i="17"/>
  <c r="W66" i="17"/>
  <c r="AA66" i="17"/>
  <c r="W52" i="17"/>
  <c r="AA52" i="17"/>
  <c r="W51" i="17"/>
  <c r="AA51" i="17"/>
  <c r="W62" i="17"/>
  <c r="AA62" i="17"/>
  <c r="W50" i="17"/>
  <c r="AA50" i="17"/>
  <c r="W61" i="17"/>
  <c r="AA61" i="17"/>
  <c r="W60" i="17"/>
  <c r="AA60" i="17"/>
  <c r="C63" i="35"/>
  <c r="C64" i="35"/>
  <c r="N56" i="35"/>
  <c r="U20" i="17" l="1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4" i="17"/>
  <c r="U45" i="17"/>
  <c r="U48" i="17"/>
  <c r="U19" i="17"/>
  <c r="AA19" i="17" s="1"/>
  <c r="T19" i="16"/>
  <c r="V19" i="16" s="1"/>
  <c r="T20" i="16"/>
  <c r="V20" i="16" s="1"/>
  <c r="T21" i="16"/>
  <c r="V21" i="16" s="1"/>
  <c r="T22" i="16"/>
  <c r="V22" i="16" s="1"/>
  <c r="T23" i="16"/>
  <c r="V23" i="16" s="1"/>
  <c r="T24" i="16"/>
  <c r="V24" i="16" s="1"/>
  <c r="T25" i="16"/>
  <c r="V25" i="16" s="1"/>
  <c r="T26" i="16"/>
  <c r="V26" i="16" s="1"/>
  <c r="T27" i="16"/>
  <c r="V27" i="16" s="1"/>
  <c r="T28" i="16"/>
  <c r="V28" i="16" s="1"/>
  <c r="T29" i="16"/>
  <c r="V29" i="16" s="1"/>
  <c r="T30" i="16"/>
  <c r="V30" i="16" s="1"/>
  <c r="T31" i="16"/>
  <c r="V31" i="16" s="1"/>
  <c r="T32" i="16"/>
  <c r="V32" i="16" s="1"/>
  <c r="T33" i="16"/>
  <c r="V33" i="16" s="1"/>
  <c r="T34" i="16"/>
  <c r="V34" i="16" s="1"/>
  <c r="T35" i="16"/>
  <c r="V35" i="16" s="1"/>
  <c r="T36" i="16"/>
  <c r="V36" i="16" s="1"/>
  <c r="T37" i="16"/>
  <c r="V37" i="16" s="1"/>
  <c r="T38" i="16"/>
  <c r="V38" i="16" s="1"/>
  <c r="T39" i="16"/>
  <c r="V39" i="16" s="1"/>
  <c r="T40" i="16"/>
  <c r="V40" i="16" s="1"/>
  <c r="T41" i="16"/>
  <c r="V41" i="16" s="1"/>
  <c r="T42" i="16"/>
  <c r="V42" i="16" s="1"/>
  <c r="T43" i="16"/>
  <c r="V43" i="16" s="1"/>
  <c r="T44" i="16"/>
  <c r="V44" i="16" s="1"/>
  <c r="T45" i="16"/>
  <c r="V45" i="16" s="1"/>
  <c r="T47" i="16"/>
  <c r="V47" i="16" s="1"/>
  <c r="T48" i="16"/>
  <c r="V48" i="16" s="1"/>
  <c r="T49" i="16"/>
  <c r="V49" i="16" s="1"/>
  <c r="T50" i="16"/>
  <c r="V50" i="16" s="1"/>
  <c r="T51" i="16"/>
  <c r="V51" i="16" s="1"/>
  <c r="T52" i="16"/>
  <c r="V52" i="16" s="1"/>
  <c r="T53" i="16"/>
  <c r="V53" i="16" s="1"/>
  <c r="T54" i="16"/>
  <c r="V54" i="16" s="1"/>
  <c r="T55" i="16"/>
  <c r="V55" i="16" s="1"/>
  <c r="T56" i="16"/>
  <c r="V56" i="16" s="1"/>
  <c r="T57" i="16"/>
  <c r="V57" i="16" s="1"/>
  <c r="T58" i="16"/>
  <c r="V58" i="16" s="1"/>
  <c r="T59" i="16"/>
  <c r="V59" i="16" s="1"/>
  <c r="T60" i="16"/>
  <c r="V60" i="16" s="1"/>
  <c r="T61" i="16"/>
  <c r="V61" i="16" s="1"/>
  <c r="T62" i="16"/>
  <c r="V62" i="16" s="1"/>
  <c r="T63" i="16"/>
  <c r="V63" i="16" s="1"/>
  <c r="T64" i="16"/>
  <c r="V64" i="16" s="1"/>
  <c r="T65" i="16"/>
  <c r="V65" i="16" s="1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3" i="6"/>
  <c r="U44" i="6"/>
  <c r="U45" i="6"/>
  <c r="U46" i="6"/>
  <c r="U47" i="6"/>
  <c r="U48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19" i="6"/>
  <c r="W41" i="17" l="1"/>
  <c r="AA41" i="17"/>
  <c r="W31" i="17"/>
  <c r="AA31" i="17"/>
  <c r="W30" i="17"/>
  <c r="AA30" i="17"/>
  <c r="W29" i="17"/>
  <c r="AA29" i="17"/>
  <c r="W40" i="17"/>
  <c r="AA40" i="17"/>
  <c r="W27" i="17"/>
  <c r="AA27" i="17"/>
  <c r="W38" i="17"/>
  <c r="AA38" i="17"/>
  <c r="W25" i="17"/>
  <c r="AA25" i="17"/>
  <c r="W24" i="17"/>
  <c r="AA24" i="17"/>
  <c r="W35" i="17"/>
  <c r="AA35" i="17"/>
  <c r="W23" i="17"/>
  <c r="AA23" i="17"/>
  <c r="W34" i="17"/>
  <c r="AA34" i="17"/>
  <c r="W48" i="17"/>
  <c r="AA48" i="17"/>
  <c r="W33" i="17"/>
  <c r="AA33" i="17"/>
  <c r="W21" i="17"/>
  <c r="AA21" i="17"/>
  <c r="W44" i="17"/>
  <c r="AA44" i="17"/>
  <c r="W42" i="17"/>
  <c r="AA42" i="17"/>
  <c r="W28" i="17"/>
  <c r="AA28" i="17"/>
  <c r="W39" i="17"/>
  <c r="AA39" i="17"/>
  <c r="W26" i="17"/>
  <c r="AA26" i="17"/>
  <c r="W37" i="17"/>
  <c r="AA37" i="17"/>
  <c r="W36" i="17"/>
  <c r="AA36" i="17"/>
  <c r="W22" i="17"/>
  <c r="AA22" i="17"/>
  <c r="W45" i="17"/>
  <c r="AA45" i="17"/>
  <c r="W32" i="17"/>
  <c r="AA32" i="17"/>
  <c r="W20" i="17"/>
  <c r="AA20" i="17"/>
  <c r="W19" i="17"/>
  <c r="E64" i="35"/>
  <c r="E62" i="35" l="1"/>
  <c r="E63" i="35"/>
  <c r="T72" i="16" l="1"/>
  <c r="T77" i="16" l="1"/>
  <c r="U14" i="6" l="1"/>
  <c r="V14" i="16"/>
  <c r="V13" i="16"/>
  <c r="V15" i="16" s="1"/>
  <c r="C19" i="6"/>
  <c r="V78" i="16" l="1"/>
  <c r="O18" i="17" l="1"/>
  <c r="T74" i="16" l="1"/>
  <c r="S74" i="16"/>
  <c r="S18" i="21"/>
  <c r="S11" i="21"/>
  <c r="U77" i="6"/>
  <c r="U17" i="6"/>
  <c r="U15" i="6"/>
  <c r="U77" i="17"/>
  <c r="U17" i="17"/>
  <c r="W79" i="17" l="1"/>
  <c r="U78" i="17"/>
  <c r="S12" i="21" s="1"/>
  <c r="U16" i="6"/>
  <c r="U18" i="6" s="1"/>
  <c r="U78" i="6" s="1"/>
  <c r="S19" i="21" s="1"/>
  <c r="T76" i="16"/>
  <c r="T16" i="16"/>
  <c r="S5" i="21"/>
  <c r="S79" i="17"/>
  <c r="R78" i="16"/>
  <c r="K78" i="16"/>
  <c r="L78" i="16"/>
  <c r="M78" i="16"/>
  <c r="N78" i="16"/>
  <c r="O78" i="16"/>
  <c r="P78" i="16"/>
  <c r="Q78" i="16"/>
  <c r="W74" i="17"/>
  <c r="W73" i="17"/>
  <c r="G79" i="6" l="1"/>
  <c r="E20" i="21" s="1"/>
  <c r="H79" i="6"/>
  <c r="I79" i="6"/>
  <c r="J79" i="6"/>
  <c r="K79" i="6"/>
  <c r="I20" i="21" s="1"/>
  <c r="L79" i="6"/>
  <c r="M79" i="6"/>
  <c r="K20" i="21" s="1"/>
  <c r="N79" i="6"/>
  <c r="O79" i="6"/>
  <c r="M20" i="21" s="1"/>
  <c r="P79" i="6"/>
  <c r="Q79" i="6"/>
  <c r="G79" i="17"/>
  <c r="E13" i="21" s="1"/>
  <c r="H79" i="17"/>
  <c r="F13" i="21" s="1"/>
  <c r="I79" i="17"/>
  <c r="G13" i="21" s="1"/>
  <c r="J79" i="17"/>
  <c r="K79" i="17"/>
  <c r="L79" i="17"/>
  <c r="M79" i="17"/>
  <c r="K13" i="21" s="1"/>
  <c r="N79" i="17"/>
  <c r="L13" i="21" s="1"/>
  <c r="O79" i="17"/>
  <c r="P79" i="17"/>
  <c r="Q79" i="17"/>
  <c r="O13" i="21" s="1"/>
  <c r="R79" i="17"/>
  <c r="F78" i="16"/>
  <c r="E6" i="21" s="1"/>
  <c r="G78" i="16"/>
  <c r="H78" i="16"/>
  <c r="I78" i="16"/>
  <c r="J78" i="16"/>
  <c r="I6" i="21" s="1"/>
  <c r="K6" i="21"/>
  <c r="M6" i="21"/>
  <c r="O6" i="21"/>
  <c r="Q6" i="21"/>
  <c r="U43" i="17"/>
  <c r="V72" i="16"/>
  <c r="V73" i="16"/>
  <c r="D79" i="6"/>
  <c r="E79" i="6"/>
  <c r="C20" i="21" s="1"/>
  <c r="F79" i="6"/>
  <c r="D20" i="21" s="1"/>
  <c r="U42" i="6"/>
  <c r="R74" i="16"/>
  <c r="S73" i="6"/>
  <c r="D79" i="17"/>
  <c r="B13" i="21" s="1"/>
  <c r="E79" i="17"/>
  <c r="C13" i="21" s="1"/>
  <c r="F79" i="17"/>
  <c r="D13" i="21" s="1"/>
  <c r="N74" i="16"/>
  <c r="P75" i="17"/>
  <c r="S16" i="17"/>
  <c r="S18" i="17" s="1"/>
  <c r="P16" i="17"/>
  <c r="P18" i="17" s="1"/>
  <c r="P78" i="17" s="1"/>
  <c r="N12" i="21" s="1"/>
  <c r="Q16" i="17"/>
  <c r="O74" i="16"/>
  <c r="V74" i="16" s="1"/>
  <c r="P74" i="16"/>
  <c r="Q74" i="16"/>
  <c r="M74" i="16"/>
  <c r="N6" i="21"/>
  <c r="P6" i="21"/>
  <c r="M17" i="16"/>
  <c r="M77" i="16" s="1"/>
  <c r="N17" i="16"/>
  <c r="N77" i="16" s="1"/>
  <c r="M5" i="21" s="1"/>
  <c r="O17" i="16"/>
  <c r="L17" i="16"/>
  <c r="L80" i="16" s="1"/>
  <c r="S15" i="6"/>
  <c r="T15" i="6"/>
  <c r="S14" i="6"/>
  <c r="T14" i="6"/>
  <c r="T16" i="17"/>
  <c r="Q15" i="16"/>
  <c r="Q17" i="16" s="1"/>
  <c r="Q77" i="16" s="1"/>
  <c r="R15" i="16"/>
  <c r="R17" i="16" s="1"/>
  <c r="R77" i="16" s="1"/>
  <c r="S15" i="16"/>
  <c r="C20" i="6"/>
  <c r="T75" i="17"/>
  <c r="P15" i="16"/>
  <c r="Q14" i="6"/>
  <c r="R77" i="6"/>
  <c r="W11" i="17"/>
  <c r="V5" i="16"/>
  <c r="V6" i="16"/>
  <c r="V7" i="16"/>
  <c r="V8" i="16"/>
  <c r="V9" i="16"/>
  <c r="V10" i="16"/>
  <c r="V4" i="16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S76" i="16"/>
  <c r="S16" i="16"/>
  <c r="L13" i="1"/>
  <c r="N13" i="1"/>
  <c r="J13" i="1"/>
  <c r="F13" i="1"/>
  <c r="M12" i="1"/>
  <c r="L12" i="1"/>
  <c r="N12" i="1"/>
  <c r="J12" i="1"/>
  <c r="F12" i="1"/>
  <c r="M11" i="1"/>
  <c r="L11" i="1"/>
  <c r="N11" i="1"/>
  <c r="J11" i="1"/>
  <c r="F11" i="1"/>
  <c r="M10" i="1"/>
  <c r="L10" i="1"/>
  <c r="N10" i="1"/>
  <c r="J10" i="1"/>
  <c r="F10" i="1"/>
  <c r="M9" i="1"/>
  <c r="N9" i="1" s="1"/>
  <c r="L9" i="1"/>
  <c r="J9" i="1"/>
  <c r="F9" i="1"/>
  <c r="M8" i="1"/>
  <c r="L8" i="1"/>
  <c r="N8" i="1"/>
  <c r="J8" i="1"/>
  <c r="J14" i="1" s="1"/>
  <c r="F8" i="1"/>
  <c r="F14" i="1" s="1"/>
  <c r="M7" i="1"/>
  <c r="M14" i="1" s="1"/>
  <c r="L7" i="1"/>
  <c r="N7" i="1" s="1"/>
  <c r="J7" i="1"/>
  <c r="F7" i="1"/>
  <c r="G7" i="1" s="1"/>
  <c r="M6" i="1"/>
  <c r="L6" i="1"/>
  <c r="N6" i="1"/>
  <c r="J6" i="1"/>
  <c r="K7" i="1"/>
  <c r="F6" i="1"/>
  <c r="C7" i="1"/>
  <c r="C8" i="1"/>
  <c r="C9" i="1"/>
  <c r="C10" i="1"/>
  <c r="C11" i="1"/>
  <c r="C12" i="1"/>
  <c r="C13" i="1"/>
  <c r="A6" i="1"/>
  <c r="A7" i="1" s="1"/>
  <c r="A8" i="1" s="1"/>
  <c r="A9" i="1" s="1"/>
  <c r="A10" i="1" s="1"/>
  <c r="A11" i="1" s="1"/>
  <c r="A12" i="1" s="1"/>
  <c r="A13" i="1" s="1"/>
  <c r="S70" i="6"/>
  <c r="U70" i="6"/>
  <c r="U70" i="17"/>
  <c r="T69" i="16"/>
  <c r="U69" i="17"/>
  <c r="T68" i="16"/>
  <c r="U68" i="17"/>
  <c r="T67" i="16"/>
  <c r="U66" i="6"/>
  <c r="S71" i="6"/>
  <c r="S72" i="6"/>
  <c r="S77" i="6"/>
  <c r="S77" i="17"/>
  <c r="S75" i="17"/>
  <c r="R76" i="16"/>
  <c r="J17" i="16"/>
  <c r="J80" i="16" s="1"/>
  <c r="K8" i="1"/>
  <c r="K9" i="1"/>
  <c r="K10" i="1"/>
  <c r="K14" i="1" s="1"/>
  <c r="K11" i="1"/>
  <c r="K12" i="1" s="1"/>
  <c r="K13" i="1" s="1"/>
  <c r="S17" i="17"/>
  <c r="W4" i="17"/>
  <c r="W5" i="17"/>
  <c r="W6" i="17"/>
  <c r="W7" i="17"/>
  <c r="W8" i="17"/>
  <c r="W9" i="17"/>
  <c r="W10" i="17"/>
  <c r="F13" i="16"/>
  <c r="G13" i="16"/>
  <c r="H13" i="16"/>
  <c r="H15" i="16" s="1"/>
  <c r="H77" i="16" s="1"/>
  <c r="G5" i="21" s="1"/>
  <c r="I13" i="16"/>
  <c r="I15" i="16" s="1"/>
  <c r="J13" i="16"/>
  <c r="K14" i="6" s="1"/>
  <c r="V17" i="16"/>
  <c r="V77" i="16" s="1"/>
  <c r="R16" i="16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A17" i="1"/>
  <c r="A18" i="1"/>
  <c r="A19" i="1"/>
  <c r="S19" i="6"/>
  <c r="A20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E14" i="1"/>
  <c r="H14" i="1"/>
  <c r="I14" i="1"/>
  <c r="D14" i="1"/>
  <c r="U74" i="6"/>
  <c r="S20" i="6"/>
  <c r="C4" i="21"/>
  <c r="D4" i="21"/>
  <c r="E4" i="21"/>
  <c r="F4" i="21"/>
  <c r="G4" i="21"/>
  <c r="H4" i="21"/>
  <c r="D5" i="21"/>
  <c r="D6" i="21"/>
  <c r="H6" i="21"/>
  <c r="J6" i="21"/>
  <c r="L6" i="21"/>
  <c r="D7" i="21"/>
  <c r="D8" i="21"/>
  <c r="F74" i="6"/>
  <c r="F75" i="6" s="1"/>
  <c r="D78" i="16"/>
  <c r="E78" i="16"/>
  <c r="C6" i="21" s="1"/>
  <c r="R75" i="6"/>
  <c r="Q74" i="6"/>
  <c r="Q75" i="6" s="1"/>
  <c r="P73" i="6"/>
  <c r="W73" i="6" s="1"/>
  <c r="O17" i="17"/>
  <c r="P17" i="17"/>
  <c r="Q17" i="17"/>
  <c r="R17" i="17"/>
  <c r="N17" i="17"/>
  <c r="P17" i="6"/>
  <c r="Q17" i="6"/>
  <c r="R17" i="6"/>
  <c r="O17" i="6"/>
  <c r="O16" i="16"/>
  <c r="P16" i="16"/>
  <c r="Q16" i="16"/>
  <c r="N16" i="16"/>
  <c r="R14" i="6"/>
  <c r="R15" i="6"/>
  <c r="W11" i="6"/>
  <c r="W10" i="6"/>
  <c r="W9" i="6"/>
  <c r="W8" i="6"/>
  <c r="W7" i="6"/>
  <c r="W6" i="6"/>
  <c r="W5" i="6"/>
  <c r="W4" i="6"/>
  <c r="R77" i="17"/>
  <c r="R16" i="17"/>
  <c r="S21" i="6"/>
  <c r="R20" i="6"/>
  <c r="R19" i="6"/>
  <c r="S22" i="6"/>
  <c r="S23" i="6"/>
  <c r="Q76" i="16"/>
  <c r="S24" i="6"/>
  <c r="S25" i="6"/>
  <c r="G20" i="21"/>
  <c r="H20" i="21"/>
  <c r="L20" i="21"/>
  <c r="N20" i="21"/>
  <c r="I13" i="21"/>
  <c r="J13" i="21"/>
  <c r="O76" i="16"/>
  <c r="P76" i="16"/>
  <c r="M14" i="6"/>
  <c r="L14" i="6"/>
  <c r="N14" i="6"/>
  <c r="O14" i="6"/>
  <c r="P14" i="6"/>
  <c r="L15" i="6"/>
  <c r="N15" i="6"/>
  <c r="O15" i="6"/>
  <c r="P15" i="6"/>
  <c r="P78" i="6"/>
  <c r="N19" i="21" s="1"/>
  <c r="O78" i="6"/>
  <c r="M19" i="21" s="1"/>
  <c r="M15" i="6"/>
  <c r="B20" i="21"/>
  <c r="P74" i="6"/>
  <c r="L75" i="17"/>
  <c r="Q15" i="6"/>
  <c r="K15" i="16"/>
  <c r="K17" i="16" s="1"/>
  <c r="J20" i="21"/>
  <c r="F20" i="21"/>
  <c r="O78" i="17"/>
  <c r="M12" i="21" s="1"/>
  <c r="H73" i="6"/>
  <c r="N75" i="6"/>
  <c r="K18" i="6"/>
  <c r="F15" i="6"/>
  <c r="G15" i="6"/>
  <c r="G16" i="6" s="1"/>
  <c r="G78" i="6" s="1"/>
  <c r="G14" i="17"/>
  <c r="H14" i="17"/>
  <c r="H14" i="6" s="1"/>
  <c r="I14" i="17"/>
  <c r="J14" i="17"/>
  <c r="L16" i="17"/>
  <c r="L18" i="17" s="1"/>
  <c r="L78" i="17" s="1"/>
  <c r="G15" i="17"/>
  <c r="H15" i="17"/>
  <c r="H16" i="17" s="1"/>
  <c r="I15" i="17"/>
  <c r="I15" i="6" s="1"/>
  <c r="J15" i="17"/>
  <c r="J15" i="6" s="1"/>
  <c r="K16" i="17"/>
  <c r="K18" i="17" s="1"/>
  <c r="M16" i="17"/>
  <c r="M18" i="17" s="1"/>
  <c r="M78" i="17" s="1"/>
  <c r="K12" i="21" s="1"/>
  <c r="F15" i="17"/>
  <c r="F14" i="17"/>
  <c r="F14" i="16"/>
  <c r="G14" i="16"/>
  <c r="H14" i="16"/>
  <c r="I14" i="16"/>
  <c r="J14" i="16"/>
  <c r="K15" i="6"/>
  <c r="L73" i="16"/>
  <c r="O77" i="16"/>
  <c r="N5" i="21" s="1"/>
  <c r="B6" i="21"/>
  <c r="D15" i="16"/>
  <c r="D17" i="16" s="1"/>
  <c r="D80" i="16" s="1"/>
  <c r="D77" i="16"/>
  <c r="B5" i="21" s="1"/>
  <c r="M74" i="17"/>
  <c r="M75" i="17" s="1"/>
  <c r="M76" i="16"/>
  <c r="R32" i="6"/>
  <c r="R36" i="6"/>
  <c r="R30" i="6"/>
  <c r="K75" i="17"/>
  <c r="K78" i="6"/>
  <c r="I19" i="21" s="1"/>
  <c r="J74" i="6"/>
  <c r="J75" i="6" s="1"/>
  <c r="J87" i="6" s="1"/>
  <c r="D74" i="16"/>
  <c r="D75" i="17"/>
  <c r="E75" i="17"/>
  <c r="F75" i="17"/>
  <c r="G75" i="17"/>
  <c r="H75" i="17"/>
  <c r="I75" i="17"/>
  <c r="J75" i="17"/>
  <c r="E74" i="16"/>
  <c r="F74" i="16"/>
  <c r="G74" i="16"/>
  <c r="H74" i="16"/>
  <c r="I74" i="16"/>
  <c r="D74" i="6"/>
  <c r="D75" i="6" s="1"/>
  <c r="E74" i="6"/>
  <c r="E75" i="6" s="1"/>
  <c r="I74" i="6"/>
  <c r="I75" i="6" s="1"/>
  <c r="I87" i="6" s="1"/>
  <c r="G18" i="21"/>
  <c r="G11" i="21"/>
  <c r="G12" i="21"/>
  <c r="H16" i="16"/>
  <c r="I17" i="6"/>
  <c r="I17" i="17"/>
  <c r="G73" i="6"/>
  <c r="D16" i="6"/>
  <c r="D78" i="6" s="1"/>
  <c r="B19" i="21" s="1"/>
  <c r="E16" i="6"/>
  <c r="E18" i="6" s="1"/>
  <c r="E16" i="17"/>
  <c r="E18" i="17" s="1"/>
  <c r="D16" i="17"/>
  <c r="D18" i="17" s="1"/>
  <c r="E15" i="16"/>
  <c r="E77" i="16"/>
  <c r="B4" i="21"/>
  <c r="B11" i="21"/>
  <c r="C11" i="21"/>
  <c r="D11" i="21"/>
  <c r="E11" i="21"/>
  <c r="F11" i="21"/>
  <c r="H11" i="21"/>
  <c r="B18" i="21"/>
  <c r="C18" i="21"/>
  <c r="D18" i="21"/>
  <c r="E18" i="21"/>
  <c r="F18" i="21"/>
  <c r="H18" i="21"/>
  <c r="G17" i="6"/>
  <c r="H17" i="6"/>
  <c r="G17" i="17"/>
  <c r="H17" i="17"/>
  <c r="F16" i="16"/>
  <c r="G16" i="16"/>
  <c r="H74" i="6"/>
  <c r="G74" i="6"/>
  <c r="L75" i="6"/>
  <c r="N16" i="17"/>
  <c r="N18" i="17" s="1"/>
  <c r="N78" i="17" s="1"/>
  <c r="L12" i="21" s="1"/>
  <c r="F14" i="6"/>
  <c r="F16" i="6" s="1"/>
  <c r="E17" i="16"/>
  <c r="E80" i="16" s="1"/>
  <c r="S26" i="6"/>
  <c r="R70" i="6"/>
  <c r="R69" i="6"/>
  <c r="R68" i="6"/>
  <c r="R67" i="6"/>
  <c r="R66" i="6"/>
  <c r="R65" i="6"/>
  <c r="R64" i="6"/>
  <c r="R61" i="6"/>
  <c r="R62" i="6"/>
  <c r="R60" i="6"/>
  <c r="R58" i="6"/>
  <c r="R59" i="6"/>
  <c r="R57" i="6"/>
  <c r="R56" i="6"/>
  <c r="R55" i="6"/>
  <c r="R54" i="6"/>
  <c r="R49" i="6"/>
  <c r="R53" i="6"/>
  <c r="R52" i="6"/>
  <c r="R51" i="6"/>
  <c r="R50" i="6"/>
  <c r="R47" i="6"/>
  <c r="R48" i="6"/>
  <c r="R46" i="6"/>
  <c r="R42" i="6"/>
  <c r="R43" i="6"/>
  <c r="R44" i="6"/>
  <c r="R45" i="6"/>
  <c r="R21" i="6"/>
  <c r="R35" i="6"/>
  <c r="R37" i="6"/>
  <c r="R38" i="6"/>
  <c r="R39" i="6"/>
  <c r="R40" i="6"/>
  <c r="R41" i="6"/>
  <c r="R28" i="6"/>
  <c r="L74" i="16"/>
  <c r="R29" i="6"/>
  <c r="R27" i="6"/>
  <c r="R33" i="6"/>
  <c r="E79" i="16"/>
  <c r="C7" i="21" s="1"/>
  <c r="C5" i="21"/>
  <c r="R26" i="6"/>
  <c r="R31" i="6"/>
  <c r="R34" i="6"/>
  <c r="R23" i="6"/>
  <c r="Q75" i="17"/>
  <c r="I80" i="17"/>
  <c r="G14" i="21" s="1"/>
  <c r="Q13" i="21"/>
  <c r="S27" i="6"/>
  <c r="R63" i="6"/>
  <c r="R22" i="6"/>
  <c r="R24" i="6"/>
  <c r="R25" i="6"/>
  <c r="L77" i="16"/>
  <c r="K5" i="21" s="1"/>
  <c r="R75" i="17"/>
  <c r="R94" i="6"/>
  <c r="O20" i="21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5" i="6"/>
  <c r="S44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7" i="6"/>
  <c r="S66" i="6"/>
  <c r="S68" i="6"/>
  <c r="S69" i="6"/>
  <c r="H78" i="17" l="1"/>
  <c r="F12" i="21" s="1"/>
  <c r="H18" i="17"/>
  <c r="W43" i="17"/>
  <c r="AA43" i="17"/>
  <c r="E78" i="17"/>
  <c r="C12" i="21" s="1"/>
  <c r="W68" i="17"/>
  <c r="AA68" i="17"/>
  <c r="Y75" i="17"/>
  <c r="W69" i="17"/>
  <c r="AA69" i="17"/>
  <c r="W70" i="17"/>
  <c r="AA70" i="17"/>
  <c r="V67" i="16"/>
  <c r="V68" i="16"/>
  <c r="V69" i="16"/>
  <c r="J16" i="17"/>
  <c r="J78" i="17" s="1"/>
  <c r="H12" i="21" s="1"/>
  <c r="D78" i="17"/>
  <c r="F16" i="17"/>
  <c r="K78" i="17"/>
  <c r="K80" i="17" s="1"/>
  <c r="K82" i="17" s="1"/>
  <c r="I15" i="21" s="1"/>
  <c r="Q18" i="17"/>
  <c r="Q78" i="17" s="1"/>
  <c r="O12" i="21" s="1"/>
  <c r="W16" i="17"/>
  <c r="W18" i="17" s="1"/>
  <c r="W78" i="17" s="1"/>
  <c r="W80" i="17" s="1"/>
  <c r="F78" i="6"/>
  <c r="D19" i="21" s="1"/>
  <c r="F18" i="6"/>
  <c r="P80" i="6"/>
  <c r="N21" i="21" s="1"/>
  <c r="D18" i="6"/>
  <c r="G16" i="17"/>
  <c r="G78" i="17" s="1"/>
  <c r="E12" i="21" s="1"/>
  <c r="I16" i="17"/>
  <c r="I18" i="17" s="1"/>
  <c r="E80" i="17"/>
  <c r="E82" i="17" s="1"/>
  <c r="C15" i="21" s="1"/>
  <c r="I82" i="17"/>
  <c r="G15" i="21" s="1"/>
  <c r="L5" i="21"/>
  <c r="M79" i="16"/>
  <c r="L7" i="21" s="1"/>
  <c r="K77" i="16"/>
  <c r="K80" i="16"/>
  <c r="I77" i="16"/>
  <c r="I17" i="16"/>
  <c r="I80" i="16" s="1"/>
  <c r="O79" i="16"/>
  <c r="N7" i="21" s="1"/>
  <c r="E81" i="16"/>
  <c r="C8" i="21" s="1"/>
  <c r="W14" i="6"/>
  <c r="G15" i="16"/>
  <c r="F15" i="16"/>
  <c r="F17" i="16" s="1"/>
  <c r="F80" i="16" s="1"/>
  <c r="P17" i="16"/>
  <c r="P77" i="16" s="1"/>
  <c r="O5" i="21" s="1"/>
  <c r="D79" i="16"/>
  <c r="W15" i="6"/>
  <c r="O7" i="1"/>
  <c r="N14" i="1"/>
  <c r="G8" i="1"/>
  <c r="G9" i="1" s="1"/>
  <c r="G10" i="1" s="1"/>
  <c r="G11" i="1" s="1"/>
  <c r="G12" i="1" s="1"/>
  <c r="G13" i="1" s="1"/>
  <c r="G14" i="1"/>
  <c r="U67" i="17"/>
  <c r="T66" i="16"/>
  <c r="V66" i="16" s="1"/>
  <c r="L14" i="1"/>
  <c r="U49" i="6"/>
  <c r="T73" i="6"/>
  <c r="T75" i="6" s="1"/>
  <c r="U73" i="6"/>
  <c r="U75" i="6" s="1"/>
  <c r="F78" i="17"/>
  <c r="F80" i="17" s="1"/>
  <c r="F18" i="17"/>
  <c r="P16" i="6"/>
  <c r="T78" i="17"/>
  <c r="R12" i="21" s="1"/>
  <c r="T18" i="17"/>
  <c r="R18" i="17"/>
  <c r="R78" i="17" s="1"/>
  <c r="P12" i="21" s="1"/>
  <c r="M74" i="6"/>
  <c r="M75" i="6" s="1"/>
  <c r="L16" i="6"/>
  <c r="L18" i="6" s="1"/>
  <c r="L78" i="6" s="1"/>
  <c r="L80" i="6" s="1"/>
  <c r="S78" i="17"/>
  <c r="S16" i="6"/>
  <c r="S18" i="6" s="1"/>
  <c r="S78" i="6" s="1"/>
  <c r="Q19" i="21" s="1"/>
  <c r="M16" i="6"/>
  <c r="M18" i="6" s="1"/>
  <c r="M78" i="6" s="1"/>
  <c r="K19" i="21" s="1"/>
  <c r="G75" i="6"/>
  <c r="G87" i="6" s="1"/>
  <c r="Q80" i="17"/>
  <c r="O80" i="17"/>
  <c r="M14" i="21" s="1"/>
  <c r="F80" i="6"/>
  <c r="D21" i="21" s="1"/>
  <c r="E19" i="21"/>
  <c r="G80" i="6"/>
  <c r="E21" i="21" s="1"/>
  <c r="G18" i="6"/>
  <c r="E78" i="6"/>
  <c r="K80" i="6"/>
  <c r="I21" i="21" s="1"/>
  <c r="C21" i="6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D80" i="6"/>
  <c r="B21" i="21" s="1"/>
  <c r="N16" i="6"/>
  <c r="P75" i="6"/>
  <c r="P82" i="6" s="1"/>
  <c r="N22" i="21" s="1"/>
  <c r="H75" i="6"/>
  <c r="H87" i="6" s="1"/>
  <c r="J12" i="21"/>
  <c r="L80" i="17"/>
  <c r="L82" i="17" s="1"/>
  <c r="J15" i="21" s="1"/>
  <c r="J18" i="17"/>
  <c r="N80" i="17"/>
  <c r="W74" i="6"/>
  <c r="W75" i="6" s="1"/>
  <c r="M80" i="17"/>
  <c r="K14" i="21" s="1"/>
  <c r="R79" i="6"/>
  <c r="P20" i="21" s="1"/>
  <c r="Q16" i="6"/>
  <c r="Q18" i="6" s="1"/>
  <c r="Q78" i="6" s="1"/>
  <c r="Q80" i="6" s="1"/>
  <c r="J14" i="6"/>
  <c r="J16" i="6" s="1"/>
  <c r="J18" i="6" s="1"/>
  <c r="M13" i="21"/>
  <c r="O16" i="6"/>
  <c r="R16" i="6"/>
  <c r="R18" i="6" s="1"/>
  <c r="R78" i="6" s="1"/>
  <c r="P19" i="21" s="1"/>
  <c r="S79" i="6"/>
  <c r="Q20" i="21" s="1"/>
  <c r="S75" i="6"/>
  <c r="I14" i="6"/>
  <c r="I16" i="6" s="1"/>
  <c r="I78" i="6" s="1"/>
  <c r="T16" i="6"/>
  <c r="T18" i="6" s="1"/>
  <c r="T78" i="6" s="1"/>
  <c r="R19" i="21" s="1"/>
  <c r="W75" i="17"/>
  <c r="R80" i="17"/>
  <c r="R82" i="17" s="1"/>
  <c r="P15" i="21" s="1"/>
  <c r="J80" i="17"/>
  <c r="H14" i="21" s="1"/>
  <c r="C14" i="21"/>
  <c r="P80" i="17"/>
  <c r="P82" i="17" s="1"/>
  <c r="N15" i="21" s="1"/>
  <c r="F87" i="6"/>
  <c r="Q5" i="21"/>
  <c r="R79" i="16"/>
  <c r="Q7" i="21" s="1"/>
  <c r="P5" i="21"/>
  <c r="Q79" i="16"/>
  <c r="P7" i="21" s="1"/>
  <c r="D81" i="16"/>
  <c r="B8" i="21" s="1"/>
  <c r="F77" i="16"/>
  <c r="D87" i="6"/>
  <c r="G77" i="16"/>
  <c r="F5" i="21" s="1"/>
  <c r="G17" i="16"/>
  <c r="G80" i="16" s="1"/>
  <c r="O81" i="16"/>
  <c r="N8" i="21" s="1"/>
  <c r="S17" i="16"/>
  <c r="S77" i="16" s="1"/>
  <c r="R5" i="21" s="1"/>
  <c r="H17" i="16"/>
  <c r="H80" i="16" s="1"/>
  <c r="E87" i="6"/>
  <c r="B7" i="21"/>
  <c r="H15" i="6"/>
  <c r="H16" i="6" s="1"/>
  <c r="J77" i="16"/>
  <c r="I5" i="21" s="1"/>
  <c r="N79" i="16"/>
  <c r="H79" i="16"/>
  <c r="G79" i="16"/>
  <c r="F7" i="21" s="1"/>
  <c r="T70" i="6"/>
  <c r="W70" i="6" s="1"/>
  <c r="S78" i="16"/>
  <c r="R6" i="21" s="1"/>
  <c r="U6" i="21" s="1"/>
  <c r="U69" i="6"/>
  <c r="T79" i="17"/>
  <c r="T68" i="6"/>
  <c r="T69" i="6"/>
  <c r="W69" i="6" s="1"/>
  <c r="M81" i="16"/>
  <c r="L8" i="21" s="1"/>
  <c r="T67" i="6"/>
  <c r="W67" i="6" s="1"/>
  <c r="U68" i="6"/>
  <c r="T66" i="6"/>
  <c r="W66" i="6" s="1"/>
  <c r="U67" i="6"/>
  <c r="T65" i="6"/>
  <c r="W65" i="6" s="1"/>
  <c r="T64" i="6"/>
  <c r="W64" i="6" s="1"/>
  <c r="T34" i="6"/>
  <c r="W34" i="6" s="1"/>
  <c r="T63" i="6"/>
  <c r="W63" i="6" s="1"/>
  <c r="T38" i="6"/>
  <c r="W38" i="6" s="1"/>
  <c r="T57" i="6"/>
  <c r="W57" i="6" s="1"/>
  <c r="T48" i="6"/>
  <c r="W48" i="6" s="1"/>
  <c r="T55" i="6"/>
  <c r="W55" i="6" s="1"/>
  <c r="T40" i="6"/>
  <c r="W40" i="6" s="1"/>
  <c r="T33" i="6"/>
  <c r="W33" i="6" s="1"/>
  <c r="T23" i="6"/>
  <c r="W23" i="6" s="1"/>
  <c r="T31" i="6"/>
  <c r="W31" i="6" s="1"/>
  <c r="T49" i="6"/>
  <c r="W49" i="6" s="1"/>
  <c r="T47" i="6"/>
  <c r="W47" i="6" s="1"/>
  <c r="T39" i="6"/>
  <c r="W39" i="6" s="1"/>
  <c r="T37" i="6"/>
  <c r="W37" i="6" s="1"/>
  <c r="T58" i="6"/>
  <c r="W58" i="6" s="1"/>
  <c r="T30" i="6"/>
  <c r="W30" i="6" s="1"/>
  <c r="T61" i="6"/>
  <c r="W61" i="6" s="1"/>
  <c r="T41" i="6"/>
  <c r="W41" i="6" s="1"/>
  <c r="T22" i="6"/>
  <c r="W22" i="6" s="1"/>
  <c r="T46" i="6"/>
  <c r="W46" i="6" s="1"/>
  <c r="T24" i="6"/>
  <c r="W24" i="6" s="1"/>
  <c r="T29" i="6"/>
  <c r="W29" i="6" s="1"/>
  <c r="T26" i="6"/>
  <c r="W26" i="6" s="1"/>
  <c r="T21" i="6"/>
  <c r="W21" i="6" s="1"/>
  <c r="T54" i="6"/>
  <c r="W54" i="6" s="1"/>
  <c r="T45" i="6"/>
  <c r="W45" i="6" s="1"/>
  <c r="T56" i="6"/>
  <c r="W56" i="6" s="1"/>
  <c r="T42" i="6"/>
  <c r="W42" i="6" s="1"/>
  <c r="T53" i="6"/>
  <c r="W53" i="6" s="1"/>
  <c r="T50" i="6"/>
  <c r="W50" i="6" s="1"/>
  <c r="T60" i="6"/>
  <c r="W60" i="6" s="1"/>
  <c r="T28" i="6"/>
  <c r="W28" i="6" s="1"/>
  <c r="T32" i="6"/>
  <c r="W32" i="6" s="1"/>
  <c r="T44" i="6"/>
  <c r="W44" i="6" s="1"/>
  <c r="T62" i="6"/>
  <c r="W62" i="6" s="1"/>
  <c r="T35" i="6"/>
  <c r="W35" i="6" s="1"/>
  <c r="T52" i="6"/>
  <c r="W52" i="6" s="1"/>
  <c r="T43" i="6"/>
  <c r="W43" i="6" s="1"/>
  <c r="T19" i="6"/>
  <c r="W19" i="6" s="1"/>
  <c r="T36" i="6"/>
  <c r="W36" i="6" s="1"/>
  <c r="T51" i="6"/>
  <c r="W51" i="6" s="1"/>
  <c r="T25" i="6"/>
  <c r="W25" i="6" s="1"/>
  <c r="T59" i="6"/>
  <c r="W59" i="6" s="1"/>
  <c r="T27" i="6"/>
  <c r="W27" i="6" s="1"/>
  <c r="T20" i="6"/>
  <c r="W20" i="6" s="1"/>
  <c r="O80" i="6"/>
  <c r="J82" i="17"/>
  <c r="H15" i="21" s="1"/>
  <c r="H80" i="17"/>
  <c r="N13" i="21"/>
  <c r="H13" i="21"/>
  <c r="P13" i="21"/>
  <c r="H81" i="16"/>
  <c r="G8" i="21" s="1"/>
  <c r="G7" i="21"/>
  <c r="P79" i="16"/>
  <c r="G6" i="21"/>
  <c r="F6" i="21"/>
  <c r="L79" i="16"/>
  <c r="J79" i="16"/>
  <c r="I12" i="21" l="1"/>
  <c r="W67" i="17"/>
  <c r="AA67" i="17"/>
  <c r="J19" i="21"/>
  <c r="I14" i="21"/>
  <c r="G18" i="17"/>
  <c r="O82" i="17"/>
  <c r="M15" i="21" s="1"/>
  <c r="U79" i="17"/>
  <c r="U80" i="17" s="1"/>
  <c r="G80" i="17"/>
  <c r="G82" i="17" s="1"/>
  <c r="E15" i="21" s="1"/>
  <c r="D80" i="17"/>
  <c r="B12" i="21"/>
  <c r="F82" i="6"/>
  <c r="D22" i="21" s="1"/>
  <c r="W79" i="6"/>
  <c r="H5" i="21"/>
  <c r="I79" i="16"/>
  <c r="U5" i="21"/>
  <c r="W68" i="6"/>
  <c r="K79" i="16"/>
  <c r="J5" i="21"/>
  <c r="G81" i="16"/>
  <c r="F8" i="21" s="1"/>
  <c r="Q81" i="16"/>
  <c r="P8" i="21" s="1"/>
  <c r="N18" i="6"/>
  <c r="N78" i="6" s="1"/>
  <c r="N80" i="6" s="1"/>
  <c r="W16" i="6"/>
  <c r="W18" i="6" s="1"/>
  <c r="W78" i="6" s="1"/>
  <c r="U79" i="6"/>
  <c r="U80" i="6" s="1"/>
  <c r="T78" i="16"/>
  <c r="C7" i="4" s="1"/>
  <c r="O8" i="1"/>
  <c r="O9" i="1" s="1"/>
  <c r="O10" i="1" s="1"/>
  <c r="O11" i="1" s="1"/>
  <c r="O12" i="1" s="1"/>
  <c r="O13" i="1" s="1"/>
  <c r="O14" i="1"/>
  <c r="D12" i="21"/>
  <c r="J14" i="21"/>
  <c r="G82" i="6"/>
  <c r="E22" i="21" s="1"/>
  <c r="S80" i="17"/>
  <c r="Q12" i="21"/>
  <c r="U12" i="21" s="1"/>
  <c r="J78" i="6"/>
  <c r="O19" i="21"/>
  <c r="U19" i="21" s="1"/>
  <c r="M80" i="6"/>
  <c r="I18" i="6"/>
  <c r="O14" i="21"/>
  <c r="Q82" i="17"/>
  <c r="O15" i="21" s="1"/>
  <c r="N14" i="21"/>
  <c r="C19" i="21"/>
  <c r="E80" i="6"/>
  <c r="R80" i="6"/>
  <c r="R82" i="6" s="1"/>
  <c r="P22" i="21" s="1"/>
  <c r="K82" i="6"/>
  <c r="I22" i="21" s="1"/>
  <c r="D82" i="6"/>
  <c r="B22" i="21" s="1"/>
  <c r="S80" i="6"/>
  <c r="S82" i="6" s="1"/>
  <c r="Q22" i="21" s="1"/>
  <c r="W82" i="17"/>
  <c r="F82" i="17"/>
  <c r="D15" i="21" s="1"/>
  <c r="D14" i="21"/>
  <c r="P14" i="21"/>
  <c r="M82" i="17"/>
  <c r="K15" i="21" s="1"/>
  <c r="L14" i="21"/>
  <c r="N82" i="17"/>
  <c r="L15" i="21" s="1"/>
  <c r="L82" i="6"/>
  <c r="J22" i="21" s="1"/>
  <c r="J21" i="21"/>
  <c r="J89" i="6"/>
  <c r="Q82" i="6"/>
  <c r="O22" i="21" s="1"/>
  <c r="O21" i="21"/>
  <c r="H78" i="6"/>
  <c r="H18" i="6"/>
  <c r="F79" i="16"/>
  <c r="E5" i="21"/>
  <c r="I80" i="6"/>
  <c r="G19" i="21"/>
  <c r="R81" i="16"/>
  <c r="Q8" i="21" s="1"/>
  <c r="N81" i="16"/>
  <c r="M8" i="21" s="1"/>
  <c r="M7" i="21"/>
  <c r="T79" i="6"/>
  <c r="S79" i="16"/>
  <c r="R13" i="21"/>
  <c r="U13" i="21" s="1"/>
  <c r="T80" i="17"/>
  <c r="O82" i="6"/>
  <c r="M22" i="21" s="1"/>
  <c r="M21" i="21"/>
  <c r="H82" i="17"/>
  <c r="F15" i="21" s="1"/>
  <c r="F14" i="21"/>
  <c r="P81" i="16"/>
  <c r="O8" i="21" s="1"/>
  <c r="O7" i="21"/>
  <c r="I7" i="21"/>
  <c r="J81" i="16"/>
  <c r="I8" i="21" s="1"/>
  <c r="K7" i="21"/>
  <c r="L81" i="16"/>
  <c r="K8" i="21" s="1"/>
  <c r="E14" i="21" l="1"/>
  <c r="C14" i="4"/>
  <c r="B14" i="21"/>
  <c r="D82" i="17"/>
  <c r="B15" i="21" s="1"/>
  <c r="L19" i="21"/>
  <c r="K87" i="6"/>
  <c r="J7" i="21"/>
  <c r="K81" i="16"/>
  <c r="J8" i="21" s="1"/>
  <c r="I81" i="16"/>
  <c r="H8" i="21" s="1"/>
  <c r="H7" i="21"/>
  <c r="T79" i="16"/>
  <c r="Q14" i="21"/>
  <c r="U14" i="21" s="1"/>
  <c r="S82" i="17"/>
  <c r="Q15" i="21" s="1"/>
  <c r="K21" i="21"/>
  <c r="M82" i="6"/>
  <c r="K22" i="21" s="1"/>
  <c r="H19" i="21"/>
  <c r="J80" i="6"/>
  <c r="W80" i="6"/>
  <c r="W82" i="6" s="1"/>
  <c r="Q21" i="21"/>
  <c r="C21" i="21"/>
  <c r="E82" i="6"/>
  <c r="C22" i="21" s="1"/>
  <c r="P21" i="21"/>
  <c r="H80" i="6"/>
  <c r="F19" i="21"/>
  <c r="I82" i="6"/>
  <c r="G22" i="21" s="1"/>
  <c r="G21" i="21"/>
  <c r="N82" i="6"/>
  <c r="L22" i="21" s="1"/>
  <c r="L21" i="21"/>
  <c r="F81" i="16"/>
  <c r="E8" i="21" s="1"/>
  <c r="E7" i="21"/>
  <c r="R14" i="21"/>
  <c r="T82" i="17"/>
  <c r="R15" i="21" s="1"/>
  <c r="R20" i="21"/>
  <c r="U20" i="21" s="1"/>
  <c r="T80" i="6"/>
  <c r="T82" i="6" s="1"/>
  <c r="R7" i="21"/>
  <c r="U7" i="21" s="1"/>
  <c r="S81" i="16"/>
  <c r="R8" i="21" s="1"/>
  <c r="U8" i="21" s="1"/>
  <c r="U15" i="21" l="1"/>
  <c r="J82" i="6"/>
  <c r="H22" i="21" s="1"/>
  <c r="H21" i="21"/>
  <c r="U21" i="21"/>
  <c r="H82" i="6"/>
  <c r="F22" i="21" s="1"/>
  <c r="F21" i="21"/>
  <c r="R22" i="21"/>
  <c r="U22" i="21" s="1"/>
  <c r="R21" i="21"/>
  <c r="S20" i="21" l="1"/>
  <c r="S6" i="21"/>
  <c r="T81" i="16"/>
  <c r="S8" i="21" s="1"/>
  <c r="V79" i="16" l="1"/>
  <c r="V81" i="16" s="1"/>
  <c r="W21" i="16"/>
  <c r="U82" i="6"/>
  <c r="S22" i="21" s="1"/>
  <c r="S7" i="21"/>
  <c r="S13" i="21"/>
  <c r="W22" i="16" l="1"/>
  <c r="W23" i="16" s="1"/>
  <c r="W24" i="16" s="1"/>
  <c r="W25" i="16" s="1"/>
  <c r="W26" i="16" s="1"/>
  <c r="W27" i="16" s="1"/>
  <c r="W28" i="16" s="1"/>
  <c r="W29" i="16" s="1"/>
  <c r="W30" i="16" s="1"/>
  <c r="W31" i="16" s="1"/>
  <c r="W32" i="16" s="1"/>
  <c r="W33" i="16" s="1"/>
  <c r="W34" i="16" s="1"/>
  <c r="W35" i="16" s="1"/>
  <c r="W36" i="16" s="1"/>
  <c r="W37" i="16" s="1"/>
  <c r="W38" i="16" s="1"/>
  <c r="W39" i="16" s="1"/>
  <c r="W40" i="16" s="1"/>
  <c r="W41" i="16" s="1"/>
  <c r="W42" i="16" s="1"/>
  <c r="W43" i="16" s="1"/>
  <c r="W44" i="16" s="1"/>
  <c r="W45" i="16" s="1"/>
  <c r="W46" i="16" s="1"/>
  <c r="W47" i="16" s="1"/>
  <c r="W48" i="16" s="1"/>
  <c r="W49" i="16" s="1"/>
  <c r="W50" i="16" s="1"/>
  <c r="W51" i="16" s="1"/>
  <c r="W52" i="16" s="1"/>
  <c r="W53" i="16" s="1"/>
  <c r="W54" i="16" s="1"/>
  <c r="W55" i="16" s="1"/>
  <c r="W56" i="16" s="1"/>
  <c r="W57" i="16" s="1"/>
  <c r="W58" i="16" s="1"/>
  <c r="W59" i="16" s="1"/>
  <c r="W60" i="16" s="1"/>
  <c r="W61" i="16" s="1"/>
  <c r="W62" i="16" s="1"/>
  <c r="W63" i="16" s="1"/>
  <c r="W64" i="16" s="1"/>
  <c r="W65" i="16" s="1"/>
  <c r="W66" i="16" s="1"/>
  <c r="W67" i="16" s="1"/>
  <c r="W68" i="16" s="1"/>
  <c r="W69" i="16" s="1"/>
  <c r="U82" i="17"/>
  <c r="S15" i="21" s="1"/>
  <c r="D7" i="4"/>
  <c r="E7" i="4" s="1"/>
  <c r="E11" i="4" s="1"/>
  <c r="S21" i="21"/>
  <c r="S14" i="21"/>
  <c r="E12" i="4" l="1"/>
  <c r="E14" i="4" s="1"/>
  <c r="D12" i="4"/>
  <c r="D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Mlibo Qotoyi</author>
  </authors>
  <commentList>
    <comment ref="D9" authorId="0" shapeId="0" xr:uid="{12778397-6B74-40DB-B4D4-36F828D81655}">
      <text>
        <r>
          <rPr>
            <b/>
            <sz val="9"/>
            <color rgb="FF000000"/>
            <rFont val="Tahoma"/>
            <family val="2"/>
          </rPr>
          <t>Mlibo Qotoyi: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Once Annually</t>
        </r>
      </text>
    </comment>
  </commentList>
</comments>
</file>

<file path=xl/sharedStrings.xml><?xml version="1.0" encoding="utf-8"?>
<sst xmlns="http://schemas.openxmlformats.org/spreadsheetml/2006/main" count="420" uniqueCount="166">
  <si>
    <t>Beraamde Lewering vs NOK Skatting / Delivery Estimate vs CEC Estimate</t>
  </si>
  <si>
    <t>White/Wit</t>
  </si>
  <si>
    <t>Yellow/Geel</t>
  </si>
  <si>
    <t>Total/Totaal</t>
  </si>
  <si>
    <t>Deliveries (May-Feb) (tons) (Note 2)</t>
  </si>
  <si>
    <t>Lewerings (Mei-Febr) (tonne) (Nota 2)</t>
  </si>
  <si>
    <t>Total deliveries  (tons) (Note 3)</t>
  </si>
  <si>
    <t>Totale lewerings  (tonne) (Nota 3)</t>
  </si>
  <si>
    <t>Adjustment for on-farm consumption &amp; storage (tons) (Note: 4) (Retention)</t>
  </si>
  <si>
    <t>Aanpassing vir op-plaas verbruik en stoor (Terughoudings)</t>
  </si>
  <si>
    <t>Crop estimate MINUS farm consumption, storage, seed retention etc</t>
  </si>
  <si>
    <t>Produksieskatting MIN plaasverbruik, stoor, saad terughouings ens</t>
  </si>
  <si>
    <t>Deliveries as % of CEC estimate minus retensions (%)</t>
  </si>
  <si>
    <t>Lewerings as % van die NOK skatting minus terughoudings(%)</t>
  </si>
  <si>
    <t>Outstanding after adjustment (tons)</t>
  </si>
  <si>
    <t>Uitstaande op NOK na aanpassings (tonne)</t>
  </si>
  <si>
    <t>Remaining weeks for delivery (Note 5)</t>
  </si>
  <si>
    <t>Uitstaande weke vir lewering (Nota 5)</t>
  </si>
  <si>
    <t>Delivery tempo needed to obtain CEC estimate</t>
  </si>
  <si>
    <t>Lewerings tempo benodig</t>
  </si>
  <si>
    <t>Notas/Notes</t>
  </si>
  <si>
    <t>Nota 1:  Maart en April 2024 se lewerings word geneem as vroeë lewerings.  Ouseisoenlewerings is moontlik maar waarskynlik minimaal</t>
  </si>
  <si>
    <t>Nota 2:  Slegs lewerings vanaf Mei tot Feb word in ag geneem omdat 'n aanname vir Maart en April se vroeë lewerings reeds gemaak is</t>
  </si>
  <si>
    <t>Nota 3:  Totale lewerings tot datum in 52 weke periode (Let op: Periode geneem as Mar - Feb en nie volgens amptelike bemarkingsjaar, Mei - Apr)</t>
  </si>
  <si>
    <t>Nota 4:  Aanname:  Volgens NOK se opnamesyfer onder produsente einde van Nov elke jaar - sien ook Graan SA se vraag- en aanbodbalansstaat.</t>
  </si>
  <si>
    <t xml:space="preserve">Nota 5:  [52 weke minus (Aantal vroeë lewerings weke plus weke sedert Meimaand)] </t>
  </si>
  <si>
    <t>SAGIS - Mielies se weeklikse produsentelewerings</t>
  </si>
  <si>
    <t xml:space="preserve">Witmielies/White maize </t>
  </si>
  <si>
    <t xml:space="preserve">Geelmielies/Yellow maize </t>
  </si>
  <si>
    <t xml:space="preserve">Totaal mielies/Total maize </t>
  </si>
  <si>
    <t>Bemarkingseisoen week</t>
  </si>
  <si>
    <t>Week geëindig</t>
  </si>
  <si>
    <t>Prod lewerings</t>
  </si>
  <si>
    <t>Regstellings</t>
  </si>
  <si>
    <t>Periode totaal</t>
  </si>
  <si>
    <t>Prog Totaal</t>
  </si>
  <si>
    <t>Marketing season week</t>
  </si>
  <si>
    <t>Week ending</t>
  </si>
  <si>
    <t>Prod deliveries</t>
  </si>
  <si>
    <t>Adjustments</t>
  </si>
  <si>
    <t>Period Total</t>
  </si>
  <si>
    <t>Prog Total</t>
  </si>
  <si>
    <t>Week Number</t>
  </si>
  <si>
    <t>Return Week</t>
  </si>
  <si>
    <t>WM1</t>
  </si>
  <si>
    <t>WM2</t>
  </si>
  <si>
    <t>WM3</t>
  </si>
  <si>
    <t>WMO</t>
  </si>
  <si>
    <t>White Total</t>
  </si>
  <si>
    <t>YM1</t>
  </si>
  <si>
    <t>YM2</t>
  </si>
  <si>
    <t>YM3</t>
  </si>
  <si>
    <t>YMO</t>
  </si>
  <si>
    <t>Yellow Total</t>
  </si>
  <si>
    <t xml:space="preserve">Grand Total </t>
  </si>
  <si>
    <t>Total</t>
  </si>
  <si>
    <t>White maize</t>
  </si>
  <si>
    <t>Yellow maize</t>
  </si>
  <si>
    <t>Yellow maize - Weekly delivery comparison / Geelmielies - Weeklikse lewerings vergelyking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</si>
  <si>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</si>
  <si>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</si>
  <si>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</si>
  <si>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</si>
  <si>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</si>
  <si>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</si>
  <si>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</si>
  <si>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</si>
  <si>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</si>
  <si>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</si>
  <si>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</si>
  <si>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</si>
  <si>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</si>
  <si>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</si>
  <si>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</si>
  <si>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</si>
  <si>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2024/25*</t>
  </si>
  <si>
    <t>5 Yr. AVG</t>
  </si>
  <si>
    <t>Prog. 5 Yr. AVG</t>
  </si>
  <si>
    <t>10 Mar 2023</t>
  </si>
  <si>
    <t>17 Mar 2023</t>
  </si>
  <si>
    <t>24 Mar 2023</t>
  </si>
  <si>
    <t>31 Mar 2023</t>
  </si>
  <si>
    <t>07 Apr 2023</t>
  </si>
  <si>
    <t>14 Apr 2023</t>
  </si>
  <si>
    <t>21 Apr 2023</t>
  </si>
  <si>
    <t>28 Apr 2023</t>
  </si>
  <si>
    <t>Jan &amp; Feb 2024</t>
  </si>
  <si>
    <t>Mar</t>
  </si>
  <si>
    <t>Apr</t>
  </si>
  <si>
    <t>Totale vroee lewerings</t>
  </si>
  <si>
    <t>Early Deliveries</t>
  </si>
  <si>
    <t>NOK Finale skatting</t>
  </si>
  <si>
    <t>5220000</t>
  </si>
  <si>
    <t>Farm consumption, storage, seed retention etc</t>
  </si>
  <si>
    <t>NOK - Farm use and seed retention</t>
  </si>
  <si>
    <t>Opsomming</t>
  </si>
  <si>
    <t>Vroeë lewering/Early deliveries (Mar &amp; Apr)</t>
  </si>
  <si>
    <t>Lewerings vanaf Mei/Deliveries from May</t>
  </si>
  <si>
    <t>Totale lewerings/Total deliveries</t>
  </si>
  <si>
    <t>% Gelewer van Oesskatting/% delivered crop estimate</t>
  </si>
  <si>
    <t>Footnote:</t>
  </si>
  <si>
    <t xml:space="preserve">Remember that the actual producer deliveries as compared with the CEC include early deliveries for February and March as well as data for week 1 - 44. </t>
  </si>
  <si>
    <t>Therefore the comparison in this summary table ends at week 44 whereafter it is assumed that the early deliveries for the next season continues from week 45</t>
  </si>
  <si>
    <t>White maize - Weekly delivery comparison / Witmielies - Weeklikse lewerings vergelyking</t>
  </si>
  <si>
    <t>15 Mar 2024</t>
  </si>
  <si>
    <t>22 Mar 2024</t>
  </si>
  <si>
    <t>29 Mar 2024</t>
  </si>
  <si>
    <t>25 Mar 2023</t>
  </si>
  <si>
    <t>26 Mar 2023</t>
  </si>
  <si>
    <t>05 Apr 2024</t>
  </si>
  <si>
    <t>12 Apr 2024</t>
  </si>
  <si>
    <t>19 Apr 2024</t>
  </si>
  <si>
    <t>26 Apr 2024</t>
  </si>
  <si>
    <t xml:space="preserve">Jan &amp; Feb </t>
  </si>
  <si>
    <t>current - 5ya</t>
  </si>
  <si>
    <t>SAGIS lewerings weeklies (1 Mrt - 28 Feb)</t>
  </si>
  <si>
    <t>Total maize - Weekly delivery comparison / Totaal mielies - Weeklikse lewerings vergelyking</t>
  </si>
  <si>
    <t>2024/25</t>
  </si>
  <si>
    <t>11 Mar 2022</t>
  </si>
  <si>
    <t>18 Mar 2022</t>
  </si>
  <si>
    <t>25 Mar 2022</t>
  </si>
  <si>
    <t>01 Apr 2022</t>
  </si>
  <si>
    <t>8 Apr 2022</t>
  </si>
  <si>
    <t>15 Apr 2022</t>
  </si>
  <si>
    <t>22 Apr 2022</t>
  </si>
  <si>
    <t>29 Apr 2022</t>
  </si>
  <si>
    <t>2023/24*</t>
  </si>
  <si>
    <t>Early deliveries</t>
  </si>
  <si>
    <t>%  Lewerings vanaf week 16-44 / Oesskatting</t>
  </si>
  <si>
    <t>Average</t>
  </si>
  <si>
    <t xml:space="preserve">Summary: Maize producer deliveries </t>
  </si>
  <si>
    <t>2025/26</t>
  </si>
  <si>
    <t>5 YA</t>
  </si>
  <si>
    <t>Vroeë lewering (Mar &amp; Apr)</t>
  </si>
  <si>
    <t>Lewerings vanaf Mei</t>
  </si>
  <si>
    <t>Totale lewerings</t>
  </si>
  <si>
    <t>% Gelewer van die finale Oes</t>
  </si>
  <si>
    <t>2018/19*</t>
  </si>
  <si>
    <t>2019/20*</t>
  </si>
  <si>
    <t>2020/21*</t>
  </si>
  <si>
    <t>2021/22*</t>
  </si>
  <si>
    <t>2022/23*</t>
  </si>
  <si>
    <r>
      <rPr>
        <b/>
        <sz val="10"/>
        <rFont val="Arial"/>
        <family val="2"/>
      </rPr>
      <t>Take note:</t>
    </r>
    <r>
      <rPr>
        <sz val="10"/>
        <rFont val="Arial"/>
        <family val="2"/>
      </rPr>
      <t xml:space="preserve"> % Maize delivered is calculated as followes = Latest crop estimate figures </t>
    </r>
    <r>
      <rPr>
        <i/>
        <sz val="10"/>
        <rFont val="Arial"/>
        <family val="2"/>
      </rPr>
      <t xml:space="preserve">MINUS </t>
    </r>
    <r>
      <rPr>
        <sz val="10"/>
        <rFont val="Arial"/>
        <family val="2"/>
      </rPr>
      <t>farm consumption, storage, seed retention etc</t>
    </r>
  </si>
  <si>
    <t>2024/25*: It should be noted that early deliveries during the month of January &amp; February 2024 is included</t>
  </si>
  <si>
    <t>Afgelope 3 jaar gemiddelde lewerings</t>
  </si>
  <si>
    <t>Afgelope 5 jaar gemiddelde lewerings</t>
  </si>
  <si>
    <t>Previous 3-year average deliveries</t>
  </si>
  <si>
    <t>Previous 5-year average deliveries</t>
  </si>
  <si>
    <t>2026/27*</t>
  </si>
  <si>
    <t>2026/04/25 - 2026/05/01</t>
  </si>
  <si>
    <t>Jan &amp; Feb 2025</t>
  </si>
  <si>
    <t>Mar 25</t>
  </si>
  <si>
    <t>Apr 25</t>
  </si>
  <si>
    <t>2026 CEC</t>
  </si>
  <si>
    <r>
      <t xml:space="preserve">Early deliveries (Mar &amp; Apr) (tons) </t>
    </r>
    <r>
      <rPr>
        <i/>
        <sz val="12"/>
        <rFont val="Arial"/>
        <family val="2"/>
      </rPr>
      <t>(Note 1)</t>
    </r>
  </si>
  <si>
    <r>
      <t xml:space="preserve">Vroeë lewerings (Mrt &amp; Apr) (tonne) </t>
    </r>
    <r>
      <rPr>
        <i/>
        <sz val="12"/>
        <rFont val="Arial"/>
        <family val="2"/>
      </rPr>
      <t>(Nota 1)</t>
    </r>
  </si>
  <si>
    <t>current-5ya</t>
  </si>
  <si>
    <t>CEC 3rd production estimate (tons)</t>
  </si>
  <si>
    <t>NOK 3rde produksieskatting (ton)</t>
  </si>
  <si>
    <t>2026/05/02 - 2026/05/08</t>
  </si>
  <si>
    <t>2026/27 Marketing year</t>
  </si>
  <si>
    <t>curreny - Previous</t>
  </si>
  <si>
    <t>current- previous</t>
  </si>
  <si>
    <t>week-on-week</t>
  </si>
  <si>
    <t>Prog 5ya</t>
  </si>
  <si>
    <t>2026/05/09 - 2026/05/15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</si>
</sst>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##\ ###\ ###"/>
    <numFmt numFmtId="168" formatCode="[$-409]d\-mmm\-yy;@"/>
    <numFmt numFmtId="169" formatCode="_-* #,##0_-;\-* #,##0_-;_-* &quot;-&quot;??_-;_-@_-"/>
  </numFmts>
  <fonts count="77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FF00"/>
      <name val="Arial"/>
      <family val="2"/>
    </font>
    <font>
      <sz val="9"/>
      <color rgb="FFFF0000"/>
      <name val="Arial"/>
      <family val="2"/>
    </font>
    <font>
      <b/>
      <sz val="1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002060"/>
      <name val="Cambria"/>
      <family val="2"/>
      <scheme val="major"/>
    </font>
    <font>
      <b/>
      <sz val="11"/>
      <color rgb="FF0000FF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3"/>
      <name val="Cambria"/>
      <family val="2"/>
      <scheme val="major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0070C0"/>
      <name val="Arial"/>
      <family val="2"/>
    </font>
    <font>
      <b/>
      <sz val="12"/>
      <color rgb="FF3B6367"/>
      <name val="Arial"/>
      <family val="2"/>
    </font>
    <font>
      <b/>
      <sz val="14"/>
      <color rgb="FF3B6367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i/>
      <sz val="12"/>
      <color theme="1"/>
      <name val="Arial"/>
      <family val="2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93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/>
      <top/>
      <bottom/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double">
        <color theme="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theme="4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ck">
        <color theme="4"/>
      </bottom>
      <diagonal/>
    </border>
    <border>
      <left/>
      <right/>
      <top style="medium">
        <color rgb="FFFF0000"/>
      </top>
      <bottom style="thick">
        <color theme="4"/>
      </bottom>
      <diagonal/>
    </border>
    <border>
      <left/>
      <right style="medium">
        <color rgb="FFFF0000"/>
      </right>
      <top style="medium">
        <color rgb="FFFF0000"/>
      </top>
      <bottom style="thick">
        <color theme="4"/>
      </bottom>
      <diagonal/>
    </border>
    <border>
      <left style="medium">
        <color rgb="FFFF0000"/>
      </left>
      <right/>
      <top/>
      <bottom style="medium">
        <color theme="4" tint="0.39997558519241921"/>
      </bottom>
      <diagonal/>
    </border>
    <border>
      <left/>
      <right style="medium">
        <color rgb="FFFF0000"/>
      </right>
      <top/>
      <bottom style="medium">
        <color theme="4" tint="0.39997558519241921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5">
    <xf numFmtId="0" fontId="0" fillId="0" borderId="0"/>
    <xf numFmtId="0" fontId="22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3" applyNumberFormat="0" applyFill="0" applyAlignment="0" applyProtection="0"/>
    <xf numFmtId="0" fontId="25" fillId="0" borderId="64" applyNumberFormat="0" applyFill="0" applyAlignment="0" applyProtection="0"/>
    <xf numFmtId="0" fontId="26" fillId="0" borderId="65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62" applyNumberFormat="0" applyAlignment="0" applyProtection="0"/>
    <xf numFmtId="0" fontId="9" fillId="0" borderId="0"/>
    <xf numFmtId="0" fontId="9" fillId="0" borderId="0"/>
    <xf numFmtId="0" fontId="19" fillId="0" borderId="0">
      <alignment vertical="top"/>
    </xf>
    <xf numFmtId="0" fontId="9" fillId="0" borderId="0"/>
    <xf numFmtId="0" fontId="28" fillId="0" borderId="0"/>
    <xf numFmtId="0" fontId="22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3" borderId="66" applyNumberFormat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7" applyNumberFormat="0" applyFill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57" fillId="0" borderId="0"/>
    <xf numFmtId="0" fontId="58" fillId="0" borderId="0"/>
    <xf numFmtId="0" fontId="57" fillId="0" borderId="0"/>
    <xf numFmtId="0" fontId="59" fillId="0" borderId="0"/>
    <xf numFmtId="0" fontId="60" fillId="0" borderId="0"/>
  </cellStyleXfs>
  <cellXfs count="6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165" fontId="4" fillId="0" borderId="0" xfId="2" applyNumberFormat="1" applyFont="1"/>
    <xf numFmtId="0" fontId="6" fillId="0" borderId="0" xfId="0" applyFont="1"/>
    <xf numFmtId="0" fontId="7" fillId="0" borderId="0" xfId="0" applyFont="1"/>
    <xf numFmtId="165" fontId="0" fillId="0" borderId="0" xfId="0" applyNumberFormat="1"/>
    <xf numFmtId="165" fontId="4" fillId="0" borderId="0" xfId="2" applyNumberFormat="1" applyFont="1" applyBorder="1"/>
    <xf numFmtId="49" fontId="4" fillId="0" borderId="0" xfId="0" applyNumberFormat="1" applyFont="1" applyAlignment="1">
      <alignment horizontal="center"/>
    </xf>
    <xf numFmtId="165" fontId="4" fillId="0" borderId="0" xfId="13" applyNumberFormat="1" applyFont="1" applyBorder="1"/>
    <xf numFmtId="165" fontId="4" fillId="0" borderId="0" xfId="10" applyNumberFormat="1" applyFont="1" applyBorder="1"/>
    <xf numFmtId="0" fontId="33" fillId="0" borderId="0" xfId="0" applyFont="1"/>
    <xf numFmtId="15" fontId="3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165" fontId="4" fillId="0" borderId="3" xfId="2" applyNumberFormat="1" applyFont="1" applyBorder="1"/>
    <xf numFmtId="0" fontId="4" fillId="0" borderId="1" xfId="0" applyFont="1" applyBorder="1" applyAlignment="1">
      <alignment horizontal="center"/>
    </xf>
    <xf numFmtId="165" fontId="4" fillId="0" borderId="3" xfId="13" applyNumberFormat="1" applyFont="1" applyBorder="1"/>
    <xf numFmtId="165" fontId="4" fillId="0" borderId="3" xfId="10" applyNumberFormat="1" applyFont="1" applyBorder="1"/>
    <xf numFmtId="165" fontId="4" fillId="0" borderId="3" xfId="16" applyNumberFormat="1" applyFont="1" applyBorder="1"/>
    <xf numFmtId="165" fontId="4" fillId="0" borderId="7" xfId="24" applyNumberFormat="1" applyFont="1" applyBorder="1"/>
    <xf numFmtId="165" fontId="4" fillId="0" borderId="9" xfId="13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4" xfId="1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/>
    <xf numFmtId="0" fontId="11" fillId="0" borderId="12" xfId="0" applyFont="1" applyBorder="1"/>
    <xf numFmtId="0" fontId="26" fillId="0" borderId="65" xfId="2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165" fontId="13" fillId="0" borderId="13" xfId="2" applyNumberFormat="1" applyFont="1" applyBorder="1"/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5" fontId="4" fillId="0" borderId="15" xfId="10" applyNumberFormat="1" applyFont="1" applyBorder="1"/>
    <xf numFmtId="49" fontId="4" fillId="0" borderId="16" xfId="0" applyNumberFormat="1" applyFont="1" applyBorder="1"/>
    <xf numFmtId="165" fontId="4" fillId="0" borderId="17" xfId="24" applyNumberFormat="1" applyFont="1" applyBorder="1"/>
    <xf numFmtId="49" fontId="4" fillId="0" borderId="18" xfId="0" applyNumberFormat="1" applyFont="1" applyBorder="1"/>
    <xf numFmtId="165" fontId="4" fillId="0" borderId="9" xfId="10" applyNumberFormat="1" applyFont="1" applyBorder="1"/>
    <xf numFmtId="0" fontId="0" fillId="0" borderId="0" xfId="0" applyAlignment="1">
      <alignment horizontal="left"/>
    </xf>
    <xf numFmtId="0" fontId="35" fillId="0" borderId="19" xfId="41" applyFont="1" applyBorder="1" applyAlignment="1">
      <alignment horizontal="left"/>
    </xf>
    <xf numFmtId="0" fontId="0" fillId="0" borderId="0" xfId="0" applyAlignment="1">
      <alignment horizontal="center"/>
    </xf>
    <xf numFmtId="0" fontId="35" fillId="0" borderId="20" xfId="41" applyFont="1" applyBorder="1" applyAlignment="1">
      <alignment horizontal="center"/>
    </xf>
    <xf numFmtId="0" fontId="35" fillId="0" borderId="21" xfId="41" applyFont="1" applyBorder="1" applyAlignment="1">
      <alignment horizontal="center"/>
    </xf>
    <xf numFmtId="165" fontId="9" fillId="0" borderId="21" xfId="24" applyNumberFormat="1" applyBorder="1" applyAlignment="1">
      <alignment horizontal="center"/>
    </xf>
    <xf numFmtId="165" fontId="9" fillId="0" borderId="16" xfId="24" applyNumberFormat="1" applyBorder="1" applyAlignment="1">
      <alignment horizontal="center"/>
    </xf>
    <xf numFmtId="165" fontId="9" fillId="0" borderId="23" xfId="24" applyNumberFormat="1" applyBorder="1" applyAlignment="1">
      <alignment horizontal="center"/>
    </xf>
    <xf numFmtId="165" fontId="9" fillId="0" borderId="18" xfId="24" applyNumberFormat="1" applyBorder="1" applyAlignment="1">
      <alignment horizontal="center"/>
    </xf>
    <xf numFmtId="0" fontId="36" fillId="0" borderId="24" xfId="42" applyFont="1" applyBorder="1" applyAlignment="1">
      <alignment horizontal="left"/>
    </xf>
    <xf numFmtId="165" fontId="9" fillId="0" borderId="26" xfId="24" applyNumberFormat="1" applyBorder="1" applyAlignment="1">
      <alignment horizontal="center"/>
    </xf>
    <xf numFmtId="165" fontId="9" fillId="0" borderId="25" xfId="24" applyNumberFormat="1" applyBorder="1" applyAlignment="1">
      <alignment horizontal="center"/>
    </xf>
    <xf numFmtId="0" fontId="37" fillId="3" borderId="69" xfId="36" applyFont="1" applyBorder="1" applyAlignment="1">
      <alignment horizontal="left"/>
    </xf>
    <xf numFmtId="166" fontId="37" fillId="3" borderId="23" xfId="36" applyNumberFormat="1" applyFont="1" applyBorder="1" applyAlignment="1">
      <alignment horizontal="center"/>
    </xf>
    <xf numFmtId="166" fontId="37" fillId="3" borderId="18" xfId="36" applyNumberFormat="1" applyFont="1" applyBorder="1" applyAlignment="1">
      <alignment horizontal="center"/>
    </xf>
    <xf numFmtId="165" fontId="4" fillId="0" borderId="15" xfId="13" applyNumberFormat="1" applyFont="1" applyBorder="1"/>
    <xf numFmtId="165" fontId="30" fillId="3" borderId="70" xfId="2" applyNumberFormat="1" applyFont="1" applyFill="1" applyBorder="1" applyAlignment="1">
      <alignment horizontal="center"/>
    </xf>
    <xf numFmtId="165" fontId="30" fillId="3" borderId="71" xfId="2" applyNumberFormat="1" applyFont="1" applyFill="1" applyBorder="1" applyAlignment="1">
      <alignment horizontal="center"/>
    </xf>
    <xf numFmtId="0" fontId="3" fillId="0" borderId="18" xfId="24" applyFont="1" applyBorder="1"/>
    <xf numFmtId="166" fontId="37" fillId="3" borderId="0" xfId="36" applyNumberFormat="1" applyFont="1" applyBorder="1" applyAlignment="1">
      <alignment horizontal="center"/>
    </xf>
    <xf numFmtId="0" fontId="35" fillId="0" borderId="1" xfId="41" applyFont="1" applyBorder="1" applyAlignment="1">
      <alignment horizontal="center"/>
    </xf>
    <xf numFmtId="0" fontId="35" fillId="0" borderId="29" xfId="41" applyFont="1" applyBorder="1" applyAlignment="1">
      <alignment horizontal="center"/>
    </xf>
    <xf numFmtId="0" fontId="37" fillId="3" borderId="72" xfId="36" applyFont="1" applyBorder="1" applyAlignment="1">
      <alignment horizontal="left"/>
    </xf>
    <xf numFmtId="166" fontId="37" fillId="3" borderId="29" xfId="36" applyNumberFormat="1" applyFont="1" applyBorder="1" applyAlignment="1">
      <alignment horizontal="center"/>
    </xf>
    <xf numFmtId="0" fontId="35" fillId="0" borderId="22" xfId="41" applyFont="1" applyBorder="1" applyAlignment="1">
      <alignment horizontal="left"/>
    </xf>
    <xf numFmtId="49" fontId="4" fillId="0" borderId="31" xfId="0" applyNumberFormat="1" applyFont="1" applyBorder="1" applyAlignment="1">
      <alignment horizontal="center"/>
    </xf>
    <xf numFmtId="165" fontId="3" fillId="0" borderId="0" xfId="10" applyNumberFormat="1" applyFont="1" applyBorder="1"/>
    <xf numFmtId="0" fontId="4" fillId="0" borderId="15" xfId="0" applyFont="1" applyBorder="1"/>
    <xf numFmtId="165" fontId="30" fillId="3" borderId="73" xfId="2" applyNumberFormat="1" applyFont="1" applyFill="1" applyBorder="1"/>
    <xf numFmtId="0" fontId="3" fillId="0" borderId="18" xfId="24" applyFont="1" applyBorder="1" applyAlignment="1">
      <alignment horizontal="center"/>
    </xf>
    <xf numFmtId="0" fontId="3" fillId="0" borderId="0" xfId="24" applyFont="1"/>
    <xf numFmtId="0" fontId="3" fillId="0" borderId="5" xfId="24" applyFont="1" applyBorder="1"/>
    <xf numFmtId="0" fontId="3" fillId="0" borderId="32" xfId="24" applyFont="1" applyBorder="1"/>
    <xf numFmtId="0" fontId="4" fillId="0" borderId="22" xfId="0" applyFont="1" applyBorder="1"/>
    <xf numFmtId="165" fontId="30" fillId="3" borderId="7" xfId="2" applyNumberFormat="1" applyFont="1" applyFill="1" applyBorder="1" applyAlignment="1">
      <alignment horizontal="center"/>
    </xf>
    <xf numFmtId="0" fontId="38" fillId="0" borderId="0" xfId="24" applyFont="1"/>
    <xf numFmtId="165" fontId="30" fillId="3" borderId="33" xfId="2" applyNumberFormat="1" applyFont="1" applyFill="1" applyBorder="1" applyAlignment="1">
      <alignment horizontal="center"/>
    </xf>
    <xf numFmtId="165" fontId="30" fillId="5" borderId="34" xfId="2" applyNumberFormat="1" applyFont="1" applyFill="1" applyBorder="1" applyAlignment="1">
      <alignment horizontal="center"/>
    </xf>
    <xf numFmtId="9" fontId="39" fillId="6" borderId="0" xfId="37" applyFont="1" applyFill="1" applyAlignment="1">
      <alignment horizontal="center"/>
    </xf>
    <xf numFmtId="10" fontId="4" fillId="0" borderId="0" xfId="0" applyNumberFormat="1" applyFont="1"/>
    <xf numFmtId="49" fontId="4" fillId="0" borderId="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0" xfId="0" applyFont="1" applyBorder="1"/>
    <xf numFmtId="165" fontId="30" fillId="3" borderId="7" xfId="7" applyNumberFormat="1" applyFont="1" applyFill="1" applyBorder="1" applyAlignment="1">
      <alignment horizontal="center"/>
    </xf>
    <xf numFmtId="165" fontId="30" fillId="3" borderId="33" xfId="7" applyNumberFormat="1" applyFont="1" applyFill="1" applyBorder="1" applyAlignment="1">
      <alignment horizontal="center"/>
    </xf>
    <xf numFmtId="165" fontId="30" fillId="5" borderId="34" xfId="7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18" xfId="0" applyFont="1" applyBorder="1"/>
    <xf numFmtId="14" fontId="12" fillId="0" borderId="0" xfId="0" applyNumberFormat="1" applyFont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3" fontId="12" fillId="0" borderId="0" xfId="0" applyNumberFormat="1" applyFont="1"/>
    <xf numFmtId="1" fontId="12" fillId="0" borderId="0" xfId="0" applyNumberFormat="1" applyFont="1"/>
    <xf numFmtId="1" fontId="26" fillId="0" borderId="65" xfId="21" applyNumberFormat="1" applyAlignment="1">
      <alignment horizontal="center" vertical="center" wrapText="1"/>
    </xf>
    <xf numFmtId="1" fontId="4" fillId="0" borderId="0" xfId="0" applyNumberFormat="1" applyFont="1"/>
    <xf numFmtId="165" fontId="30" fillId="3" borderId="3" xfId="9" applyNumberFormat="1" applyFont="1" applyFill="1" applyBorder="1"/>
    <xf numFmtId="165" fontId="30" fillId="3" borderId="75" xfId="2" applyNumberFormat="1" applyFont="1" applyFill="1" applyBorder="1"/>
    <xf numFmtId="165" fontId="30" fillId="3" borderId="76" xfId="2" applyNumberFormat="1" applyFont="1" applyFill="1" applyBorder="1"/>
    <xf numFmtId="165" fontId="30" fillId="3" borderId="3" xfId="2" applyNumberFormat="1" applyFont="1" applyFill="1" applyBorder="1"/>
    <xf numFmtId="9" fontId="0" fillId="0" borderId="0" xfId="37" applyFont="1"/>
    <xf numFmtId="0" fontId="32" fillId="0" borderId="77" xfId="42" applyBorder="1"/>
    <xf numFmtId="0" fontId="25" fillId="5" borderId="13" xfId="20" applyFill="1" applyBorder="1" applyAlignment="1">
      <alignment horizontal="center"/>
    </xf>
    <xf numFmtId="49" fontId="25" fillId="5" borderId="13" xfId="20" applyNumberFormat="1" applyFill="1" applyBorder="1" applyAlignment="1">
      <alignment horizontal="center"/>
    </xf>
    <xf numFmtId="0" fontId="32" fillId="0" borderId="1" xfId="42" applyFill="1" applyBorder="1" applyAlignment="1">
      <alignment horizontal="center"/>
    </xf>
    <xf numFmtId="0" fontId="25" fillId="5" borderId="38" xfId="20" applyFill="1" applyBorder="1" applyAlignment="1">
      <alignment horizontal="center"/>
    </xf>
    <xf numFmtId="0" fontId="25" fillId="5" borderId="39" xfId="20" applyFill="1" applyBorder="1" applyAlignment="1">
      <alignment horizontal="center"/>
    </xf>
    <xf numFmtId="0" fontId="32" fillId="0" borderId="0" xfId="42" applyFill="1" applyBorder="1" applyAlignment="1">
      <alignment horizontal="center"/>
    </xf>
    <xf numFmtId="165" fontId="4" fillId="0" borderId="3" xfId="14" applyNumberFormat="1" applyFont="1" applyBorder="1"/>
    <xf numFmtId="165" fontId="4" fillId="0" borderId="3" xfId="17" applyNumberFormat="1" applyFont="1" applyBorder="1"/>
    <xf numFmtId="165" fontId="4" fillId="0" borderId="3" xfId="11" applyNumberFormat="1" applyFont="1" applyBorder="1"/>
    <xf numFmtId="165" fontId="4" fillId="0" borderId="4" xfId="11" applyNumberFormat="1" applyFont="1" applyBorder="1"/>
    <xf numFmtId="49" fontId="27" fillId="4" borderId="13" xfId="23" applyNumberFormat="1" applyBorder="1" applyAlignment="1">
      <alignment horizontal="center"/>
    </xf>
    <xf numFmtId="165" fontId="4" fillId="0" borderId="15" xfId="11" applyNumberFormat="1" applyFont="1" applyBorder="1"/>
    <xf numFmtId="165" fontId="4" fillId="0" borderId="32" xfId="11" applyNumberFormat="1" applyFont="1" applyBorder="1"/>
    <xf numFmtId="0" fontId="25" fillId="5" borderId="33" xfId="20" applyFill="1" applyBorder="1" applyAlignment="1"/>
    <xf numFmtId="0" fontId="25" fillId="5" borderId="7" xfId="20" applyFill="1" applyBorder="1" applyAlignment="1">
      <alignment horizontal="center"/>
    </xf>
    <xf numFmtId="49" fontId="32" fillId="0" borderId="78" xfId="42" applyNumberFormat="1" applyBorder="1"/>
    <xf numFmtId="0" fontId="25" fillId="5" borderId="40" xfId="20" applyFill="1" applyBorder="1" applyAlignment="1">
      <alignment horizontal="center"/>
    </xf>
    <xf numFmtId="165" fontId="4" fillId="0" borderId="15" xfId="14" applyNumberFormat="1" applyFont="1" applyBorder="1"/>
    <xf numFmtId="0" fontId="25" fillId="5" borderId="11" xfId="20" applyFill="1" applyBorder="1" applyAlignment="1">
      <alignment horizontal="center"/>
    </xf>
    <xf numFmtId="49" fontId="25" fillId="5" borderId="4" xfId="20" applyNumberFormat="1" applyFill="1" applyBorder="1" applyAlignment="1">
      <alignment horizontal="center"/>
    </xf>
    <xf numFmtId="0" fontId="30" fillId="3" borderId="79" xfId="36" applyBorder="1"/>
    <xf numFmtId="49" fontId="30" fillId="3" borderId="70" xfId="36" applyNumberFormat="1" applyBorder="1"/>
    <xf numFmtId="165" fontId="30" fillId="3" borderId="70" xfId="36" applyNumberFormat="1" applyBorder="1"/>
    <xf numFmtId="165" fontId="3" fillId="0" borderId="0" xfId="9" applyNumberFormat="1" applyFont="1" applyBorder="1"/>
    <xf numFmtId="165" fontId="42" fillId="0" borderId="0" xfId="42" applyNumberFormat="1" applyFont="1" applyBorder="1"/>
    <xf numFmtId="165" fontId="40" fillId="7" borderId="3" xfId="23" applyNumberFormat="1" applyFont="1" applyFill="1" applyBorder="1"/>
    <xf numFmtId="165" fontId="4" fillId="7" borderId="15" xfId="23" applyNumberFormat="1" applyFont="1" applyFill="1" applyBorder="1"/>
    <xf numFmtId="0" fontId="25" fillId="5" borderId="2" xfId="20" applyFill="1" applyBorder="1" applyAlignment="1">
      <alignment horizontal="center"/>
    </xf>
    <xf numFmtId="165" fontId="4" fillId="7" borderId="3" xfId="23" applyNumberFormat="1" applyFont="1" applyFill="1" applyBorder="1"/>
    <xf numFmtId="0" fontId="25" fillId="5" borderId="34" xfId="20" applyFill="1" applyBorder="1" applyAlignment="1">
      <alignment horizontal="center"/>
    </xf>
    <xf numFmtId="165" fontId="4" fillId="7" borderId="0" xfId="23" applyNumberFormat="1" applyFont="1" applyFill="1" applyBorder="1"/>
    <xf numFmtId="49" fontId="30" fillId="3" borderId="36" xfId="36" applyNumberFormat="1" applyBorder="1"/>
    <xf numFmtId="165" fontId="30" fillId="3" borderId="41" xfId="9" applyNumberFormat="1" applyFont="1" applyFill="1" applyBorder="1" applyAlignment="1">
      <alignment horizontal="center"/>
    </xf>
    <xf numFmtId="165" fontId="30" fillId="3" borderId="41" xfId="36" applyNumberFormat="1" applyBorder="1"/>
    <xf numFmtId="49" fontId="30" fillId="5" borderId="39" xfId="36" applyNumberFormat="1" applyFill="1" applyBorder="1"/>
    <xf numFmtId="49" fontId="30" fillId="3" borderId="71" xfId="36" applyNumberFormat="1" applyBorder="1"/>
    <xf numFmtId="165" fontId="43" fillId="7" borderId="0" xfId="1" applyNumberFormat="1" applyFont="1" applyFill="1" applyBorder="1"/>
    <xf numFmtId="165" fontId="43" fillId="7" borderId="3" xfId="1" applyNumberFormat="1" applyFont="1" applyFill="1" applyBorder="1"/>
    <xf numFmtId="165" fontId="43" fillId="7" borderId="9" xfId="1" applyNumberFormat="1" applyFont="1" applyFill="1" applyBorder="1"/>
    <xf numFmtId="165" fontId="3" fillId="0" borderId="3" xfId="9" applyNumberFormat="1" applyFont="1" applyBorder="1"/>
    <xf numFmtId="0" fontId="25" fillId="5" borderId="5" xfId="20" applyFill="1" applyBorder="1" applyAlignment="1">
      <alignment horizontal="center"/>
    </xf>
    <xf numFmtId="165" fontId="44" fillId="0" borderId="4" xfId="42" applyNumberFormat="1" applyFont="1" applyBorder="1"/>
    <xf numFmtId="0" fontId="25" fillId="5" borderId="37" xfId="20" applyFill="1" applyBorder="1" applyAlignment="1">
      <alignment horizontal="center"/>
    </xf>
    <xf numFmtId="165" fontId="42" fillId="0" borderId="42" xfId="42" applyNumberFormat="1" applyFont="1" applyBorder="1"/>
    <xf numFmtId="0" fontId="3" fillId="0" borderId="42" xfId="25" applyFont="1" applyBorder="1"/>
    <xf numFmtId="0" fontId="3" fillId="0" borderId="30" xfId="25" applyFont="1" applyBorder="1" applyAlignment="1">
      <alignment horizontal="center"/>
    </xf>
    <xf numFmtId="165" fontId="32" fillId="0" borderId="80" xfId="42" applyNumberFormat="1" applyBorder="1"/>
    <xf numFmtId="166" fontId="30" fillId="3" borderId="74" xfId="36" applyNumberFormat="1" applyBorder="1" applyAlignment="1">
      <alignment horizontal="center"/>
    </xf>
    <xf numFmtId="0" fontId="3" fillId="0" borderId="30" xfId="25" applyFont="1" applyBorder="1"/>
    <xf numFmtId="0" fontId="32" fillId="0" borderId="4" xfId="42" applyFill="1" applyBorder="1" applyAlignment="1">
      <alignment horizontal="center"/>
    </xf>
    <xf numFmtId="165" fontId="32" fillId="0" borderId="81" xfId="42" applyNumberFormat="1" applyBorder="1"/>
    <xf numFmtId="165" fontId="4" fillId="0" borderId="0" xfId="9" applyNumberFormat="1" applyFont="1" applyBorder="1"/>
    <xf numFmtId="165" fontId="4" fillId="0" borderId="3" xfId="9" applyNumberFormat="1" applyFont="1" applyBorder="1"/>
    <xf numFmtId="0" fontId="25" fillId="5" borderId="43" xfId="20" applyFill="1" applyBorder="1" applyAlignment="1">
      <alignment horizontal="center"/>
    </xf>
    <xf numFmtId="0" fontId="25" fillId="5" borderId="18" xfId="20" applyFill="1" applyBorder="1" applyAlignment="1">
      <alignment horizontal="center"/>
    </xf>
    <xf numFmtId="165" fontId="42" fillId="0" borderId="4" xfId="42" applyNumberFormat="1" applyFont="1" applyBorder="1"/>
    <xf numFmtId="1" fontId="0" fillId="0" borderId="0" xfId="0" applyNumberFormat="1"/>
    <xf numFmtId="43" fontId="0" fillId="0" borderId="0" xfId="0" applyNumberFormat="1"/>
    <xf numFmtId="0" fontId="4" fillId="0" borderId="10" xfId="0" quotePrefix="1" applyFont="1" applyBorder="1" applyAlignment="1">
      <alignment horizontal="center"/>
    </xf>
    <xf numFmtId="0" fontId="30" fillId="3" borderId="31" xfId="36" applyBorder="1"/>
    <xf numFmtId="0" fontId="30" fillId="5" borderId="40" xfId="36" applyFill="1" applyBorder="1"/>
    <xf numFmtId="0" fontId="3" fillId="0" borderId="44" xfId="24" applyFont="1" applyBorder="1"/>
    <xf numFmtId="165" fontId="30" fillId="3" borderId="45" xfId="7" applyNumberFormat="1" applyFont="1" applyFill="1" applyBorder="1" applyAlignment="1">
      <alignment horizontal="center"/>
    </xf>
    <xf numFmtId="165" fontId="30" fillId="5" borderId="46" xfId="7" applyNumberFormat="1" applyFont="1" applyFill="1" applyBorder="1" applyAlignment="1">
      <alignment horizontal="center"/>
    </xf>
    <xf numFmtId="0" fontId="23" fillId="0" borderId="20" xfId="18" applyBorder="1" applyAlignment="1">
      <alignment wrapText="1"/>
    </xf>
    <xf numFmtId="0" fontId="23" fillId="0" borderId="16" xfId="18" applyBorder="1" applyAlignment="1">
      <alignment wrapText="1"/>
    </xf>
    <xf numFmtId="0" fontId="25" fillId="5" borderId="48" xfId="20" applyFill="1" applyBorder="1" applyAlignment="1">
      <alignment horizontal="center"/>
    </xf>
    <xf numFmtId="0" fontId="25" fillId="5" borderId="17" xfId="20" applyFill="1" applyBorder="1" applyAlignment="1">
      <alignment horizontal="center"/>
    </xf>
    <xf numFmtId="165" fontId="30" fillId="3" borderId="6" xfId="36" applyNumberFormat="1" applyBorder="1"/>
    <xf numFmtId="165" fontId="3" fillId="7" borderId="3" xfId="23" applyNumberFormat="1" applyFont="1" applyFill="1" applyBorder="1"/>
    <xf numFmtId="0" fontId="25" fillId="5" borderId="4" xfId="20" applyFill="1" applyBorder="1" applyAlignment="1">
      <alignment horizontal="center"/>
    </xf>
    <xf numFmtId="165" fontId="4" fillId="7" borderId="4" xfId="23" applyNumberFormat="1" applyFont="1" applyFill="1" applyBorder="1"/>
    <xf numFmtId="165" fontId="30" fillId="3" borderId="7" xfId="8" applyNumberFormat="1" applyFont="1" applyFill="1" applyBorder="1" applyAlignment="1">
      <alignment horizontal="center"/>
    </xf>
    <xf numFmtId="0" fontId="25" fillId="5" borderId="3" xfId="20" applyFill="1" applyBorder="1" applyAlignment="1">
      <alignment horizontal="center"/>
    </xf>
    <xf numFmtId="166" fontId="30" fillId="3" borderId="82" xfId="36" applyNumberFormat="1" applyBorder="1" applyAlignment="1">
      <alignment horizontal="center"/>
    </xf>
    <xf numFmtId="165" fontId="32" fillId="0" borderId="68" xfId="42" applyNumberFormat="1" applyBorder="1"/>
    <xf numFmtId="165" fontId="30" fillId="3" borderId="7" xfId="36" applyNumberFormat="1" applyBorder="1"/>
    <xf numFmtId="165" fontId="30" fillId="3" borderId="33" xfId="8" applyNumberFormat="1" applyFont="1" applyFill="1" applyBorder="1" applyAlignment="1">
      <alignment horizontal="center"/>
    </xf>
    <xf numFmtId="49" fontId="27" fillId="4" borderId="3" xfId="23" applyNumberFormat="1" applyBorder="1" applyAlignment="1">
      <alignment horizontal="center"/>
    </xf>
    <xf numFmtId="49" fontId="30" fillId="3" borderId="73" xfId="36" applyNumberFormat="1" applyBorder="1"/>
    <xf numFmtId="0" fontId="25" fillId="5" borderId="32" xfId="20" applyFill="1" applyBorder="1" applyAlignment="1">
      <alignment horizontal="center"/>
    </xf>
    <xf numFmtId="0" fontId="25" fillId="5" borderId="42" xfId="20" applyFill="1" applyBorder="1" applyAlignment="1">
      <alignment horizontal="center"/>
    </xf>
    <xf numFmtId="49" fontId="23" fillId="0" borderId="0" xfId="18" applyNumberFormat="1" applyBorder="1" applyAlignment="1">
      <alignment wrapText="1"/>
    </xf>
    <xf numFmtId="49" fontId="23" fillId="0" borderId="18" xfId="18" applyNumberFormat="1" applyBorder="1" applyAlignment="1">
      <alignment wrapText="1"/>
    </xf>
    <xf numFmtId="165" fontId="45" fillId="7" borderId="9" xfId="23" applyNumberFormat="1" applyFont="1" applyFill="1" applyBorder="1"/>
    <xf numFmtId="165" fontId="41" fillId="3" borderId="33" xfId="2" applyNumberFormat="1" applyFont="1" applyFill="1" applyBorder="1" applyAlignment="1">
      <alignment horizontal="center"/>
    </xf>
    <xf numFmtId="0" fontId="46" fillId="0" borderId="17" xfId="0" applyFont="1" applyBorder="1"/>
    <xf numFmtId="165" fontId="4" fillId="7" borderId="32" xfId="23" applyNumberFormat="1" applyFont="1" applyFill="1" applyBorder="1"/>
    <xf numFmtId="0" fontId="25" fillId="5" borderId="33" xfId="20" applyFill="1" applyBorder="1" applyAlignment="1">
      <alignment horizontal="center"/>
    </xf>
    <xf numFmtId="165" fontId="30" fillId="3" borderId="32" xfId="2" applyNumberFormat="1" applyFont="1" applyFill="1" applyBorder="1"/>
    <xf numFmtId="0" fontId="39" fillId="0" borderId="0" xfId="0" applyFont="1"/>
    <xf numFmtId="166" fontId="47" fillId="3" borderId="29" xfId="36" applyNumberFormat="1" applyFont="1" applyBorder="1" applyAlignment="1">
      <alignment horizontal="center"/>
    </xf>
    <xf numFmtId="166" fontId="47" fillId="3" borderId="23" xfId="36" applyNumberFormat="1" applyFont="1" applyBorder="1" applyAlignment="1">
      <alignment horizontal="center"/>
    </xf>
    <xf numFmtId="0" fontId="48" fillId="0" borderId="0" xfId="41" applyFont="1" applyBorder="1" applyAlignment="1">
      <alignment horizontal="left"/>
    </xf>
    <xf numFmtId="0" fontId="25" fillId="5" borderId="49" xfId="20" applyFill="1" applyBorder="1" applyAlignment="1">
      <alignment horizontal="center"/>
    </xf>
    <xf numFmtId="165" fontId="4" fillId="0" borderId="45" xfId="24" applyNumberFormat="1" applyFont="1" applyBorder="1"/>
    <xf numFmtId="0" fontId="25" fillId="5" borderId="50" xfId="20" applyFill="1" applyBorder="1" applyAlignment="1">
      <alignment horizontal="center"/>
    </xf>
    <xf numFmtId="0" fontId="25" fillId="5" borderId="21" xfId="20" applyFill="1" applyBorder="1" applyAlignment="1">
      <alignment horizontal="center"/>
    </xf>
    <xf numFmtId="165" fontId="4" fillId="0" borderId="51" xfId="24" applyNumberFormat="1" applyFont="1" applyBorder="1"/>
    <xf numFmtId="165" fontId="4" fillId="0" borderId="21" xfId="24" applyNumberFormat="1" applyFont="1" applyBorder="1"/>
    <xf numFmtId="165" fontId="32" fillId="0" borderId="83" xfId="42" applyNumberFormat="1" applyBorder="1"/>
    <xf numFmtId="0" fontId="25" fillId="5" borderId="17" xfId="20" applyFill="1" applyBorder="1" applyAlignment="1"/>
    <xf numFmtId="49" fontId="4" fillId="0" borderId="17" xfId="0" applyNumberFormat="1" applyFont="1" applyBorder="1"/>
    <xf numFmtId="49" fontId="4" fillId="0" borderId="30" xfId="0" applyNumberFormat="1" applyFont="1" applyBorder="1"/>
    <xf numFmtId="49" fontId="32" fillId="0" borderId="68" xfId="42" applyNumberFormat="1" applyBorder="1"/>
    <xf numFmtId="49" fontId="30" fillId="3" borderId="84" xfId="36" applyNumberFormat="1" applyBorder="1"/>
    <xf numFmtId="0" fontId="25" fillId="5" borderId="51" xfId="20" applyFill="1" applyBorder="1" applyAlignment="1">
      <alignment horizontal="center"/>
    </xf>
    <xf numFmtId="0" fontId="49" fillId="5" borderId="51" xfId="20" applyFont="1" applyFill="1" applyBorder="1" applyAlignment="1">
      <alignment horizontal="center"/>
    </xf>
    <xf numFmtId="165" fontId="43" fillId="0" borderId="21" xfId="24" applyNumberFormat="1" applyFont="1" applyBorder="1"/>
    <xf numFmtId="166" fontId="32" fillId="3" borderId="85" xfId="36" applyNumberFormat="1" applyFont="1" applyBorder="1" applyAlignment="1">
      <alignment horizontal="center"/>
    </xf>
    <xf numFmtId="0" fontId="25" fillId="5" borderId="52" xfId="20" applyFill="1" applyBorder="1" applyAlignment="1">
      <alignment horizontal="center"/>
    </xf>
    <xf numFmtId="0" fontId="25" fillId="5" borderId="52" xfId="20" applyFill="1" applyBorder="1" applyAlignment="1"/>
    <xf numFmtId="49" fontId="4" fillId="0" borderId="2" xfId="0" applyNumberFormat="1" applyFont="1" applyBorder="1"/>
    <xf numFmtId="49" fontId="32" fillId="0" borderId="80" xfId="42" applyNumberFormat="1" applyBorder="1"/>
    <xf numFmtId="0" fontId="25" fillId="5" borderId="41" xfId="20" applyFill="1" applyBorder="1" applyAlignment="1">
      <alignment horizontal="center"/>
    </xf>
    <xf numFmtId="165" fontId="4" fillId="0" borderId="16" xfId="24" applyNumberFormat="1" applyFont="1" applyBorder="1"/>
    <xf numFmtId="165" fontId="32" fillId="0" borderId="78" xfId="42" applyNumberFormat="1" applyBorder="1"/>
    <xf numFmtId="165" fontId="32" fillId="3" borderId="86" xfId="2" applyNumberFormat="1" applyFont="1" applyFill="1" applyBorder="1"/>
    <xf numFmtId="165" fontId="32" fillId="3" borderId="87" xfId="2" applyNumberFormat="1" applyFont="1" applyFill="1" applyBorder="1" applyAlignment="1">
      <alignment horizontal="center"/>
    </xf>
    <xf numFmtId="165" fontId="32" fillId="5" borderId="88" xfId="2" applyNumberFormat="1" applyFont="1" applyFill="1" applyBorder="1" applyAlignment="1">
      <alignment horizontal="center"/>
    </xf>
    <xf numFmtId="0" fontId="38" fillId="0" borderId="89" xfId="24" applyFont="1" applyBorder="1"/>
    <xf numFmtId="0" fontId="49" fillId="5" borderId="90" xfId="20" applyFont="1" applyFill="1" applyBorder="1" applyAlignment="1">
      <alignment horizontal="center"/>
    </xf>
    <xf numFmtId="165" fontId="43" fillId="0" borderId="91" xfId="24" applyNumberFormat="1" applyFont="1" applyBorder="1"/>
    <xf numFmtId="165" fontId="27" fillId="4" borderId="13" xfId="2" applyNumberFormat="1" applyFont="1" applyFill="1" applyBorder="1"/>
    <xf numFmtId="49" fontId="4" fillId="0" borderId="3" xfId="23" applyNumberFormat="1" applyFont="1" applyFill="1" applyBorder="1" applyAlignment="1">
      <alignment horizontal="right"/>
    </xf>
    <xf numFmtId="49" fontId="32" fillId="0" borderId="0" xfId="42" applyNumberFormat="1" applyBorder="1"/>
    <xf numFmtId="165" fontId="50" fillId="0" borderId="29" xfId="42" applyNumberFormat="1" applyFont="1" applyBorder="1"/>
    <xf numFmtId="0" fontId="50" fillId="0" borderId="1" xfId="42" applyFont="1" applyBorder="1"/>
    <xf numFmtId="165" fontId="4" fillId="0" borderId="0" xfId="0" applyNumberFormat="1" applyFont="1"/>
    <xf numFmtId="167" fontId="51" fillId="0" borderId="13" xfId="0" applyNumberFormat="1" applyFont="1" applyBorder="1"/>
    <xf numFmtId="0" fontId="52" fillId="0" borderId="29" xfId="41" applyFont="1" applyBorder="1" applyAlignment="1">
      <alignment horizontal="center"/>
    </xf>
    <xf numFmtId="168" fontId="12" fillId="0" borderId="0" xfId="0" applyNumberFormat="1" applyFont="1"/>
    <xf numFmtId="168" fontId="26" fillId="0" borderId="65" xfId="21" applyNumberFormat="1" applyAlignment="1">
      <alignment horizontal="center" vertical="center" wrapText="1"/>
    </xf>
    <xf numFmtId="168" fontId="4" fillId="0" borderId="0" xfId="0" applyNumberFormat="1" applyFont="1"/>
    <xf numFmtId="165" fontId="3" fillId="7" borderId="15" xfId="23" applyNumberFormat="1" applyFont="1" applyFill="1" applyBorder="1"/>
    <xf numFmtId="165" fontId="42" fillId="0" borderId="5" xfId="42" applyNumberFormat="1" applyFont="1" applyBorder="1"/>
    <xf numFmtId="0" fontId="46" fillId="0" borderId="16" xfId="0" applyFont="1" applyBorder="1"/>
    <xf numFmtId="0" fontId="25" fillId="5" borderId="54" xfId="20" applyFill="1" applyBorder="1" applyAlignment="1">
      <alignment horizontal="center"/>
    </xf>
    <xf numFmtId="165" fontId="30" fillId="3" borderId="36" xfId="7" applyNumberFormat="1" applyFont="1" applyFill="1" applyBorder="1" applyAlignment="1">
      <alignment horizontal="center"/>
    </xf>
    <xf numFmtId="165" fontId="30" fillId="5" borderId="39" xfId="7" applyNumberFormat="1" applyFont="1" applyFill="1" applyBorder="1" applyAlignment="1">
      <alignment horizontal="center"/>
    </xf>
    <xf numFmtId="0" fontId="3" fillId="0" borderId="18" xfId="25" applyFont="1" applyBorder="1"/>
    <xf numFmtId="0" fontId="4" fillId="0" borderId="47" xfId="0" applyFont="1" applyBorder="1"/>
    <xf numFmtId="165" fontId="30" fillId="5" borderId="35" xfId="7" applyNumberFormat="1" applyFont="1" applyFill="1" applyBorder="1" applyAlignment="1">
      <alignment horizontal="center"/>
    </xf>
    <xf numFmtId="0" fontId="3" fillId="0" borderId="49" xfId="25" applyFont="1" applyBorder="1"/>
    <xf numFmtId="165" fontId="40" fillId="0" borderId="92" xfId="23" applyNumberFormat="1" applyFont="1" applyFill="1" applyBorder="1" applyAlignment="1">
      <alignment horizontal="right"/>
    </xf>
    <xf numFmtId="165" fontId="40" fillId="0" borderId="3" xfId="23" applyNumberFormat="1" applyFont="1" applyFill="1" applyBorder="1"/>
    <xf numFmtId="165" fontId="40" fillId="0" borderId="4" xfId="23" applyNumberFormat="1" applyFont="1" applyFill="1" applyBorder="1"/>
    <xf numFmtId="9" fontId="53" fillId="3" borderId="82" xfId="36" applyNumberFormat="1" applyFont="1" applyBorder="1" applyAlignment="1">
      <alignment horizontal="center"/>
    </xf>
    <xf numFmtId="165" fontId="3" fillId="7" borderId="51" xfId="23" applyNumberFormat="1" applyFont="1" applyFill="1" applyBorder="1"/>
    <xf numFmtId="165" fontId="3" fillId="0" borderId="29" xfId="9" applyNumberFormat="1" applyFont="1" applyBorder="1"/>
    <xf numFmtId="0" fontId="25" fillId="5" borderId="55" xfId="20" applyFill="1" applyBorder="1" applyAlignment="1">
      <alignment horizontal="center"/>
    </xf>
    <xf numFmtId="165" fontId="4" fillId="7" borderId="29" xfId="23" applyNumberFormat="1" applyFont="1" applyFill="1" applyBorder="1"/>
    <xf numFmtId="0" fontId="25" fillId="5" borderId="44" xfId="20" applyFill="1" applyBorder="1" applyAlignment="1">
      <alignment horizontal="center"/>
    </xf>
    <xf numFmtId="165" fontId="4" fillId="0" borderId="29" xfId="0" applyNumberFormat="1" applyFont="1" applyBorder="1"/>
    <xf numFmtId="165" fontId="3" fillId="0" borderId="15" xfId="9" applyNumberFormat="1" applyFont="1" applyBorder="1"/>
    <xf numFmtId="0" fontId="54" fillId="5" borderId="5" xfId="20" applyFont="1" applyFill="1" applyBorder="1" applyAlignment="1">
      <alignment horizontal="center"/>
    </xf>
    <xf numFmtId="0" fontId="25" fillId="5" borderId="0" xfId="20" applyFill="1" applyBorder="1" applyAlignment="1">
      <alignment horizontal="center"/>
    </xf>
    <xf numFmtId="15" fontId="27" fillId="4" borderId="13" xfId="23" applyNumberFormat="1" applyBorder="1" applyAlignment="1">
      <alignment horizontal="center"/>
    </xf>
    <xf numFmtId="9" fontId="50" fillId="0" borderId="1" xfId="37" applyFont="1" applyBorder="1"/>
    <xf numFmtId="9" fontId="50" fillId="0" borderId="0" xfId="37" applyFont="1" applyBorder="1"/>
    <xf numFmtId="9" fontId="50" fillId="0" borderId="53" xfId="37" applyFont="1" applyBorder="1"/>
    <xf numFmtId="9" fontId="4" fillId="0" borderId="0" xfId="37" applyFont="1"/>
    <xf numFmtId="9" fontId="30" fillId="3" borderId="82" xfId="37" applyFont="1" applyFill="1" applyBorder="1" applyAlignment="1">
      <alignment horizontal="center"/>
    </xf>
    <xf numFmtId="165" fontId="50" fillId="0" borderId="29" xfId="2" applyNumberFormat="1" applyFont="1" applyBorder="1"/>
    <xf numFmtId="43" fontId="4" fillId="0" borderId="0" xfId="0" applyNumberFormat="1" applyFont="1"/>
    <xf numFmtId="166" fontId="53" fillId="3" borderId="82" xfId="36" applyNumberFormat="1" applyFont="1" applyBorder="1" applyAlignment="1">
      <alignment horizontal="center"/>
    </xf>
    <xf numFmtId="166" fontId="30" fillId="3" borderId="82" xfId="37" applyNumberFormat="1" applyFont="1" applyFill="1" applyBorder="1" applyAlignment="1">
      <alignment horizontal="center"/>
    </xf>
    <xf numFmtId="0" fontId="25" fillId="5" borderId="56" xfId="20" quotePrefix="1" applyFill="1" applyBorder="1" applyAlignment="1">
      <alignment horizontal="center"/>
    </xf>
    <xf numFmtId="165" fontId="3" fillId="0" borderId="15" xfId="2" applyNumberFormat="1" applyFont="1" applyBorder="1"/>
    <xf numFmtId="165" fontId="32" fillId="3" borderId="95" xfId="2" applyNumberFormat="1" applyFont="1" applyFill="1" applyBorder="1"/>
    <xf numFmtId="165" fontId="32" fillId="3" borderId="36" xfId="2" applyNumberFormat="1" applyFont="1" applyFill="1" applyBorder="1" applyAlignment="1">
      <alignment horizontal="center"/>
    </xf>
    <xf numFmtId="165" fontId="32" fillId="5" borderId="39" xfId="2" applyNumberFormat="1" applyFont="1" applyFill="1" applyBorder="1" applyAlignment="1">
      <alignment horizontal="center"/>
    </xf>
    <xf numFmtId="0" fontId="38" fillId="0" borderId="5" xfId="24" applyFont="1" applyBorder="1"/>
    <xf numFmtId="0" fontId="49" fillId="5" borderId="54" xfId="20" applyFont="1" applyFill="1" applyBorder="1" applyAlignment="1">
      <alignment horizontal="center"/>
    </xf>
    <xf numFmtId="165" fontId="43" fillId="0" borderId="16" xfId="24" applyNumberFormat="1" applyFont="1" applyBorder="1"/>
    <xf numFmtId="165" fontId="4" fillId="0" borderId="54" xfId="24" applyNumberFormat="1" applyFont="1" applyBorder="1"/>
    <xf numFmtId="165" fontId="50" fillId="0" borderId="1" xfId="42" applyNumberFormat="1" applyFont="1" applyBorder="1"/>
    <xf numFmtId="9" fontId="53" fillId="3" borderId="71" xfId="36" applyNumberFormat="1" applyFont="1" applyBorder="1" applyAlignment="1">
      <alignment horizontal="center"/>
    </xf>
    <xf numFmtId="165" fontId="27" fillId="4" borderId="97" xfId="23" applyNumberFormat="1" applyBorder="1"/>
    <xf numFmtId="165" fontId="32" fillId="3" borderId="57" xfId="2" applyNumberFormat="1" applyFont="1" applyFill="1" applyBorder="1"/>
    <xf numFmtId="165" fontId="32" fillId="5" borderId="57" xfId="2" applyNumberFormat="1" applyFont="1" applyFill="1" applyBorder="1" applyAlignment="1">
      <alignment horizontal="center"/>
    </xf>
    <xf numFmtId="0" fontId="38" fillId="0" borderId="55" xfId="24" applyFont="1" applyBorder="1"/>
    <xf numFmtId="166" fontId="46" fillId="0" borderId="17" xfId="0" applyNumberFormat="1" applyFont="1" applyBorder="1"/>
    <xf numFmtId="165" fontId="40" fillId="0" borderId="3" xfId="23" applyNumberFormat="1" applyFont="1" applyFill="1" applyBorder="1" applyAlignment="1">
      <alignment horizontal="right"/>
    </xf>
    <xf numFmtId="165" fontId="40" fillId="0" borderId="53" xfId="23" applyNumberFormat="1" applyFont="1" applyFill="1" applyBorder="1" applyAlignment="1">
      <alignment horizontal="right"/>
    </xf>
    <xf numFmtId="165" fontId="4" fillId="0" borderId="5" xfId="2" applyNumberFormat="1" applyFont="1" applyBorder="1"/>
    <xf numFmtId="165" fontId="4" fillId="0" borderId="4" xfId="2" applyNumberFormat="1" applyFont="1" applyBorder="1"/>
    <xf numFmtId="0" fontId="25" fillId="5" borderId="14" xfId="20" applyFill="1" applyBorder="1" applyAlignment="1">
      <alignment horizontal="center"/>
    </xf>
    <xf numFmtId="166" fontId="53" fillId="3" borderId="71" xfId="36" applyNumberFormat="1" applyFont="1" applyBorder="1" applyAlignment="1">
      <alignment horizontal="center"/>
    </xf>
    <xf numFmtId="165" fontId="27" fillId="4" borderId="96" xfId="2" applyNumberFormat="1" applyFont="1" applyFill="1" applyBorder="1"/>
    <xf numFmtId="165" fontId="32" fillId="3" borderId="51" xfId="2" applyNumberFormat="1" applyFont="1" applyFill="1" applyBorder="1" applyAlignment="1">
      <alignment horizontal="center"/>
    </xf>
    <xf numFmtId="165" fontId="27" fillId="4" borderId="99" xfId="2" applyNumberFormat="1" applyFont="1" applyFill="1" applyBorder="1"/>
    <xf numFmtId="0" fontId="25" fillId="5" borderId="98" xfId="20" quotePrefix="1" applyFill="1" applyBorder="1" applyAlignment="1">
      <alignment horizontal="center"/>
    </xf>
    <xf numFmtId="165" fontId="4" fillId="0" borderId="100" xfId="2" applyNumberFormat="1" applyFont="1" applyBorder="1"/>
    <xf numFmtId="165" fontId="32" fillId="0" borderId="101" xfId="42" applyNumberFormat="1" applyBorder="1"/>
    <xf numFmtId="9" fontId="4" fillId="0" borderId="29" xfId="37" applyFont="1" applyBorder="1"/>
    <xf numFmtId="9" fontId="30" fillId="3" borderId="102" xfId="37" applyFont="1" applyFill="1" applyBorder="1" applyAlignment="1">
      <alignment horizontal="center"/>
    </xf>
    <xf numFmtId="0" fontId="25" fillId="5" borderId="98" xfId="20" applyFill="1" applyBorder="1" applyAlignment="1">
      <alignment horizontal="center"/>
    </xf>
    <xf numFmtId="165" fontId="3" fillId="0" borderId="2" xfId="10" applyNumberFormat="1" applyFont="1" applyBorder="1"/>
    <xf numFmtId="165" fontId="3" fillId="0" borderId="9" xfId="10" applyNumberFormat="1" applyFont="1" applyBorder="1"/>
    <xf numFmtId="165" fontId="3" fillId="0" borderId="3" xfId="10" applyNumberFormat="1" applyFont="1" applyBorder="1"/>
    <xf numFmtId="0" fontId="4" fillId="0" borderId="21" xfId="0" applyFont="1" applyBorder="1"/>
    <xf numFmtId="166" fontId="0" fillId="0" borderId="0" xfId="0" applyNumberFormat="1"/>
    <xf numFmtId="9" fontId="53" fillId="3" borderId="85" xfId="36" applyNumberFormat="1" applyFont="1" applyBorder="1" applyAlignment="1">
      <alignment horizontal="center"/>
    </xf>
    <xf numFmtId="165" fontId="27" fillId="4" borderId="0" xfId="2" applyNumberFormat="1" applyFont="1" applyFill="1" applyBorder="1"/>
    <xf numFmtId="0" fontId="31" fillId="0" borderId="0" xfId="41" applyBorder="1" applyAlignment="1">
      <alignment horizontal="center"/>
    </xf>
    <xf numFmtId="165" fontId="27" fillId="4" borderId="29" xfId="2" applyNumberFormat="1" applyFont="1" applyFill="1" applyBorder="1"/>
    <xf numFmtId="165" fontId="56" fillId="0" borderId="21" xfId="24" applyNumberFormat="1" applyFont="1" applyBorder="1"/>
    <xf numFmtId="165" fontId="4" fillId="0" borderId="20" xfId="25" applyNumberFormat="1" applyFont="1" applyBorder="1"/>
    <xf numFmtId="165" fontId="4" fillId="0" borderId="103" xfId="24" applyNumberFormat="1" applyFont="1" applyBorder="1"/>
    <xf numFmtId="165" fontId="43" fillId="0" borderId="103" xfId="24" applyNumberFormat="1" applyFont="1" applyBorder="1"/>
    <xf numFmtId="165" fontId="4" fillId="0" borderId="43" xfId="24" applyNumberFormat="1" applyFont="1" applyBorder="1"/>
    <xf numFmtId="165" fontId="27" fillId="4" borderId="100" xfId="23" applyNumberFormat="1" applyBorder="1"/>
    <xf numFmtId="0" fontId="25" fillId="5" borderId="54" xfId="20" quotePrefix="1" applyFill="1" applyBorder="1" applyAlignment="1">
      <alignment horizontal="center"/>
    </xf>
    <xf numFmtId="0" fontId="25" fillId="5" borderId="23" xfId="20" applyFill="1" applyBorder="1" applyAlignment="1">
      <alignment horizontal="center"/>
    </xf>
    <xf numFmtId="165" fontId="40" fillId="0" borderId="4" xfId="23" applyNumberFormat="1" applyFont="1" applyFill="1" applyBorder="1" applyAlignment="1">
      <alignment horizontal="right"/>
    </xf>
    <xf numFmtId="165" fontId="4" fillId="0" borderId="36" xfId="10" applyNumberFormat="1" applyFont="1" applyBorder="1"/>
    <xf numFmtId="0" fontId="2" fillId="0" borderId="0" xfId="0" applyFont="1"/>
    <xf numFmtId="165" fontId="1" fillId="0" borderId="51" xfId="24" applyNumberFormat="1" applyFont="1" applyBorder="1"/>
    <xf numFmtId="165" fontId="1" fillId="0" borderId="51" xfId="25" applyNumberFormat="1" applyFont="1" applyBorder="1"/>
    <xf numFmtId="165" fontId="1" fillId="7" borderId="29" xfId="23" applyNumberFormat="1" applyFont="1" applyFill="1" applyBorder="1"/>
    <xf numFmtId="165" fontId="1" fillId="0" borderId="23" xfId="24" applyNumberFormat="1" applyFont="1" applyBorder="1"/>
    <xf numFmtId="10" fontId="2" fillId="0" borderId="0" xfId="37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5" fontId="27" fillId="0" borderId="0" xfId="2" applyNumberFormat="1" applyFont="1" applyFill="1" applyBorder="1"/>
    <xf numFmtId="165" fontId="27" fillId="0" borderId="9" xfId="2" applyNumberFormat="1" applyFont="1" applyFill="1" applyBorder="1"/>
    <xf numFmtId="165" fontId="4" fillId="0" borderId="42" xfId="2" applyNumberFormat="1" applyFont="1" applyBorder="1"/>
    <xf numFmtId="0" fontId="27" fillId="0" borderId="4" xfId="23" applyFill="1" applyBorder="1"/>
    <xf numFmtId="165" fontId="40" fillId="0" borderId="1" xfId="2" applyNumberFormat="1" applyFont="1" applyFill="1" applyBorder="1"/>
    <xf numFmtId="165" fontId="40" fillId="0" borderId="3" xfId="2" applyNumberFormat="1" applyFont="1" applyFill="1" applyBorder="1"/>
    <xf numFmtId="165" fontId="27" fillId="0" borderId="29" xfId="2" applyNumberFormat="1" applyFont="1" applyFill="1" applyBorder="1"/>
    <xf numFmtId="165" fontId="40" fillId="0" borderId="29" xfId="2" applyNumberFormat="1" applyFont="1" applyFill="1" applyBorder="1"/>
    <xf numFmtId="0" fontId="4" fillId="0" borderId="0" xfId="0" applyFont="1" applyAlignment="1">
      <alignment wrapText="1"/>
    </xf>
    <xf numFmtId="0" fontId="4" fillId="0" borderId="5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49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25" fillId="5" borderId="19" xfId="20" quotePrefix="1" applyFill="1" applyBorder="1" applyAlignment="1">
      <alignment horizontal="center"/>
    </xf>
    <xf numFmtId="0" fontId="36" fillId="0" borderId="1" xfId="42" applyFont="1" applyFill="1" applyBorder="1" applyAlignment="1">
      <alignment horizontal="center"/>
    </xf>
    <xf numFmtId="0" fontId="36" fillId="0" borderId="0" xfId="42" applyFont="1" applyFill="1" applyBorder="1" applyAlignment="1">
      <alignment horizontal="center"/>
    </xf>
    <xf numFmtId="165" fontId="36" fillId="0" borderId="0" xfId="42" applyNumberFormat="1" applyFont="1" applyBorder="1"/>
    <xf numFmtId="165" fontId="47" fillId="0" borderId="0" xfId="42" applyNumberFormat="1" applyFont="1" applyBorder="1"/>
    <xf numFmtId="165" fontId="47" fillId="0" borderId="32" xfId="2" applyNumberFormat="1" applyFont="1" applyBorder="1"/>
    <xf numFmtId="0" fontId="25" fillId="5" borderId="4" xfId="20" quotePrefix="1" applyFill="1" applyBorder="1" applyAlignment="1">
      <alignment horizontal="center"/>
    </xf>
    <xf numFmtId="165" fontId="4" fillId="0" borderId="20" xfId="10" applyNumberFormat="1" applyFont="1" applyBorder="1"/>
    <xf numFmtId="165" fontId="4" fillId="0" borderId="16" xfId="10" applyNumberFormat="1" applyFont="1" applyBorder="1"/>
    <xf numFmtId="165" fontId="4" fillId="0" borderId="60" xfId="10" applyNumberFormat="1" applyFont="1" applyBorder="1"/>
    <xf numFmtId="165" fontId="4" fillId="0" borderId="103" xfId="10" applyNumberFormat="1" applyFont="1" applyBorder="1"/>
    <xf numFmtId="165" fontId="40" fillId="0" borderId="17" xfId="23" applyNumberFormat="1" applyFont="1" applyFill="1" applyBorder="1" applyAlignment="1">
      <alignment horizontal="right"/>
    </xf>
    <xf numFmtId="165" fontId="3" fillId="0" borderId="1" xfId="10" applyNumberFormat="1" applyFont="1" applyBorder="1"/>
    <xf numFmtId="165" fontId="42" fillId="0" borderId="22" xfId="42" applyNumberFormat="1" applyFont="1" applyBorder="1"/>
    <xf numFmtId="165" fontId="42" fillId="0" borderId="18" xfId="42" applyNumberFormat="1" applyFont="1" applyBorder="1"/>
    <xf numFmtId="165" fontId="42" fillId="0" borderId="61" xfId="42" applyNumberFormat="1" applyFont="1" applyBorder="1"/>
    <xf numFmtId="165" fontId="42" fillId="0" borderId="43" xfId="42" applyNumberFormat="1" applyFont="1" applyBorder="1"/>
    <xf numFmtId="165" fontId="32" fillId="0" borderId="43" xfId="42" applyNumberFormat="1" applyBorder="1"/>
    <xf numFmtId="165" fontId="32" fillId="0" borderId="30" xfId="42" applyNumberFormat="1" applyBorder="1"/>
    <xf numFmtId="165" fontId="4" fillId="7" borderId="23" xfId="23" applyNumberFormat="1" applyFont="1" applyFill="1" applyBorder="1"/>
    <xf numFmtId="165" fontId="9" fillId="0" borderId="98" xfId="24" applyNumberFormat="1" applyBorder="1" applyAlignment="1">
      <alignment horizontal="center"/>
    </xf>
    <xf numFmtId="165" fontId="0" fillId="0" borderId="98" xfId="24" applyNumberFormat="1" applyFont="1" applyBorder="1" applyAlignment="1">
      <alignment horizontal="center"/>
    </xf>
    <xf numFmtId="165" fontId="9" fillId="0" borderId="22" xfId="24" applyNumberFormat="1" applyBorder="1" applyAlignment="1">
      <alignment horizontal="center"/>
    </xf>
    <xf numFmtId="0" fontId="35" fillId="0" borderId="1" xfId="41" applyFont="1" applyBorder="1" applyAlignment="1">
      <alignment horizontal="left"/>
    </xf>
    <xf numFmtId="0" fontId="35" fillId="0" borderId="20" xfId="41" applyFont="1" applyBorder="1" applyAlignment="1">
      <alignment horizontal="left"/>
    </xf>
    <xf numFmtId="2" fontId="4" fillId="0" borderId="3" xfId="10" applyNumberFormat="1" applyFont="1" applyBorder="1"/>
    <xf numFmtId="0" fontId="4" fillId="0" borderId="28" xfId="0" applyFont="1" applyBorder="1"/>
    <xf numFmtId="0" fontId="4" fillId="0" borderId="0" xfId="0" applyFont="1" applyAlignment="1">
      <alignment horizontal="center"/>
    </xf>
    <xf numFmtId="165" fontId="4" fillId="7" borderId="29" xfId="23" applyNumberFormat="1" applyFont="1" applyFill="1" applyBorder="1" applyAlignment="1">
      <alignment horizontal="center"/>
    </xf>
    <xf numFmtId="165" fontId="27" fillId="0" borderId="93" xfId="23" applyNumberForma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165" fontId="2" fillId="7" borderId="29" xfId="23" applyNumberFormat="1" applyFont="1" applyFill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0" fontId="25" fillId="5" borderId="58" xfId="20" applyFill="1" applyBorder="1" applyAlignment="1">
      <alignment horizontal="center"/>
    </xf>
    <xf numFmtId="165" fontId="4" fillId="7" borderId="1" xfId="23" applyNumberFormat="1" applyFont="1" applyFill="1" applyBorder="1"/>
    <xf numFmtId="165" fontId="32" fillId="3" borderId="40" xfId="2" applyNumberFormat="1" applyFont="1" applyFill="1" applyBorder="1"/>
    <xf numFmtId="0" fontId="38" fillId="0" borderId="37" xfId="24" applyFont="1" applyBorder="1"/>
    <xf numFmtId="165" fontId="43" fillId="0" borderId="20" xfId="24" applyNumberFormat="1" applyFont="1" applyBorder="1"/>
    <xf numFmtId="165" fontId="32" fillId="0" borderId="104" xfId="42" applyNumberFormat="1" applyBorder="1"/>
    <xf numFmtId="9" fontId="53" fillId="3" borderId="105" xfId="36" applyNumberFormat="1" applyFont="1" applyBorder="1" applyAlignment="1">
      <alignment horizontal="center"/>
    </xf>
    <xf numFmtId="166" fontId="46" fillId="0" borderId="16" xfId="0" applyNumberFormat="1" applyFont="1" applyBorder="1"/>
    <xf numFmtId="0" fontId="3" fillId="0" borderId="0" xfId="0" applyFont="1" applyAlignment="1">
      <alignment horizontal="center"/>
    </xf>
    <xf numFmtId="168" fontId="11" fillId="0" borderId="106" xfId="0" applyNumberFormat="1" applyFont="1" applyBorder="1"/>
    <xf numFmtId="168" fontId="12" fillId="0" borderId="32" xfId="0" applyNumberFormat="1" applyFont="1" applyBorder="1" applyAlignment="1">
      <alignment horizontal="center"/>
    </xf>
    <xf numFmtId="168" fontId="12" fillId="0" borderId="38" xfId="0" applyNumberFormat="1" applyFont="1" applyBorder="1" applyAlignment="1">
      <alignment horizontal="center"/>
    </xf>
    <xf numFmtId="3" fontId="12" fillId="0" borderId="0" xfId="2" applyNumberFormat="1" applyFont="1" applyBorder="1"/>
    <xf numFmtId="165" fontId="12" fillId="0" borderId="0" xfId="2" applyNumberFormat="1" applyFont="1" applyBorder="1"/>
    <xf numFmtId="165" fontId="13" fillId="0" borderId="0" xfId="2" applyNumberFormat="1" applyFont="1" applyBorder="1"/>
    <xf numFmtId="3" fontId="26" fillId="0" borderId="110" xfId="21" applyNumberFormat="1" applyBorder="1" applyAlignment="1">
      <alignment horizontal="center" vertical="center" wrapText="1"/>
    </xf>
    <xf numFmtId="0" fontId="26" fillId="0" borderId="111" xfId="21" applyBorder="1" applyAlignment="1">
      <alignment horizontal="center" vertical="center" wrapText="1"/>
    </xf>
    <xf numFmtId="165" fontId="27" fillId="4" borderId="112" xfId="2" applyNumberFormat="1" applyFont="1" applyFill="1" applyBorder="1"/>
    <xf numFmtId="165" fontId="14" fillId="0" borderId="113" xfId="9" applyNumberFormat="1" applyFont="1" applyBorder="1"/>
    <xf numFmtId="3" fontId="12" fillId="0" borderId="114" xfId="2" applyNumberFormat="1" applyFont="1" applyBorder="1"/>
    <xf numFmtId="3" fontId="12" fillId="0" borderId="115" xfId="2" applyNumberFormat="1" applyFont="1" applyBorder="1"/>
    <xf numFmtId="165" fontId="12" fillId="0" borderId="114" xfId="2" applyNumberFormat="1" applyFont="1" applyBorder="1"/>
    <xf numFmtId="165" fontId="14" fillId="0" borderId="115" xfId="2" applyNumberFormat="1" applyFont="1" applyBorder="1"/>
    <xf numFmtId="165" fontId="14" fillId="0" borderId="116" xfId="9" applyNumberFormat="1" applyFont="1" applyBorder="1"/>
    <xf numFmtId="165" fontId="27" fillId="4" borderId="117" xfId="2" applyNumberFormat="1" applyFont="1" applyFill="1" applyBorder="1"/>
    <xf numFmtId="165" fontId="27" fillId="4" borderId="118" xfId="2" applyNumberFormat="1" applyFont="1" applyFill="1" applyBorder="1"/>
    <xf numFmtId="165" fontId="27" fillId="4" borderId="119" xfId="2" applyNumberFormat="1" applyFont="1" applyFill="1" applyBorder="1"/>
    <xf numFmtId="165" fontId="13" fillId="0" borderId="119" xfId="2" applyNumberFormat="1" applyFont="1" applyBorder="1"/>
    <xf numFmtId="1" fontId="26" fillId="0" borderId="110" xfId="21" applyNumberFormat="1" applyBorder="1" applyAlignment="1">
      <alignment horizontal="center" vertical="center" wrapText="1"/>
    </xf>
    <xf numFmtId="1" fontId="12" fillId="0" borderId="114" xfId="2" applyNumberFormat="1" applyFont="1" applyBorder="1"/>
    <xf numFmtId="165" fontId="14" fillId="0" borderId="115" xfId="0" applyNumberFormat="1" applyFont="1" applyBorder="1"/>
    <xf numFmtId="1" fontId="27" fillId="4" borderId="112" xfId="23" applyNumberFormat="1" applyBorder="1"/>
    <xf numFmtId="0" fontId="4" fillId="0" borderId="11" xfId="0" quotePrefix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5" fontId="3" fillId="0" borderId="5" xfId="10" applyNumberFormat="1" applyFont="1" applyBorder="1"/>
    <xf numFmtId="165" fontId="4" fillId="7" borderId="55" xfId="23" applyNumberFormat="1" applyFont="1" applyFill="1" applyBorder="1" applyAlignment="1">
      <alignment horizontal="center"/>
    </xf>
    <xf numFmtId="0" fontId="0" fillId="0" borderId="13" xfId="0" applyBorder="1"/>
    <xf numFmtId="0" fontId="17" fillId="0" borderId="13" xfId="0" applyFont="1" applyBorder="1"/>
    <xf numFmtId="9" fontId="0" fillId="0" borderId="13" xfId="37" applyFont="1" applyBorder="1"/>
    <xf numFmtId="9" fontId="2" fillId="0" borderId="13" xfId="37" applyFont="1" applyFill="1" applyBorder="1"/>
    <xf numFmtId="0" fontId="0" fillId="0" borderId="0" xfId="0" applyAlignment="1">
      <alignment vertical="center"/>
    </xf>
    <xf numFmtId="3" fontId="0" fillId="0" borderId="13" xfId="0" applyNumberFormat="1" applyBorder="1"/>
    <xf numFmtId="3" fontId="0" fillId="10" borderId="13" xfId="0" applyNumberFormat="1" applyFill="1" applyBorder="1"/>
    <xf numFmtId="3" fontId="62" fillId="10" borderId="13" xfId="0" applyNumberFormat="1" applyFont="1" applyFill="1" applyBorder="1"/>
    <xf numFmtId="0" fontId="0" fillId="0" borderId="42" xfId="0" applyBorder="1" applyAlignment="1">
      <alignment vertical="center"/>
    </xf>
    <xf numFmtId="0" fontId="0" fillId="0" borderId="4" xfId="0" applyBorder="1" applyAlignment="1">
      <alignment vertical="center"/>
    </xf>
    <xf numFmtId="0" fontId="62" fillId="10" borderId="4" xfId="0" applyFont="1" applyFill="1" applyBorder="1" applyAlignment="1">
      <alignment vertical="center"/>
    </xf>
    <xf numFmtId="0" fontId="63" fillId="9" borderId="32" xfId="0" applyFont="1" applyFill="1" applyBorder="1" applyAlignment="1">
      <alignment vertical="center"/>
    </xf>
    <xf numFmtId="0" fontId="0" fillId="0" borderId="34" xfId="0" applyBorder="1"/>
    <xf numFmtId="3" fontId="63" fillId="9" borderId="38" xfId="0" applyNumberFormat="1" applyFont="1" applyFill="1" applyBorder="1"/>
    <xf numFmtId="0" fontId="17" fillId="0" borderId="33" xfId="0" applyFont="1" applyBorder="1"/>
    <xf numFmtId="0" fontId="17" fillId="0" borderId="7" xfId="0" applyFont="1" applyBorder="1"/>
    <xf numFmtId="3" fontId="17" fillId="0" borderId="7" xfId="0" applyNumberFormat="1" applyFont="1" applyBorder="1"/>
    <xf numFmtId="3" fontId="62" fillId="0" borderId="7" xfId="0" applyNumberFormat="1" applyFont="1" applyBorder="1"/>
    <xf numFmtId="3" fontId="0" fillId="10" borderId="7" xfId="0" applyNumberFormat="1" applyFill="1" applyBorder="1"/>
    <xf numFmtId="0" fontId="61" fillId="10" borderId="4" xfId="0" applyFont="1" applyFill="1" applyBorder="1" applyAlignment="1">
      <alignment vertical="center"/>
    </xf>
    <xf numFmtId="49" fontId="23" fillId="0" borderId="1" xfId="18" applyNumberFormat="1" applyBorder="1" applyAlignment="1">
      <alignment horizontal="left" wrapText="1"/>
    </xf>
    <xf numFmtId="49" fontId="23" fillId="0" borderId="22" xfId="18" applyNumberFormat="1" applyBorder="1" applyAlignment="1">
      <alignment horizontal="left" wrapText="1"/>
    </xf>
    <xf numFmtId="0" fontId="4" fillId="0" borderId="0" xfId="0" applyFont="1" applyAlignment="1">
      <alignment horizontal="left"/>
    </xf>
    <xf numFmtId="0" fontId="25" fillId="5" borderId="11" xfId="20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quotePrefix="1" applyFont="1" applyBorder="1" applyAlignment="1">
      <alignment horizontal="left"/>
    </xf>
    <xf numFmtId="0" fontId="32" fillId="0" borderId="11" xfId="42" applyFill="1" applyBorder="1" applyAlignment="1">
      <alignment horizontal="left"/>
    </xf>
    <xf numFmtId="0" fontId="25" fillId="5" borderId="40" xfId="20" applyFill="1" applyBorder="1" applyAlignment="1">
      <alignment horizontal="left"/>
    </xf>
    <xf numFmtId="49" fontId="4" fillId="0" borderId="3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0" fillId="3" borderId="79" xfId="36" applyBorder="1" applyAlignment="1">
      <alignment horizontal="left"/>
    </xf>
    <xf numFmtId="0" fontId="30" fillId="3" borderId="31" xfId="36" applyBorder="1" applyAlignment="1">
      <alignment horizontal="left"/>
    </xf>
    <xf numFmtId="0" fontId="30" fillId="5" borderId="40" xfId="36" applyFill="1" applyBorder="1" applyAlignment="1">
      <alignment horizontal="left"/>
    </xf>
    <xf numFmtId="0" fontId="25" fillId="5" borderId="8" xfId="20" applyFill="1" applyBorder="1" applyAlignment="1">
      <alignment horizontal="left"/>
    </xf>
    <xf numFmtId="0" fontId="32" fillId="0" borderId="77" xfId="42" applyBorder="1" applyAlignment="1">
      <alignment horizontal="left"/>
    </xf>
    <xf numFmtId="0" fontId="50" fillId="0" borderId="1" xfId="42" applyFont="1" applyBorder="1" applyAlignment="1">
      <alignment horizontal="left"/>
    </xf>
    <xf numFmtId="0" fontId="23" fillId="0" borderId="20" xfId="18" applyBorder="1" applyAlignment="1">
      <alignment horizontal="left" wrapText="1"/>
    </xf>
    <xf numFmtId="165" fontId="4" fillId="7" borderId="29" xfId="23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25" fillId="5" borderId="59" xfId="20" quotePrefix="1" applyFill="1" applyBorder="1" applyAlignment="1">
      <alignment horizontal="center"/>
    </xf>
    <xf numFmtId="165" fontId="40" fillId="0" borderId="2" xfId="23" applyNumberFormat="1" applyFont="1" applyFill="1" applyBorder="1" applyAlignment="1">
      <alignment horizontal="right"/>
    </xf>
    <xf numFmtId="165" fontId="3" fillId="0" borderId="0" xfId="2" applyNumberFormat="1" applyFont="1" applyBorder="1"/>
    <xf numFmtId="165" fontId="27" fillId="4" borderId="15" xfId="2" applyNumberFormat="1" applyFont="1" applyFill="1" applyBorder="1"/>
    <xf numFmtId="0" fontId="49" fillId="5" borderId="0" xfId="20" applyFont="1" applyFill="1" applyBorder="1" applyAlignment="1">
      <alignment horizontal="center"/>
    </xf>
    <xf numFmtId="166" fontId="53" fillId="3" borderId="120" xfId="36" applyNumberFormat="1" applyFont="1" applyBorder="1" applyAlignment="1">
      <alignment horizontal="center"/>
    </xf>
    <xf numFmtId="165" fontId="27" fillId="0" borderId="94" xfId="2" applyNumberFormat="1" applyFont="1" applyFill="1" applyBorder="1"/>
    <xf numFmtId="165" fontId="4" fillId="0" borderId="29" xfId="23" applyNumberFormat="1" applyFont="1" applyFill="1" applyBorder="1"/>
    <xf numFmtId="165" fontId="43" fillId="0" borderId="121" xfId="24" applyNumberFormat="1" applyFont="1" applyBorder="1"/>
    <xf numFmtId="165" fontId="4" fillId="0" borderId="29" xfId="23" applyNumberFormat="1" applyFont="1" applyFill="1" applyBorder="1" applyAlignment="1">
      <alignment horizontal="center"/>
    </xf>
    <xf numFmtId="165" fontId="41" fillId="0" borderId="0" xfId="42" applyNumberFormat="1" applyFont="1" applyBorder="1"/>
    <xf numFmtId="165" fontId="32" fillId="0" borderId="0" xfId="42" applyNumberFormat="1" applyBorder="1"/>
    <xf numFmtId="165" fontId="41" fillId="0" borderId="32" xfId="2" applyNumberFormat="1" applyFont="1" applyBorder="1"/>
    <xf numFmtId="0" fontId="25" fillId="5" borderId="18" xfId="20" quotePrefix="1" applyFill="1" applyBorder="1" applyAlignment="1">
      <alignment horizontal="center"/>
    </xf>
    <xf numFmtId="165" fontId="56" fillId="0" borderId="29" xfId="24" applyNumberFormat="1" applyFont="1" applyBorder="1"/>
    <xf numFmtId="165" fontId="9" fillId="0" borderId="29" xfId="24" applyNumberFormat="1" applyBorder="1" applyAlignment="1">
      <alignment horizontal="center"/>
    </xf>
    <xf numFmtId="0" fontId="66" fillId="0" borderId="21" xfId="0" applyFont="1" applyBorder="1" applyAlignment="1">
      <alignment horizontal="center"/>
    </xf>
    <xf numFmtId="0" fontId="4" fillId="0" borderId="29" xfId="0" applyFont="1" applyBorder="1"/>
    <xf numFmtId="0" fontId="4" fillId="0" borderId="29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169" fontId="0" fillId="0" borderId="0" xfId="0" applyNumberFormat="1"/>
    <xf numFmtId="0" fontId="69" fillId="0" borderId="21" xfId="0" applyFont="1" applyBorder="1" applyAlignment="1">
      <alignment horizontal="left"/>
    </xf>
    <xf numFmtId="0" fontId="67" fillId="0" borderId="50" xfId="21" applyFont="1" applyBorder="1" applyAlignment="1">
      <alignment horizontal="center"/>
    </xf>
    <xf numFmtId="0" fontId="67" fillId="0" borderId="59" xfId="21" applyFont="1" applyBorder="1" applyAlignment="1">
      <alignment horizontal="center"/>
    </xf>
    <xf numFmtId="0" fontId="69" fillId="0" borderId="21" xfId="0" applyFont="1" applyBorder="1" applyAlignment="1">
      <alignment horizontal="right"/>
    </xf>
    <xf numFmtId="165" fontId="71" fillId="8" borderId="57" xfId="23" applyNumberFormat="1" applyFont="1" applyFill="1" applyBorder="1" applyAlignment="1">
      <alignment horizontal="left" vertical="center" wrapText="1"/>
    </xf>
    <xf numFmtId="165" fontId="71" fillId="8" borderId="57" xfId="23" applyNumberFormat="1" applyFont="1" applyFill="1" applyBorder="1" applyAlignment="1">
      <alignment horizontal="right" vertical="center" wrapText="1"/>
    </xf>
    <xf numFmtId="165" fontId="71" fillId="8" borderId="39" xfId="23" applyNumberFormat="1" applyFont="1" applyFill="1" applyBorder="1" applyAlignment="1">
      <alignment horizontal="right" vertical="center" wrapText="1"/>
    </xf>
    <xf numFmtId="165" fontId="4" fillId="7" borderId="1" xfId="23" applyNumberFormat="1" applyFont="1" applyFill="1" applyBorder="1" applyAlignment="1">
      <alignment horizontal="center"/>
    </xf>
    <xf numFmtId="165" fontId="4" fillId="0" borderId="121" xfId="24" applyNumberFormat="1" applyFont="1" applyBorder="1" applyAlignment="1">
      <alignment horizontal="center"/>
    </xf>
    <xf numFmtId="165" fontId="4" fillId="0" borderId="54" xfId="24" applyNumberFormat="1" applyFont="1" applyBorder="1" applyAlignment="1">
      <alignment horizontal="center"/>
    </xf>
    <xf numFmtId="165" fontId="32" fillId="0" borderId="78" xfId="42" applyNumberFormat="1" applyBorder="1" applyAlignment="1">
      <alignment horizontal="center"/>
    </xf>
    <xf numFmtId="165" fontId="50" fillId="0" borderId="1" xfId="42" applyNumberFormat="1" applyFont="1" applyBorder="1" applyAlignment="1">
      <alignment horizontal="center"/>
    </xf>
    <xf numFmtId="165" fontId="6" fillId="0" borderId="0" xfId="0" applyNumberFormat="1" applyFont="1"/>
    <xf numFmtId="165" fontId="7" fillId="0" borderId="0" xfId="0" applyNumberFormat="1" applyFont="1"/>
    <xf numFmtId="0" fontId="17" fillId="5" borderId="21" xfId="0" applyFont="1" applyFill="1" applyBorder="1" applyAlignment="1">
      <alignment horizontal="center"/>
    </xf>
    <xf numFmtId="0" fontId="17" fillId="5" borderId="17" xfId="0" applyFont="1" applyFill="1" applyBorder="1"/>
    <xf numFmtId="0" fontId="17" fillId="12" borderId="21" xfId="0" applyFont="1" applyFill="1" applyBorder="1"/>
    <xf numFmtId="165" fontId="4" fillId="0" borderId="23" xfId="0" applyNumberFormat="1" applyFont="1" applyBorder="1"/>
    <xf numFmtId="0" fontId="31" fillId="0" borderId="0" xfId="41" applyBorder="1" applyAlignment="1">
      <alignment horizontal="center" wrapText="1"/>
    </xf>
    <xf numFmtId="165" fontId="4" fillId="7" borderId="0" xfId="23" applyNumberFormat="1" applyFont="1" applyFill="1" applyBorder="1" applyAlignment="1">
      <alignment horizontal="center"/>
    </xf>
    <xf numFmtId="165" fontId="27" fillId="0" borderId="0" xfId="23" applyNumberFormat="1" applyFill="1" applyBorder="1" applyAlignment="1">
      <alignment horizontal="center"/>
    </xf>
    <xf numFmtId="165" fontId="2" fillId="7" borderId="0" xfId="23" applyNumberFormat="1" applyFont="1" applyFill="1" applyBorder="1" applyAlignment="1">
      <alignment horizontal="center"/>
    </xf>
    <xf numFmtId="0" fontId="25" fillId="5" borderId="1" xfId="20" applyFill="1" applyBorder="1" applyAlignment="1">
      <alignment horizontal="center"/>
    </xf>
    <xf numFmtId="165" fontId="4" fillId="0" borderId="0" xfId="24" applyNumberFormat="1" applyFont="1" applyAlignment="1">
      <alignment horizontal="center"/>
    </xf>
    <xf numFmtId="165" fontId="32" fillId="0" borderId="0" xfId="42" applyNumberFormat="1" applyBorder="1" applyAlignment="1">
      <alignment horizontal="center"/>
    </xf>
    <xf numFmtId="166" fontId="53" fillId="3" borderId="0" xfId="36" applyNumberFormat="1" applyFont="1" applyBorder="1" applyAlignment="1">
      <alignment horizontal="center"/>
    </xf>
    <xf numFmtId="0" fontId="31" fillId="0" borderId="19" xfId="41" applyBorder="1" applyAlignment="1">
      <alignment horizontal="center"/>
    </xf>
    <xf numFmtId="0" fontId="31" fillId="0" borderId="27" xfId="41" applyBorder="1" applyAlignment="1">
      <alignment horizontal="center"/>
    </xf>
    <xf numFmtId="0" fontId="75" fillId="0" borderId="22" xfId="18" applyFont="1" applyFill="1" applyBorder="1" applyAlignment="1">
      <alignment horizontal="center" wrapText="1"/>
    </xf>
    <xf numFmtId="0" fontId="75" fillId="0" borderId="18" xfId="18" applyFont="1" applyFill="1" applyBorder="1" applyAlignment="1">
      <alignment horizontal="center" wrapText="1"/>
    </xf>
    <xf numFmtId="0" fontId="75" fillId="0" borderId="30" xfId="18" applyFont="1" applyFill="1" applyBorder="1" applyAlignment="1">
      <alignment horizontal="center" wrapText="1"/>
    </xf>
    <xf numFmtId="0" fontId="74" fillId="0" borderId="1" xfId="22" applyFont="1" applyBorder="1" applyAlignment="1">
      <alignment horizontal="center"/>
    </xf>
    <xf numFmtId="0" fontId="74" fillId="0" borderId="0" xfId="22" applyFont="1" applyBorder="1" applyAlignment="1">
      <alignment horizontal="center"/>
    </xf>
    <xf numFmtId="0" fontId="74" fillId="0" borderId="2" xfId="22" applyFont="1" applyBorder="1" applyAlignment="1">
      <alignment horizontal="center"/>
    </xf>
    <xf numFmtId="0" fontId="68" fillId="0" borderId="20" xfId="41" applyFont="1" applyBorder="1" applyAlignment="1">
      <alignment horizontal="center"/>
    </xf>
    <xf numFmtId="0" fontId="68" fillId="0" borderId="16" xfId="41" applyFont="1" applyBorder="1" applyAlignment="1">
      <alignment horizontal="center"/>
    </xf>
    <xf numFmtId="0" fontId="68" fillId="0" borderId="17" xfId="41" applyFont="1" applyBorder="1" applyAlignment="1">
      <alignment horizontal="center"/>
    </xf>
    <xf numFmtId="0" fontId="68" fillId="0" borderId="22" xfId="19" applyFont="1" applyBorder="1" applyAlignment="1">
      <alignment horizontal="center" wrapText="1"/>
    </xf>
    <xf numFmtId="0" fontId="68" fillId="0" borderId="18" xfId="19" applyFont="1" applyBorder="1" applyAlignment="1">
      <alignment horizontal="center" wrapText="1"/>
    </xf>
    <xf numFmtId="0" fontId="68" fillId="0" borderId="30" xfId="19" applyFont="1" applyBorder="1" applyAlignment="1">
      <alignment horizontal="center" wrapText="1"/>
    </xf>
    <xf numFmtId="0" fontId="75" fillId="0" borderId="1" xfId="18" applyFont="1" applyBorder="1" applyAlignment="1">
      <alignment horizontal="center" wrapText="1"/>
    </xf>
    <xf numFmtId="0" fontId="75" fillId="0" borderId="0" xfId="18" applyFont="1" applyBorder="1" applyAlignment="1">
      <alignment horizontal="center" wrapText="1"/>
    </xf>
    <xf numFmtId="0" fontId="75" fillId="0" borderId="2" xfId="18" applyFont="1" applyBorder="1" applyAlignment="1">
      <alignment horizontal="center" wrapText="1"/>
    </xf>
    <xf numFmtId="0" fontId="75" fillId="0" borderId="1" xfId="18" applyFont="1" applyFill="1" applyBorder="1" applyAlignment="1">
      <alignment horizontal="center" wrapText="1"/>
    </xf>
    <xf numFmtId="0" fontId="75" fillId="0" borderId="0" xfId="18" applyFont="1" applyFill="1" applyBorder="1" applyAlignment="1">
      <alignment horizontal="center" wrapText="1"/>
    </xf>
    <xf numFmtId="0" fontId="75" fillId="0" borderId="2" xfId="18" applyFont="1" applyFill="1" applyBorder="1" applyAlignment="1">
      <alignment horizontal="center" wrapText="1"/>
    </xf>
    <xf numFmtId="0" fontId="26" fillId="0" borderId="107" xfId="19" applyFont="1" applyBorder="1" applyAlignment="1">
      <alignment horizontal="center"/>
    </xf>
    <xf numFmtId="0" fontId="26" fillId="0" borderId="108" xfId="19" applyFont="1" applyBorder="1" applyAlignment="1">
      <alignment horizontal="center"/>
    </xf>
    <xf numFmtId="0" fontId="26" fillId="0" borderId="109" xfId="19" applyFont="1" applyBorder="1" applyAlignment="1">
      <alignment horizontal="center"/>
    </xf>
    <xf numFmtId="0" fontId="55" fillId="0" borderId="63" xfId="41" applyFont="1" applyBorder="1" applyAlignment="1">
      <alignment horizontal="center"/>
    </xf>
    <xf numFmtId="0" fontId="55" fillId="0" borderId="0" xfId="41" applyFont="1" applyBorder="1" applyAlignment="1">
      <alignment horizontal="center"/>
    </xf>
    <xf numFmtId="0" fontId="31" fillId="0" borderId="58" xfId="41" applyBorder="1" applyAlignment="1">
      <alignment horizontal="center" wrapText="1"/>
    </xf>
    <xf numFmtId="0" fontId="31" fillId="0" borderId="59" xfId="41" applyBorder="1" applyAlignment="1">
      <alignment horizontal="center" wrapText="1"/>
    </xf>
    <xf numFmtId="0" fontId="31" fillId="0" borderId="52" xfId="41" applyBorder="1" applyAlignment="1">
      <alignment horizontal="center" wrapText="1"/>
    </xf>
    <xf numFmtId="49" fontId="23" fillId="0" borderId="1" xfId="18" applyNumberFormat="1" applyBorder="1" applyAlignment="1">
      <alignment horizontal="left" wrapText="1"/>
    </xf>
    <xf numFmtId="49" fontId="23" fillId="0" borderId="0" xfId="18" applyNumberFormat="1" applyBorder="1" applyAlignment="1">
      <alignment horizontal="left" wrapText="1"/>
    </xf>
    <xf numFmtId="49" fontId="23" fillId="0" borderId="22" xfId="18" applyNumberFormat="1" applyBorder="1" applyAlignment="1">
      <alignment horizontal="left" wrapText="1"/>
    </xf>
    <xf numFmtId="49" fontId="23" fillId="0" borderId="18" xfId="18" applyNumberFormat="1" applyBorder="1" applyAlignment="1">
      <alignment horizontal="left" wrapText="1"/>
    </xf>
    <xf numFmtId="0" fontId="31" fillId="0" borderId="22" xfId="41" applyBorder="1" applyAlignment="1">
      <alignment horizontal="center"/>
    </xf>
    <xf numFmtId="0" fontId="31" fillId="0" borderId="18" xfId="4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5" fontId="41" fillId="0" borderId="15" xfId="2" applyNumberFormat="1" applyFont="1" applyBorder="1"/>
    <xf numFmtId="0" fontId="44" fillId="5" borderId="13" xfId="0" applyFont="1" applyFill="1" applyBorder="1" applyAlignment="1">
      <alignment horizontal="center"/>
    </xf>
    <xf numFmtId="0" fontId="4" fillId="12" borderId="7" xfId="0" applyFont="1" applyFill="1" applyBorder="1"/>
    <xf numFmtId="0" fontId="46" fillId="0" borderId="0" xfId="0" applyFont="1"/>
    <xf numFmtId="0" fontId="76" fillId="13" borderId="20" xfId="18" applyFont="1" applyFill="1" applyBorder="1" applyAlignment="1"/>
    <xf numFmtId="0" fontId="76" fillId="13" borderId="16" xfId="18" applyFont="1" applyFill="1" applyBorder="1" applyAlignment="1">
      <alignment wrapText="1"/>
    </xf>
    <xf numFmtId="49" fontId="76" fillId="13" borderId="1" xfId="18" applyNumberFormat="1" applyFont="1" applyFill="1" applyBorder="1" applyAlignment="1"/>
    <xf numFmtId="49" fontId="76" fillId="13" borderId="0" xfId="18" applyNumberFormat="1" applyFont="1" applyFill="1" applyBorder="1" applyAlignment="1">
      <alignment wrapText="1"/>
    </xf>
    <xf numFmtId="49" fontId="76" fillId="13" borderId="22" xfId="18" applyNumberFormat="1" applyFont="1" applyFill="1" applyBorder="1" applyAlignment="1"/>
    <xf numFmtId="49" fontId="76" fillId="13" borderId="18" xfId="18" applyNumberFormat="1" applyFont="1" applyFill="1" applyBorder="1" applyAlignment="1">
      <alignment wrapText="1"/>
    </xf>
    <xf numFmtId="0" fontId="4" fillId="0" borderId="0" xfId="0" applyFont="1" applyBorder="1"/>
    <xf numFmtId="0" fontId="76" fillId="13" borderId="20" xfId="18" applyFont="1" applyFill="1" applyBorder="1" applyAlignment="1">
      <alignment wrapText="1"/>
    </xf>
    <xf numFmtId="0" fontId="46" fillId="13" borderId="16" xfId="0" applyFont="1" applyFill="1" applyBorder="1"/>
    <xf numFmtId="49" fontId="76" fillId="13" borderId="1" xfId="18" applyNumberFormat="1" applyFont="1" applyFill="1" applyBorder="1" applyAlignment="1">
      <alignment wrapText="1"/>
    </xf>
    <xf numFmtId="49" fontId="76" fillId="13" borderId="22" xfId="18" applyNumberFormat="1" applyFont="1" applyFill="1" applyBorder="1" applyAlignment="1">
      <alignment wrapText="1"/>
    </xf>
    <xf numFmtId="0" fontId="46" fillId="13" borderId="18" xfId="0" applyFont="1" applyFill="1" applyBorder="1"/>
    <xf numFmtId="0" fontId="4" fillId="13" borderId="16" xfId="0" applyFont="1" applyFill="1" applyBorder="1"/>
    <xf numFmtId="0" fontId="4" fillId="13" borderId="16" xfId="0" applyFont="1" applyFill="1" applyBorder="1" applyAlignment="1">
      <alignment horizontal="center"/>
    </xf>
    <xf numFmtId="0" fontId="4" fillId="13" borderId="17" xfId="0" applyFont="1" applyFill="1" applyBorder="1"/>
    <xf numFmtId="49" fontId="23" fillId="13" borderId="0" xfId="18" applyNumberFormat="1" applyFill="1" applyBorder="1" applyAlignment="1">
      <alignment wrapText="1"/>
    </xf>
    <xf numFmtId="49" fontId="23" fillId="13" borderId="2" xfId="18" applyNumberFormat="1" applyFill="1" applyBorder="1" applyAlignment="1">
      <alignment wrapText="1"/>
    </xf>
    <xf numFmtId="0" fontId="4" fillId="13" borderId="18" xfId="0" applyFont="1" applyFill="1" applyBorder="1"/>
    <xf numFmtId="0" fontId="4" fillId="13" borderId="18" xfId="0" applyFont="1" applyFill="1" applyBorder="1" applyAlignment="1">
      <alignment horizontal="center"/>
    </xf>
    <xf numFmtId="0" fontId="4" fillId="13" borderId="30" xfId="0" applyFont="1" applyFill="1" applyBorder="1"/>
    <xf numFmtId="0" fontId="4" fillId="0" borderId="55" xfId="0" applyFont="1" applyBorder="1"/>
    <xf numFmtId="165" fontId="4" fillId="0" borderId="2" xfId="0" applyNumberFormat="1" applyFont="1" applyBorder="1"/>
    <xf numFmtId="165" fontId="32" fillId="3" borderId="13" xfId="2" applyNumberFormat="1" applyFont="1" applyFill="1" applyBorder="1" applyAlignment="1">
      <alignment horizontal="center"/>
    </xf>
    <xf numFmtId="165" fontId="4" fillId="7" borderId="13" xfId="23" applyNumberFormat="1" applyFont="1" applyFill="1" applyBorder="1" applyAlignment="1">
      <alignment horizontal="center"/>
    </xf>
    <xf numFmtId="49" fontId="4" fillId="14" borderId="13" xfId="0" applyNumberFormat="1" applyFont="1" applyFill="1" applyBorder="1" applyAlignment="1">
      <alignment horizontal="center"/>
    </xf>
    <xf numFmtId="165" fontId="4" fillId="14" borderId="0" xfId="2" applyNumberFormat="1" applyFont="1" applyFill="1" applyBorder="1" applyAlignment="1">
      <alignment horizontal="right"/>
    </xf>
    <xf numFmtId="165" fontId="4" fillId="14" borderId="3" xfId="2" applyNumberFormat="1" applyFont="1" applyFill="1" applyBorder="1" applyAlignment="1">
      <alignment horizontal="right"/>
    </xf>
    <xf numFmtId="165" fontId="4" fillId="14" borderId="7" xfId="2" applyNumberFormat="1" applyFont="1" applyFill="1" applyBorder="1" applyAlignment="1">
      <alignment horizontal="right"/>
    </xf>
    <xf numFmtId="165" fontId="4" fillId="14" borderId="7" xfId="23" applyNumberFormat="1" applyFont="1" applyFill="1" applyBorder="1" applyAlignment="1">
      <alignment horizontal="right"/>
    </xf>
    <xf numFmtId="165" fontId="4" fillId="14" borderId="7" xfId="23" applyNumberFormat="1" applyFont="1" applyFill="1" applyBorder="1"/>
    <xf numFmtId="165" fontId="4" fillId="14" borderId="0" xfId="23" applyNumberFormat="1" applyFont="1" applyFill="1" applyBorder="1"/>
    <xf numFmtId="165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/>
    <xf numFmtId="0" fontId="4" fillId="14" borderId="21" xfId="0" applyFont="1" applyFill="1" applyBorder="1"/>
    <xf numFmtId="49" fontId="3" fillId="14" borderId="13" xfId="0" applyNumberFormat="1" applyFont="1" applyFill="1" applyBorder="1" applyAlignment="1">
      <alignment horizontal="center"/>
    </xf>
    <xf numFmtId="165" fontId="3" fillId="14" borderId="0" xfId="2" applyNumberFormat="1" applyFont="1" applyFill="1" applyBorder="1" applyAlignment="1">
      <alignment horizontal="right"/>
    </xf>
    <xf numFmtId="165" fontId="3" fillId="14" borderId="3" xfId="2" applyNumberFormat="1" applyFont="1" applyFill="1" applyBorder="1" applyAlignment="1">
      <alignment horizontal="right"/>
    </xf>
    <xf numFmtId="165" fontId="41" fillId="14" borderId="47" xfId="23" applyNumberFormat="1" applyFont="1" applyFill="1" applyBorder="1" applyAlignment="1">
      <alignment horizontal="right"/>
    </xf>
    <xf numFmtId="165" fontId="41" fillId="14" borderId="92" xfId="23" applyNumberFormat="1" applyFont="1" applyFill="1" applyBorder="1" applyAlignment="1">
      <alignment horizontal="right"/>
    </xf>
    <xf numFmtId="165" fontId="41" fillId="14" borderId="2" xfId="23" applyNumberFormat="1" applyFont="1" applyFill="1" applyBorder="1" applyAlignment="1">
      <alignment horizontal="right"/>
    </xf>
    <xf numFmtId="165" fontId="3" fillId="14" borderId="29" xfId="0" applyNumberFormat="1" applyFont="1" applyFill="1" applyBorder="1"/>
    <xf numFmtId="165" fontId="3" fillId="14" borderId="15" xfId="2" applyNumberFormat="1" applyFont="1" applyFill="1" applyBorder="1" applyAlignment="1">
      <alignment horizontal="right"/>
    </xf>
    <xf numFmtId="165" fontId="41" fillId="14" borderId="53" xfId="23" applyNumberFormat="1" applyFont="1" applyFill="1" applyBorder="1" applyAlignment="1">
      <alignment horizontal="right"/>
    </xf>
    <xf numFmtId="165" fontId="41" fillId="14" borderId="15" xfId="23" applyNumberFormat="1" applyFont="1" applyFill="1" applyBorder="1" applyAlignment="1">
      <alignment horizontal="right"/>
    </xf>
    <xf numFmtId="0" fontId="3" fillId="14" borderId="29" xfId="0" applyFont="1" applyFill="1" applyBorder="1" applyAlignment="1">
      <alignment horizontal="center"/>
    </xf>
    <xf numFmtId="0" fontId="3" fillId="14" borderId="2" xfId="0" applyFont="1" applyFill="1" applyBorder="1"/>
    <xf numFmtId="0" fontId="3" fillId="14" borderId="29" xfId="0" applyFont="1" applyFill="1" applyBorder="1"/>
    <xf numFmtId="0" fontId="69" fillId="0" borderId="51" xfId="0" applyFont="1" applyBorder="1" applyAlignment="1">
      <alignment horizontal="left" vertical="center"/>
    </xf>
    <xf numFmtId="165" fontId="69" fillId="0" borderId="29" xfId="2" applyNumberFormat="1" applyFont="1" applyBorder="1" applyAlignment="1">
      <alignment horizontal="right" vertical="center"/>
    </xf>
    <xf numFmtId="165" fontId="69" fillId="0" borderId="0" xfId="2" applyNumberFormat="1" applyFont="1" applyBorder="1" applyAlignment="1">
      <alignment horizontal="right" vertical="center"/>
    </xf>
    <xf numFmtId="0" fontId="69" fillId="0" borderId="51" xfId="0" applyFont="1" applyBorder="1" applyAlignment="1">
      <alignment horizontal="right" vertical="center"/>
    </xf>
    <xf numFmtId="0" fontId="69" fillId="0" borderId="55" xfId="0" applyFont="1" applyBorder="1" applyAlignment="1">
      <alignment horizontal="left" vertical="center"/>
    </xf>
    <xf numFmtId="165" fontId="69" fillId="0" borderId="29" xfId="2" applyNumberFormat="1" applyFont="1" applyFill="1" applyBorder="1" applyAlignment="1">
      <alignment horizontal="right" vertical="center"/>
    </xf>
    <xf numFmtId="165" fontId="69" fillId="0" borderId="0" xfId="2" applyNumberFormat="1" applyFont="1" applyFill="1" applyBorder="1" applyAlignment="1">
      <alignment horizontal="right" vertical="center"/>
    </xf>
    <xf numFmtId="0" fontId="69" fillId="0" borderId="55" xfId="0" applyFont="1" applyBorder="1" applyAlignment="1">
      <alignment horizontal="right" vertical="center"/>
    </xf>
    <xf numFmtId="0" fontId="71" fillId="0" borderId="83" xfId="42" applyFont="1" applyBorder="1" applyAlignment="1">
      <alignment horizontal="left" vertical="center"/>
    </xf>
    <xf numFmtId="165" fontId="72" fillId="0" borderId="101" xfId="42" applyNumberFormat="1" applyFont="1" applyBorder="1" applyAlignment="1">
      <alignment horizontal="right" vertical="center"/>
    </xf>
    <xf numFmtId="165" fontId="72" fillId="0" borderId="67" xfId="42" applyNumberFormat="1" applyFont="1" applyAlignment="1">
      <alignment horizontal="right" vertical="center"/>
    </xf>
    <xf numFmtId="0" fontId="71" fillId="0" borderId="83" xfId="42" applyFont="1" applyBorder="1" applyAlignment="1">
      <alignment horizontal="right" vertical="center"/>
    </xf>
    <xf numFmtId="0" fontId="73" fillId="8" borderId="96" xfId="23" applyFont="1" applyFill="1" applyBorder="1" applyAlignment="1">
      <alignment horizontal="left" vertical="center"/>
    </xf>
    <xf numFmtId="165" fontId="73" fillId="8" borderId="57" xfId="2" applyNumberFormat="1" applyFont="1" applyFill="1" applyBorder="1" applyAlignment="1">
      <alignment horizontal="right" vertical="center"/>
    </xf>
    <xf numFmtId="165" fontId="73" fillId="8" borderId="39" xfId="2" applyNumberFormat="1" applyFont="1" applyFill="1" applyBorder="1" applyAlignment="1">
      <alignment horizontal="right" vertical="center"/>
    </xf>
    <xf numFmtId="0" fontId="73" fillId="8" borderId="96" xfId="23" applyFont="1" applyFill="1" applyBorder="1" applyAlignment="1">
      <alignment horizontal="right" vertical="center"/>
    </xf>
    <xf numFmtId="0" fontId="73" fillId="0" borderId="102" xfId="0" applyFont="1" applyBorder="1" applyAlignment="1">
      <alignment horizontal="left" vertical="center" wrapText="1"/>
    </xf>
    <xf numFmtId="165" fontId="73" fillId="0" borderId="29" xfId="2" applyNumberFormat="1" applyFont="1" applyBorder="1" applyAlignment="1">
      <alignment horizontal="right" vertical="center"/>
    </xf>
    <xf numFmtId="165" fontId="73" fillId="0" borderId="0" xfId="2" applyNumberFormat="1" applyFont="1" applyBorder="1" applyAlignment="1">
      <alignment horizontal="right" vertical="center"/>
    </xf>
    <xf numFmtId="0" fontId="73" fillId="0" borderId="102" xfId="0" applyFont="1" applyBorder="1" applyAlignment="1">
      <alignment horizontal="right" vertical="center"/>
    </xf>
    <xf numFmtId="0" fontId="72" fillId="3" borderId="29" xfId="36" applyFont="1" applyBorder="1" applyAlignment="1">
      <alignment horizontal="left" vertical="center"/>
    </xf>
    <xf numFmtId="166" fontId="72" fillId="3" borderId="29" xfId="37" applyNumberFormat="1" applyFont="1" applyFill="1" applyBorder="1" applyAlignment="1">
      <alignment horizontal="right" vertical="center"/>
    </xf>
    <xf numFmtId="166" fontId="72" fillId="3" borderId="0" xfId="37" applyNumberFormat="1" applyFont="1" applyFill="1" applyBorder="1" applyAlignment="1">
      <alignment horizontal="right" vertical="center"/>
    </xf>
    <xf numFmtId="0" fontId="72" fillId="3" borderId="29" xfId="36" applyFont="1" applyBorder="1" applyAlignment="1">
      <alignment horizontal="right" vertical="center" wrapText="1"/>
    </xf>
    <xf numFmtId="0" fontId="69" fillId="0" borderId="29" xfId="0" applyFont="1" applyBorder="1" applyAlignment="1">
      <alignment horizontal="left" vertical="center"/>
    </xf>
    <xf numFmtId="0" fontId="69" fillId="0" borderId="29" xfId="0" applyFont="1" applyBorder="1" applyAlignment="1">
      <alignment horizontal="right" vertical="center"/>
    </xf>
    <xf numFmtId="0" fontId="72" fillId="8" borderId="102" xfId="36" applyFont="1" applyFill="1" applyBorder="1" applyAlignment="1">
      <alignment horizontal="left" vertical="center"/>
    </xf>
    <xf numFmtId="169" fontId="72" fillId="8" borderId="102" xfId="2" applyNumberFormat="1" applyFont="1" applyFill="1" applyBorder="1" applyAlignment="1">
      <alignment horizontal="right" vertical="center"/>
    </xf>
    <xf numFmtId="169" fontId="72" fillId="8" borderId="120" xfId="2" applyNumberFormat="1" applyFont="1" applyFill="1" applyBorder="1" applyAlignment="1">
      <alignment horizontal="right" vertical="center"/>
    </xf>
    <xf numFmtId="0" fontId="72" fillId="8" borderId="102" xfId="36" applyFont="1" applyFill="1" applyBorder="1" applyAlignment="1">
      <alignment horizontal="right" vertical="center"/>
    </xf>
    <xf numFmtId="0" fontId="72" fillId="11" borderId="13" xfId="36" applyFont="1" applyFill="1" applyBorder="1" applyAlignment="1">
      <alignment horizontal="left" vertical="center"/>
    </xf>
    <xf numFmtId="169" fontId="72" fillId="11" borderId="13" xfId="2" applyNumberFormat="1" applyFont="1" applyFill="1" applyBorder="1" applyAlignment="1">
      <alignment horizontal="right" vertical="center"/>
    </xf>
    <xf numFmtId="0" fontId="72" fillId="11" borderId="13" xfId="36" applyFont="1" applyFill="1" applyBorder="1" applyAlignment="1">
      <alignment horizontal="right" vertical="center"/>
    </xf>
    <xf numFmtId="1" fontId="4" fillId="7" borderId="1" xfId="23" applyNumberFormat="1" applyFont="1" applyFill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" fontId="40" fillId="0" borderId="53" xfId="23" applyNumberFormat="1" applyFont="1" applyFill="1" applyBorder="1" applyAlignment="1">
      <alignment horizontal="center"/>
    </xf>
    <xf numFmtId="1" fontId="40" fillId="0" borderId="15" xfId="23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</cellXfs>
  <cellStyles count="55">
    <cellStyle name="20% - Accent2" xfId="1" builtinId="34"/>
    <cellStyle name="Comma" xfId="2" builtinId="3"/>
    <cellStyle name="Comma 12" xfId="3" xr:uid="{00000000-0005-0000-0000-000003000000}"/>
    <cellStyle name="Comma 12 2" xfId="4" xr:uid="{00000000-0005-0000-0000-000004000000}"/>
    <cellStyle name="Comma 13" xfId="5" xr:uid="{00000000-0005-0000-0000-000005000000}"/>
    <cellStyle name="Comma 13 2" xfId="6" xr:uid="{00000000-0005-0000-0000-000006000000}"/>
    <cellStyle name="Comma 14" xfId="7" xr:uid="{00000000-0005-0000-0000-000007000000}"/>
    <cellStyle name="Comma 14 2" xfId="8" xr:uid="{00000000-0005-0000-0000-000008000000}"/>
    <cellStyle name="Comma 2 2" xfId="9" xr:uid="{00000000-0005-0000-0000-000009000000}"/>
    <cellStyle name="Comma 3" xfId="10" xr:uid="{00000000-0005-0000-0000-00000A000000}"/>
    <cellStyle name="Comma 3 2" xfId="11" xr:uid="{00000000-0005-0000-0000-00000B000000}"/>
    <cellStyle name="Comma 4 2" xfId="12" xr:uid="{00000000-0005-0000-0000-00000C000000}"/>
    <cellStyle name="Comma 5" xfId="13" xr:uid="{00000000-0005-0000-0000-00000D000000}"/>
    <cellStyle name="Comma 5 2" xfId="14" xr:uid="{00000000-0005-0000-0000-00000E000000}"/>
    <cellStyle name="Comma 6 2" xfId="15" xr:uid="{00000000-0005-0000-0000-00000F000000}"/>
    <cellStyle name="Comma 7" xfId="16" xr:uid="{00000000-0005-0000-0000-000010000000}"/>
    <cellStyle name="Comma 7 2" xfId="17" xr:uid="{00000000-0005-0000-0000-000011000000}"/>
    <cellStyle name="Explanatory Text" xfId="18" builtinId="53"/>
    <cellStyle name="Heading 1" xfId="19" builtinId="16"/>
    <cellStyle name="Heading 2" xfId="20" builtinId="17"/>
    <cellStyle name="Heading 3" xfId="21" builtinId="18"/>
    <cellStyle name="Heading 4" xfId="22" builtinId="19"/>
    <cellStyle name="Input" xfId="23" builtinId="20"/>
    <cellStyle name="Normal" xfId="0" builtinId="0"/>
    <cellStyle name="Normal 10" xfId="43" xr:uid="{FFE76598-84ED-4910-8713-FE76470552B5}"/>
    <cellStyle name="Normal 11" xfId="44" xr:uid="{B9690F54-B9C7-419F-B0A1-3D1EB360CDF5}"/>
    <cellStyle name="Normal 12" xfId="45" xr:uid="{12C78D03-A74E-4C01-B9F0-22A27950809B}"/>
    <cellStyle name="Normal 13" xfId="49" xr:uid="{CF1AB5AA-2E0F-4E11-AE3C-391F02CF9010}"/>
    <cellStyle name="Normal 14" xfId="50" xr:uid="{DB875DDE-2A33-42B6-BADF-9436391D1E6E}"/>
    <cellStyle name="Normal 15" xfId="51" xr:uid="{F9FE5B8B-F097-438A-93E5-22A686A57C1A}"/>
    <cellStyle name="Normal 16" xfId="52" xr:uid="{B61702BB-1DC5-4C57-8513-776A0AB1C440}"/>
    <cellStyle name="Normal 17" xfId="53" xr:uid="{04DEAE24-4C79-46B6-8F51-71DDF2EF01A7}"/>
    <cellStyle name="Normal 18" xfId="54" xr:uid="{4BDDDBB4-D1F4-4909-BD29-1E7F5D206E8F}"/>
    <cellStyle name="Normal 2" xfId="24" xr:uid="{00000000-0005-0000-0000-000019000000}"/>
    <cellStyle name="Normal 2 2" xfId="25" xr:uid="{00000000-0005-0000-0000-00001A000000}"/>
    <cellStyle name="Normal 2 2 2" xfId="47" xr:uid="{BCB7B410-9F87-494A-9376-48FDA632D60E}"/>
    <cellStyle name="Normal 2 3" xfId="26" xr:uid="{00000000-0005-0000-0000-00001B000000}"/>
    <cellStyle name="Normal 2 4" xfId="46" xr:uid="{F2413743-48FB-4C50-BD00-B7ECE357CACA}"/>
    <cellStyle name="Normal 3" xfId="27" xr:uid="{00000000-0005-0000-0000-00001C000000}"/>
    <cellStyle name="Normal 3 2" xfId="28" xr:uid="{00000000-0005-0000-0000-00001D000000}"/>
    <cellStyle name="Normal 4" xfId="29" xr:uid="{00000000-0005-0000-0000-00001E000000}"/>
    <cellStyle name="Normal 4 2" xfId="30" xr:uid="{00000000-0005-0000-0000-00001F000000}"/>
    <cellStyle name="Normal 5" xfId="31" xr:uid="{00000000-0005-0000-0000-000020000000}"/>
    <cellStyle name="Normal 5 2" xfId="32" xr:uid="{00000000-0005-0000-0000-000021000000}"/>
    <cellStyle name="Normal 6" xfId="33" xr:uid="{00000000-0005-0000-0000-000022000000}"/>
    <cellStyle name="Normal 7" xfId="34" xr:uid="{00000000-0005-0000-0000-000023000000}"/>
    <cellStyle name="Normal 8" xfId="35" xr:uid="{00000000-0005-0000-0000-000024000000}"/>
    <cellStyle name="Normal 9" xfId="48" xr:uid="{FECE2A38-BB48-4C63-9648-84B0193BD442}"/>
    <cellStyle name="Output" xfId="36" builtinId="21"/>
    <cellStyle name="Per cent" xfId="37" builtinId="5"/>
    <cellStyle name="Percent 3" xfId="38" xr:uid="{00000000-0005-0000-0000-000027000000}"/>
    <cellStyle name="Percent 3 2" xfId="39" xr:uid="{00000000-0005-0000-0000-000028000000}"/>
    <cellStyle name="Percent 4" xfId="40" xr:uid="{00000000-0005-0000-0000-000029000000}"/>
    <cellStyle name="Title" xfId="41" builtinId="15"/>
    <cellStyle name="Total" xfId="42" builtinId="25"/>
  </cellStyles>
  <dxfs count="17"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B0F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9" defaultPivotStyle="PivotStyleLight16">
    <tableStyle name="Invisible" pivot="0" table="0" count="0" xr9:uid="{89F0499D-74B8-48DF-BCC6-7B290EA0641C}"/>
  </tableStyles>
  <colors>
    <mruColors>
      <color rgb="FFAE9344"/>
      <color rgb="FF3B63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3.xml"/><Relationship Id="rId18" Type="http://schemas.openxmlformats.org/officeDocument/2006/relationships/worksheet" Target="worksheets/sheet6.xml"/><Relationship Id="rId26" Type="http://schemas.openxmlformats.org/officeDocument/2006/relationships/calcChain" Target="calcChain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9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2.xml"/><Relationship Id="rId17" Type="http://schemas.openxmlformats.org/officeDocument/2006/relationships/chartsheet" Target="chartsheets/sheet12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5.xml"/><Relationship Id="rId20" Type="http://schemas.openxmlformats.org/officeDocument/2006/relationships/worksheet" Target="worksheets/sheet8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1.xml"/><Relationship Id="rId24" Type="http://schemas.openxmlformats.org/officeDocument/2006/relationships/styles" Target="styles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chartsheet" Target="chartsheets/sheet10.xml"/><Relationship Id="rId19" Type="http://schemas.openxmlformats.org/officeDocument/2006/relationships/worksheet" Target="worksheets/sheet7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4.xml"/><Relationship Id="rId22" Type="http://schemas.openxmlformats.org/officeDocument/2006/relationships/chartsheet" Target="chartsheets/sheet13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White Maize: Weekly producer deliveries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54048585336524"/>
          <c:y val="9.8373200980209227E-2"/>
          <c:w val="0.87124134262952824"/>
          <c:h val="0.744534638484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-White maize'!$T$3</c:f>
              <c:strCache>
                <c:ptCount val="1"/>
                <c:pt idx="0">
                  <c:v>2025/26</c:v>
                </c:pt>
              </c:strCache>
            </c:strRef>
          </c:tx>
          <c:invertIfNegative val="0"/>
          <c:cat>
            <c:numRef>
              <c:f>'Summary -White maize'!$B$18:$B$70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 formatCode="_ * #\ ##0_ ;_ * \-#\ ##0_ ;_ * &quot;-&quot;??_ ;_ @_ ">
                  <c:v>53</c:v>
                </c:pt>
              </c:numCache>
            </c:numRef>
          </c:cat>
          <c:val>
            <c:numRef>
              <c:f>'Summary -White maize'!$T$18:$T$70</c:f>
              <c:numCache>
                <c:formatCode>_ * #\ ##0_ ;_ * \-#\ ##0_ ;_ * "-"??_ ;_ @_ </c:formatCode>
                <c:ptCount val="53"/>
                <c:pt idx="0">
                  <c:v>24287</c:v>
                </c:pt>
                <c:pt idx="1">
                  <c:v>45380</c:v>
                </c:pt>
                <c:pt idx="2">
                  <c:v>90590</c:v>
                </c:pt>
                <c:pt idx="3">
                  <c:v>194841</c:v>
                </c:pt>
                <c:pt idx="4">
                  <c:v>252644</c:v>
                </c:pt>
                <c:pt idx="5">
                  <c:v>395006</c:v>
                </c:pt>
                <c:pt idx="6">
                  <c:v>450628</c:v>
                </c:pt>
                <c:pt idx="7">
                  <c:v>570712</c:v>
                </c:pt>
                <c:pt idx="8">
                  <c:v>718070</c:v>
                </c:pt>
                <c:pt idx="9">
                  <c:v>633124</c:v>
                </c:pt>
                <c:pt idx="10">
                  <c:v>655967</c:v>
                </c:pt>
                <c:pt idx="11">
                  <c:v>686008</c:v>
                </c:pt>
                <c:pt idx="12">
                  <c:v>701423</c:v>
                </c:pt>
                <c:pt idx="13">
                  <c:v>559031</c:v>
                </c:pt>
                <c:pt idx="14">
                  <c:v>437992</c:v>
                </c:pt>
                <c:pt idx="15">
                  <c:v>385895</c:v>
                </c:pt>
                <c:pt idx="16">
                  <c:v>249243</c:v>
                </c:pt>
                <c:pt idx="17">
                  <c:v>163396</c:v>
                </c:pt>
                <c:pt idx="18">
                  <c:v>87862</c:v>
                </c:pt>
                <c:pt idx="19">
                  <c:v>62615</c:v>
                </c:pt>
                <c:pt idx="20">
                  <c:v>54809</c:v>
                </c:pt>
                <c:pt idx="21">
                  <c:v>43299</c:v>
                </c:pt>
                <c:pt idx="22">
                  <c:v>34747</c:v>
                </c:pt>
                <c:pt idx="23">
                  <c:v>36558</c:v>
                </c:pt>
                <c:pt idx="24">
                  <c:v>35297</c:v>
                </c:pt>
                <c:pt idx="25">
                  <c:v>34824</c:v>
                </c:pt>
                <c:pt idx="26">
                  <c:v>39494</c:v>
                </c:pt>
                <c:pt idx="27">
                  <c:v>29280</c:v>
                </c:pt>
                <c:pt idx="28">
                  <c:v>30271</c:v>
                </c:pt>
                <c:pt idx="29">
                  <c:v>25903</c:v>
                </c:pt>
                <c:pt idx="30">
                  <c:v>26529</c:v>
                </c:pt>
                <c:pt idx="31">
                  <c:v>20949</c:v>
                </c:pt>
                <c:pt idx="32">
                  <c:v>20179</c:v>
                </c:pt>
                <c:pt idx="33">
                  <c:v>11757</c:v>
                </c:pt>
                <c:pt idx="34">
                  <c:v>10378</c:v>
                </c:pt>
                <c:pt idx="35">
                  <c:v>2107</c:v>
                </c:pt>
                <c:pt idx="36">
                  <c:v>13033</c:v>
                </c:pt>
                <c:pt idx="37">
                  <c:v>21081</c:v>
                </c:pt>
                <c:pt idx="38">
                  <c:v>26974</c:v>
                </c:pt>
                <c:pt idx="39">
                  <c:v>38093</c:v>
                </c:pt>
                <c:pt idx="40">
                  <c:v>35887</c:v>
                </c:pt>
                <c:pt idx="41">
                  <c:v>38121</c:v>
                </c:pt>
                <c:pt idx="42">
                  <c:v>33973</c:v>
                </c:pt>
                <c:pt idx="43">
                  <c:v>48104</c:v>
                </c:pt>
                <c:pt idx="44">
                  <c:v>29851</c:v>
                </c:pt>
                <c:pt idx="45">
                  <c:v>45747</c:v>
                </c:pt>
                <c:pt idx="46">
                  <c:v>55865</c:v>
                </c:pt>
                <c:pt idx="47">
                  <c:v>48313</c:v>
                </c:pt>
                <c:pt idx="48">
                  <c:v>29072</c:v>
                </c:pt>
                <c:pt idx="49">
                  <c:v>44391</c:v>
                </c:pt>
                <c:pt idx="50">
                  <c:v>54099</c:v>
                </c:pt>
                <c:pt idx="51">
                  <c:v>31838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3-4B61-9118-133B7FA5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8847"/>
        <c:axId val="1"/>
      </c:barChart>
      <c:lineChart>
        <c:grouping val="standard"/>
        <c:varyColors val="0"/>
        <c:ser>
          <c:idx val="1"/>
          <c:order val="1"/>
          <c:tx>
            <c:strRef>
              <c:f>'Summary -White maize'!$V$3</c:f>
              <c:strCache>
                <c:ptCount val="1"/>
                <c:pt idx="0">
                  <c:v>5 Yr. AVG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marker>
          <c:val>
            <c:numRef>
              <c:f>'Summary -White maize'!$V$17:$V$70</c:f>
              <c:numCache>
                <c:formatCode>0</c:formatCode>
                <c:ptCount val="54"/>
                <c:pt idx="0" formatCode="_ * #\ ##0_ ;_ * \-#\ ##0_ ;_ * &quot;-&quot;??_ ;_ @_ ">
                  <c:v>260392.4</c:v>
                </c:pt>
                <c:pt idx="1">
                  <c:v>85640.6</c:v>
                </c:pt>
                <c:pt idx="2">
                  <c:v>169414.6</c:v>
                </c:pt>
                <c:pt idx="3">
                  <c:v>242045.4</c:v>
                </c:pt>
                <c:pt idx="4">
                  <c:v>434833.2</c:v>
                </c:pt>
                <c:pt idx="5">
                  <c:v>316065</c:v>
                </c:pt>
                <c:pt idx="6">
                  <c:v>449163</c:v>
                </c:pt>
                <c:pt idx="7">
                  <c:v>535558.19999999995</c:v>
                </c:pt>
                <c:pt idx="8">
                  <c:v>759398.8</c:v>
                </c:pt>
                <c:pt idx="9">
                  <c:v>524426.19999999995</c:v>
                </c:pt>
                <c:pt idx="10">
                  <c:v>549602.4</c:v>
                </c:pt>
                <c:pt idx="11">
                  <c:v>534059.6</c:v>
                </c:pt>
                <c:pt idx="12">
                  <c:v>511278</c:v>
                </c:pt>
                <c:pt idx="13">
                  <c:v>512334.8</c:v>
                </c:pt>
                <c:pt idx="14">
                  <c:v>311962.40000000002</c:v>
                </c:pt>
                <c:pt idx="15">
                  <c:v>289781.2</c:v>
                </c:pt>
                <c:pt idx="16">
                  <c:v>241890.8</c:v>
                </c:pt>
                <c:pt idx="17">
                  <c:v>216781.2</c:v>
                </c:pt>
                <c:pt idx="18">
                  <c:v>96803</c:v>
                </c:pt>
                <c:pt idx="19">
                  <c:v>59238</c:v>
                </c:pt>
                <c:pt idx="20">
                  <c:v>46071.4</c:v>
                </c:pt>
                <c:pt idx="21">
                  <c:v>52973</c:v>
                </c:pt>
                <c:pt idx="22">
                  <c:v>36810.800000000003</c:v>
                </c:pt>
                <c:pt idx="23">
                  <c:v>28342.6</c:v>
                </c:pt>
                <c:pt idx="24">
                  <c:v>30943.4</c:v>
                </c:pt>
                <c:pt idx="25">
                  <c:v>26979.200000000001</c:v>
                </c:pt>
                <c:pt idx="26">
                  <c:v>36550.800000000003</c:v>
                </c:pt>
                <c:pt idx="27">
                  <c:v>21953.8</c:v>
                </c:pt>
                <c:pt idx="28">
                  <c:v>19960.400000000001</c:v>
                </c:pt>
                <c:pt idx="29">
                  <c:v>18061.8</c:v>
                </c:pt>
                <c:pt idx="30">
                  <c:v>30547.8</c:v>
                </c:pt>
                <c:pt idx="31">
                  <c:v>16542.599999999999</c:v>
                </c:pt>
                <c:pt idx="32">
                  <c:v>17058.599999999999</c:v>
                </c:pt>
                <c:pt idx="33">
                  <c:v>12714.8</c:v>
                </c:pt>
                <c:pt idx="34">
                  <c:v>9081.2000000000007</c:v>
                </c:pt>
                <c:pt idx="35">
                  <c:v>13092</c:v>
                </c:pt>
                <c:pt idx="36">
                  <c:v>4554</c:v>
                </c:pt>
                <c:pt idx="37">
                  <c:v>10703.4</c:v>
                </c:pt>
                <c:pt idx="38">
                  <c:v>14549.8</c:v>
                </c:pt>
                <c:pt idx="39">
                  <c:v>28825</c:v>
                </c:pt>
                <c:pt idx="40">
                  <c:v>20547</c:v>
                </c:pt>
                <c:pt idx="41">
                  <c:v>21717.200000000001</c:v>
                </c:pt>
                <c:pt idx="42">
                  <c:v>21453.599999999999</c:v>
                </c:pt>
                <c:pt idx="43">
                  <c:v>26200</c:v>
                </c:pt>
                <c:pt idx="44">
                  <c:v>20845</c:v>
                </c:pt>
                <c:pt idx="45">
                  <c:v>19183.8</c:v>
                </c:pt>
                <c:pt idx="46">
                  <c:v>30247.4</c:v>
                </c:pt>
                <c:pt idx="47">
                  <c:v>39841.199999999997</c:v>
                </c:pt>
                <c:pt idx="48">
                  <c:v>31719.599999999999</c:v>
                </c:pt>
                <c:pt idx="49">
                  <c:v>21952</c:v>
                </c:pt>
                <c:pt idx="50">
                  <c:v>22371.200000000001</c:v>
                </c:pt>
                <c:pt idx="51">
                  <c:v>33296.400000000001</c:v>
                </c:pt>
                <c:pt idx="52">
                  <c:v>59253.599999999999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3-4B61-9118-133B7FA5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8847"/>
        <c:axId val="1"/>
      </c:lineChart>
      <c:catAx>
        <c:axId val="27158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Marketing week</a:t>
                </a:r>
              </a:p>
            </c:rich>
          </c:tx>
          <c:layout>
            <c:manualLayout>
              <c:xMode val="edge"/>
              <c:yMode val="edge"/>
              <c:x val="0.47505208875322302"/>
              <c:y val="0.89246740292729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Tons</a:t>
                </a:r>
              </a:p>
            </c:rich>
          </c:tx>
          <c:layout>
            <c:manualLayout>
              <c:xMode val="edge"/>
              <c:yMode val="edge"/>
              <c:x val="1.6039074614440655E-2"/>
              <c:y val="0.42940939917188792"/>
            </c:manualLayout>
          </c:layout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spPr>
          <a:ln>
            <a:solidFill>
              <a:schemeClr val="bg2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8847"/>
        <c:crosses val="autoZero"/>
        <c:crossBetween val="between"/>
        <c:minorUnit val="1000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1733831674124435"/>
          <c:y val="0.93568733859958331"/>
          <c:w val="0.69268693508627766"/>
          <c:h val="2.900378310214379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Weeklikse kumulatiewe mielielewerings (Bemarkingsjaar: Mei tot April)</a:t>
            </a:r>
          </a:p>
        </c:rich>
      </c:tx>
      <c:layout>
        <c:manualLayout>
          <c:xMode val="edge"/>
          <c:yMode val="edge"/>
          <c:x val="0.25139091426521326"/>
          <c:y val="1.6850974196945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23014029721106"/>
          <c:y val="8.8630982738532094E-2"/>
          <c:w val="0.87258520742461154"/>
          <c:h val="0.7654886741053101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'Mielies-Maize 2025'!$D$3:$G$3</c:f>
              <c:strCache>
                <c:ptCount val="1"/>
                <c:pt idx="0">
                  <c:v>Witmielies/White maize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'Summary -Total maize'!$B$16:$B$72</c:f>
              <c:strCache>
                <c:ptCount val="57"/>
                <c:pt idx="0">
                  <c:v>Totale vroee lewerings</c:v>
                </c:pt>
                <c:pt idx="1">
                  <c:v>Bemarkingseisoen week</c:v>
                </c:pt>
                <c:pt idx="2">
                  <c:v>Early Deliveries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</c:strCache>
            </c:strRef>
          </c:cat>
          <c:val>
            <c:numRef>
              <c:f>'Mielies-Maize 2025'!$G$16:$G$17</c:f>
              <c:numCache>
                <c:formatCode>_ * #\ ##0_ ;_ * \-#\ ##0_ ;_ * "-"??_ ;_ @_ </c:formatCode>
                <c:ptCount val="2"/>
                <c:pt idx="0">
                  <c:v>24287</c:v>
                </c:pt>
                <c:pt idx="1">
                  <c:v>69667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2-4A37-A375-F6E47DDAE892}"/>
            </c:ext>
          </c:extLst>
        </c:ser>
        <c:ser>
          <c:idx val="0"/>
          <c:order val="1"/>
          <c:tx>
            <c:strRef>
              <c:f>'Mielies-Maize 2025'!$H$3:$K$3</c:f>
              <c:strCache>
                <c:ptCount val="1"/>
                <c:pt idx="0">
                  <c:v>Geelmielies/Yellow maize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'Summary -Total maize'!$B$16:$B$72</c:f>
              <c:strCache>
                <c:ptCount val="57"/>
                <c:pt idx="0">
                  <c:v>Totale vroee lewerings</c:v>
                </c:pt>
                <c:pt idx="1">
                  <c:v>Bemarkingseisoen week</c:v>
                </c:pt>
                <c:pt idx="2">
                  <c:v>Early Deliveries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</c:strCache>
            </c:strRef>
          </c:cat>
          <c:val>
            <c:numRef>
              <c:f>'Mielies-Maize 2025'!$K$16:$K$17</c:f>
              <c:numCache>
                <c:formatCode>_ * #\ ##0_ ;_ * \-#\ ##0_ ;_ * "-"??_ ;_ @_ </c:formatCode>
                <c:ptCount val="2"/>
                <c:pt idx="0">
                  <c:v>54098</c:v>
                </c:pt>
                <c:pt idx="1">
                  <c:v>169378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2-4A37-A375-F6E47DDAE892}"/>
            </c:ext>
          </c:extLst>
        </c:ser>
        <c:ser>
          <c:idx val="1"/>
          <c:order val="2"/>
          <c:tx>
            <c:strRef>
              <c:f>'Mielies-Maize 2025'!$L$3:$O$3</c:f>
              <c:strCache>
                <c:ptCount val="1"/>
                <c:pt idx="0">
                  <c:v>Totaal mielies/Total maize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'Summary -Total maize'!$B$16:$B$72</c:f>
              <c:strCache>
                <c:ptCount val="57"/>
                <c:pt idx="0">
                  <c:v>Totale vroee lewerings</c:v>
                </c:pt>
                <c:pt idx="1">
                  <c:v>Bemarkingseisoen week</c:v>
                </c:pt>
                <c:pt idx="2">
                  <c:v>Early Deliveries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</c:strCache>
            </c:strRef>
          </c:cat>
          <c:val>
            <c:numRef>
              <c:f>'Mielies-Maize 2025'!$O$16:$O$17</c:f>
              <c:numCache>
                <c:formatCode>_ * #\ ##0_ ;_ * \-#\ ##0_ ;_ * "-"??_ ;_ @_ </c:formatCode>
                <c:ptCount val="2"/>
                <c:pt idx="0">
                  <c:v>78385</c:v>
                </c:pt>
                <c:pt idx="1">
                  <c:v>239045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72-4A37-A375-F6E47DDAE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6"/>
        <c:axId val="27150111"/>
        <c:axId val="1"/>
      </c:barChart>
      <c:catAx>
        <c:axId val="27150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Weeks</a:t>
                </a:r>
              </a:p>
            </c:rich>
          </c:tx>
          <c:layout>
            <c:manualLayout>
              <c:xMode val="edge"/>
              <c:yMode val="edge"/>
              <c:x val="0.52404249078561149"/>
              <c:y val="0.903622411322166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0111"/>
        <c:crosses val="autoZero"/>
        <c:crossBetween val="between"/>
        <c:majorUnit val="500000"/>
        <c:minorUnit val="40000"/>
      </c:valAx>
      <c:spPr>
        <a:ln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3.697617091207888E-2"/>
          <c:y val="0.92812105926860022"/>
          <c:w val="0.88989317995069828"/>
          <c:h val="6.045032106835703E-2"/>
        </c:manualLayout>
      </c:layout>
      <c:overlay val="0"/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ZA" b="1"/>
              <a:t>White Maize Producer Deliveries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890800316309661E-2"/>
          <c:y val="8.0857575857411143E-2"/>
          <c:w val="0.87689005145476917"/>
          <c:h val="0.78377903337396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-White maize'!$T$3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-White maize'!$T$18:$T$20</c:f>
              <c:numCache>
                <c:formatCode>_ * #\ ##0_ ;_ * \-#\ ##0_ ;_ * "-"??_ ;_ @_ </c:formatCode>
                <c:ptCount val="3"/>
                <c:pt idx="0">
                  <c:v>24287</c:v>
                </c:pt>
                <c:pt idx="1">
                  <c:v>45380</c:v>
                </c:pt>
                <c:pt idx="2">
                  <c:v>90590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7-4A5C-8E98-8BB0B456BBF9}"/>
            </c:ext>
          </c:extLst>
        </c:ser>
        <c:ser>
          <c:idx val="1"/>
          <c:order val="1"/>
          <c:tx>
            <c:strRef>
              <c:f>'Summary -White maize'!$U$3</c:f>
              <c:strCache>
                <c:ptCount val="1"/>
                <c:pt idx="0">
                  <c:v>2026/27*</c:v>
                </c:pt>
              </c:strCache>
            </c:strRef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-White maize'!$U$18:$U$20</c:f>
              <c:numCache>
                <c:formatCode>_ * #\ ##0_ ;_ * \-#\ ##0_ ;_ * "-"??_ ;_ @_ </c:formatCode>
                <c:ptCount val="3"/>
                <c:pt idx="0">
                  <c:v>29132</c:v>
                </c:pt>
                <c:pt idx="1">
                  <c:v>29095</c:v>
                </c:pt>
                <c:pt idx="2">
                  <c:v>67674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7-4A5C-8E98-8BB0B456BBF9}"/>
            </c:ext>
          </c:extLst>
        </c:ser>
        <c:ser>
          <c:idx val="3"/>
          <c:order val="2"/>
          <c:tx>
            <c:v>Prog. 5 year ave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-White maize'!$W$18:$W$20</c:f>
              <c:numCache>
                <c:formatCode>0</c:formatCode>
                <c:ptCount val="3"/>
                <c:pt idx="0">
                  <c:v>85640.6</c:v>
                </c:pt>
                <c:pt idx="1">
                  <c:v>255055.2</c:v>
                </c:pt>
                <c:pt idx="2">
                  <c:v>497100.6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7-4A5C-8E98-8BB0B456BB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1520912"/>
        <c:axId val="1711508912"/>
      </c:barChart>
      <c:catAx>
        <c:axId val="171152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1400" b="1"/>
                  <a:t>Marketing Week</a:t>
                </a:r>
              </a:p>
            </c:rich>
          </c:tx>
          <c:layout>
            <c:manualLayout>
              <c:xMode val="edge"/>
              <c:yMode val="edge"/>
              <c:x val="0.45040873556773542"/>
              <c:y val="0.9009931022872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11508912"/>
        <c:crosses val="autoZero"/>
        <c:auto val="0"/>
        <c:lblAlgn val="ctr"/>
        <c:lblOffset val="100"/>
        <c:noMultiLvlLbl val="0"/>
      </c:catAx>
      <c:valAx>
        <c:axId val="17115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/>
                  <a:t>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11520912"/>
        <c:crosses val="autoZero"/>
        <c:crossBetween val="between"/>
      </c:valAx>
      <c:spPr>
        <a:blipFill dpi="0" rotWithShape="1">
          <a:blip xmlns:r="http://schemas.openxmlformats.org/officeDocument/2006/relationships" r:embed="rId3">
            <a:alphaModFix amt="21000"/>
          </a:blip>
          <a:srcRect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ZA"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Yellow Maize Producer Deliveries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8628542908002"/>
          <c:y val="7.1996564612878955E-2"/>
          <c:w val="0.83855882630055856"/>
          <c:h val="0.7587781244325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-Yellow maize'!$U$3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-Yellow maize'!$U$19:$U$21</c:f>
              <c:numCache>
                <c:formatCode>_ * #\ ##0_ ;_ * \-#\ ##0_ ;_ * "-"??_ ;_ @_ </c:formatCode>
                <c:ptCount val="3"/>
                <c:pt idx="0">
                  <c:v>54098</c:v>
                </c:pt>
                <c:pt idx="1">
                  <c:v>115280</c:v>
                </c:pt>
                <c:pt idx="2">
                  <c:v>177371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C-4574-BB6E-E920D13B6B19}"/>
            </c:ext>
          </c:extLst>
        </c:ser>
        <c:ser>
          <c:idx val="1"/>
          <c:order val="1"/>
          <c:tx>
            <c:strRef>
              <c:f>'Summary -Yellow maize'!$V$3</c:f>
              <c:strCache>
                <c:ptCount val="1"/>
                <c:pt idx="0">
                  <c:v>2026/27*</c:v>
                </c:pt>
              </c:strCache>
            </c:strRef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AE934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E-4943-A193-5428D29782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-Yellow maize'!$V$19:$V$21</c:f>
              <c:numCache>
                <c:formatCode>_ * #\ ##0_ ;_ * \-#\ ##0_ ;_ * "-"??_ ;_ @_ </c:formatCode>
                <c:ptCount val="3"/>
                <c:pt idx="0">
                  <c:v>68533</c:v>
                </c:pt>
                <c:pt idx="1">
                  <c:v>73125</c:v>
                </c:pt>
                <c:pt idx="2">
                  <c:v>137597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C-4574-BB6E-E920D13B6B19}"/>
            </c:ext>
          </c:extLst>
        </c:ser>
        <c:ser>
          <c:idx val="2"/>
          <c:order val="2"/>
          <c:tx>
            <c:v>Prog. 5 year ave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-Yellow maize'!$X$19:$X$21</c:f>
              <c:numCache>
                <c:formatCode>0</c:formatCode>
                <c:ptCount val="3"/>
                <c:pt idx="0">
                  <c:v>142204.6</c:v>
                </c:pt>
                <c:pt idx="1">
                  <c:v>385822.4</c:v>
                </c:pt>
                <c:pt idx="2">
                  <c:v>707838.4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C-4574-BB6E-E920D13B6B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7726704"/>
        <c:axId val="167731024"/>
      </c:barChart>
      <c:catAx>
        <c:axId val="167726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Marketing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31024"/>
        <c:crosses val="autoZero"/>
        <c:auto val="1"/>
        <c:lblAlgn val="ctr"/>
        <c:lblOffset val="100"/>
        <c:noMultiLvlLbl val="0"/>
      </c:catAx>
      <c:valAx>
        <c:axId val="1677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26704"/>
        <c:crosses val="autoZero"/>
        <c:crossBetween val="between"/>
      </c:valAx>
      <c:spPr>
        <a:blipFill dpi="0" rotWithShape="1">
          <a:blip xmlns:r="http://schemas.openxmlformats.org/officeDocument/2006/relationships" r:embed="rId3">
            <a:alphaModFix amt="25000"/>
          </a:blip>
          <a:srcRect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 maize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'Maize Grading Information'!$D$3</c:f>
              <c:strCache>
                <c:ptCount val="1"/>
                <c:pt idx="0">
                  <c:v>WM1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val>
            <c:numRef>
              <c:f>'Maize Grading Information'!$D$4:$D$54</c:f>
              <c:numCache>
                <c:formatCode>#,##0</c:formatCode>
                <c:ptCount val="51"/>
                <c:pt idx="0">
                  <c:v>25977</c:v>
                </c:pt>
                <c:pt idx="1">
                  <c:v>26793</c:v>
                </c:pt>
                <c:pt idx="2">
                  <c:v>62648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14-45F5-8443-D21151FDE4D4}"/>
            </c:ext>
          </c:extLst>
        </c:ser>
        <c:ser>
          <c:idx val="2"/>
          <c:order val="1"/>
          <c:tx>
            <c:strRef>
              <c:f>'Maize Grading Information'!$E$3</c:f>
              <c:strCache>
                <c:ptCount val="1"/>
                <c:pt idx="0">
                  <c:v>WM2</c:v>
                </c:pt>
              </c:strCache>
            </c:strRef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val>
            <c:numRef>
              <c:f>'Maize Grading Information'!$E$4:$E$54</c:f>
              <c:numCache>
                <c:formatCode>#,##0</c:formatCode>
                <c:ptCount val="51"/>
                <c:pt idx="0">
                  <c:v>2770</c:v>
                </c:pt>
                <c:pt idx="1">
                  <c:v>2054</c:v>
                </c:pt>
                <c:pt idx="2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4-45F5-8443-D21151FDE4D4}"/>
            </c:ext>
          </c:extLst>
        </c:ser>
        <c:ser>
          <c:idx val="3"/>
          <c:order val="2"/>
          <c:tx>
            <c:strRef>
              <c:f>'Maize Grading Information'!$F$3</c:f>
              <c:strCache>
                <c:ptCount val="1"/>
                <c:pt idx="0">
                  <c:v>WM3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'Maize Grading Information'!$F$4:$F$54</c:f>
              <c:numCache>
                <c:formatCode>General</c:formatCode>
                <c:ptCount val="51"/>
                <c:pt idx="0">
                  <c:v>341</c:v>
                </c:pt>
                <c:pt idx="1">
                  <c:v>157</c:v>
                </c:pt>
                <c:pt idx="2" formatCode="#,##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14-45F5-8443-D21151FDE4D4}"/>
            </c:ext>
          </c:extLst>
        </c:ser>
        <c:ser>
          <c:idx val="4"/>
          <c:order val="3"/>
          <c:tx>
            <c:strRef>
              <c:f>'Maize Grading Information'!$G$3</c:f>
              <c:strCache>
                <c:ptCount val="1"/>
                <c:pt idx="0">
                  <c:v>WMO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'Maize Grading Information'!$G$4:$G$54</c:f>
              <c:numCache>
                <c:formatCode>General</c:formatCode>
                <c:ptCount val="51"/>
                <c:pt idx="0">
                  <c:v>44</c:v>
                </c:pt>
                <c:pt idx="1">
                  <c:v>91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4-45F5-8443-D21151FD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9176095"/>
        <c:axId val="1599174655"/>
        <c:extLst/>
      </c:barChart>
      <c:catAx>
        <c:axId val="1599176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2025/26 Marketing 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174655"/>
        <c:crosses val="autoZero"/>
        <c:auto val="1"/>
        <c:lblAlgn val="ctr"/>
        <c:lblOffset val="100"/>
        <c:noMultiLvlLbl val="0"/>
      </c:catAx>
      <c:valAx>
        <c:axId val="159917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17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'Maize Grading Information'!$I$3</c:f>
              <c:strCache>
                <c:ptCount val="1"/>
                <c:pt idx="0">
                  <c:v>YM1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val>
            <c:numRef>
              <c:f>'Maize Grading Information'!$I$4:$I$54</c:f>
              <c:numCache>
                <c:formatCode>#,##0</c:formatCode>
                <c:ptCount val="51"/>
                <c:pt idx="0">
                  <c:v>67446</c:v>
                </c:pt>
                <c:pt idx="1">
                  <c:v>71810</c:v>
                </c:pt>
                <c:pt idx="2">
                  <c:v>134596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1-46FC-8115-CECED047E33B}"/>
            </c:ext>
          </c:extLst>
        </c:ser>
        <c:ser>
          <c:idx val="2"/>
          <c:order val="1"/>
          <c:tx>
            <c:strRef>
              <c:f>'Maize Grading Information'!$J$3</c:f>
              <c:strCache>
                <c:ptCount val="1"/>
                <c:pt idx="0">
                  <c:v>YM2</c:v>
                </c:pt>
              </c:strCache>
            </c:strRef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val>
            <c:numRef>
              <c:f>'Maize Grading Information'!$J$4:$J$54</c:f>
              <c:numCache>
                <c:formatCode>#,##0</c:formatCode>
                <c:ptCount val="51"/>
                <c:pt idx="0">
                  <c:v>1083</c:v>
                </c:pt>
                <c:pt idx="1">
                  <c:v>1182</c:v>
                </c:pt>
                <c:pt idx="2">
                  <c:v>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11-46FC-8115-CECED047E33B}"/>
            </c:ext>
          </c:extLst>
        </c:ser>
        <c:ser>
          <c:idx val="3"/>
          <c:order val="2"/>
          <c:tx>
            <c:strRef>
              <c:f>'Maize Grading Information'!$K$3</c:f>
              <c:strCache>
                <c:ptCount val="1"/>
                <c:pt idx="0">
                  <c:v>YM3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'Maize Grading Information'!$K$4:$K$54</c:f>
              <c:numCache>
                <c:formatCode>General</c:formatCode>
                <c:ptCount val="51"/>
                <c:pt idx="0">
                  <c:v>0</c:v>
                </c:pt>
                <c:pt idx="1">
                  <c:v>55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11-46FC-8115-CECED047E33B}"/>
            </c:ext>
          </c:extLst>
        </c:ser>
        <c:ser>
          <c:idx val="4"/>
          <c:order val="3"/>
          <c:tx>
            <c:strRef>
              <c:f>'Maize Grading Information'!$L$3</c:f>
              <c:strCache>
                <c:ptCount val="1"/>
                <c:pt idx="0">
                  <c:v>YMO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'Maize Grading Information'!$L$4:$L$54</c:f>
              <c:numCache>
                <c:formatCode>#,##0</c:formatCode>
                <c:ptCount val="51"/>
                <c:pt idx="0">
                  <c:v>4</c:v>
                </c:pt>
                <c:pt idx="1">
                  <c:v>78</c:v>
                </c:pt>
                <c:pt idx="2" formatCode="General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11-46FC-8115-CECED047E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871071"/>
        <c:axId val="495871551"/>
        <c:extLst/>
      </c:barChart>
      <c:catAx>
        <c:axId val="495871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2025/26 Marketing weeks</a:t>
                </a:r>
              </a:p>
            </c:rich>
          </c:tx>
          <c:layout>
            <c:manualLayout>
              <c:xMode val="edge"/>
              <c:yMode val="edge"/>
              <c:x val="0.52385044278881532"/>
              <c:y val="0.87485014343032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871551"/>
        <c:crosses val="autoZero"/>
        <c:auto val="1"/>
        <c:lblAlgn val="ctr"/>
        <c:lblOffset val="100"/>
        <c:noMultiLvlLbl val="0"/>
      </c:catAx>
      <c:valAx>
        <c:axId val="4958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871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70116250686621"/>
          <c:y val="0.93787309099945293"/>
          <c:w val="0.19144316705154377"/>
          <c:h val="4.58314104502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400" b="1"/>
              <a:t>White Maize Grading 2026/04/25 - 2026/05/15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066614874550009"/>
          <c:y val="0.23658616695259457"/>
          <c:w val="0.47866792134892933"/>
          <c:h val="0.64144547574011346"/>
        </c:manualLayout>
      </c:layout>
      <c:pieChart>
        <c:varyColors val="1"/>
        <c:ser>
          <c:idx val="0"/>
          <c:order val="0"/>
          <c:spPr>
            <a:solidFill>
              <a:srgbClr val="3B6367"/>
            </a:solidFill>
          </c:spPr>
          <c:dPt>
            <c:idx val="0"/>
            <c:bubble3D val="0"/>
            <c:spPr>
              <a:solidFill>
                <a:srgbClr val="3B636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44-48EC-B03D-E9E308AB25CB}"/>
              </c:ext>
            </c:extLst>
          </c:dPt>
          <c:dPt>
            <c:idx val="1"/>
            <c:bubble3D val="0"/>
            <c:spPr>
              <a:solidFill>
                <a:srgbClr val="AE93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136-4BFB-AF48-8DE97BAD12F3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136-4BFB-AF48-8DE97BAD12F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136-4BFB-AF48-8DE97BAD12F3}"/>
              </c:ext>
            </c:extLst>
          </c:dPt>
          <c:dLbls>
            <c:dLbl>
              <c:idx val="0"/>
              <c:layout>
                <c:manualLayout>
                  <c:x val="0.14225140199699082"/>
                  <c:y val="-3.91102470130319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4-48EC-B03D-E9E308AB25CB}"/>
                </c:ext>
              </c:extLst>
            </c:dLbl>
            <c:dLbl>
              <c:idx val="3"/>
              <c:layout>
                <c:manualLayout>
                  <c:x val="0.33374367391601706"/>
                  <c:y val="-6.51837450217197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136-4BFB-AF48-8DE97BAD12F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'Maize Grading Information'!$B$61:$B$64</c:f>
              <c:strCache>
                <c:ptCount val="4"/>
                <c:pt idx="0">
                  <c:v>WM1</c:v>
                </c:pt>
                <c:pt idx="1">
                  <c:v>WM2</c:v>
                </c:pt>
                <c:pt idx="2">
                  <c:v>WM3</c:v>
                </c:pt>
                <c:pt idx="3">
                  <c:v>WMO</c:v>
                </c:pt>
              </c:strCache>
            </c:strRef>
          </c:cat>
          <c:val>
            <c:numRef>
              <c:f>'Maize Grading Information'!$C$61:$C$64</c:f>
              <c:numCache>
                <c:formatCode>0%</c:formatCode>
                <c:ptCount val="4"/>
                <c:pt idx="0">
                  <c:v>0.91673616571750816</c:v>
                </c:pt>
                <c:pt idx="1">
                  <c:v>7.6528383412363676E-2</c:v>
                </c:pt>
                <c:pt idx="2">
                  <c:v>5.3613553506326401E-3</c:v>
                </c:pt>
                <c:pt idx="3">
                  <c:v>1.3740955194954767E-3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BFB-AF48-8DE97BAD1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400" b="1"/>
              <a:t>Yellow Maize Grading </a:t>
            </a:r>
            <a:r>
              <a:rPr lang="en-ZA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2026/04/25 - 2026/05/15</a:t>
            </a:r>
            <a:endParaRPr lang="en-ZA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ZA"/>
        </a:p>
      </c:txPr>
    </c:title>
    <c:autoTitleDeleted val="0"/>
    <c:plotArea>
      <c:layout>
        <c:manualLayout>
          <c:layoutTarget val="inner"/>
          <c:xMode val="edge"/>
          <c:yMode val="edge"/>
          <c:x val="0.23106814380300508"/>
          <c:y val="0.26010498615243333"/>
          <c:w val="0.53530011236565123"/>
          <c:h val="0.665242570086296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B636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11-4505-A553-C82632D2182F}"/>
              </c:ext>
            </c:extLst>
          </c:dPt>
          <c:dPt>
            <c:idx val="1"/>
            <c:bubble3D val="0"/>
            <c:spPr>
              <a:solidFill>
                <a:srgbClr val="AE93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11-4505-A553-C82632D2182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111-4505-A553-C82632D2182F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11-4505-A553-C82632D2182F}"/>
              </c:ext>
            </c:extLst>
          </c:dPt>
          <c:dLbls>
            <c:dLbl>
              <c:idx val="0"/>
              <c:layout>
                <c:manualLayout>
                  <c:x val="0.2798691112208882"/>
                  <c:y val="-8.21553571419287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1-4505-A553-C82632D2182F}"/>
                </c:ext>
              </c:extLst>
            </c:dLbl>
            <c:dLbl>
              <c:idx val="1"/>
              <c:layout>
                <c:manualLayout>
                  <c:x val="-0.15628598401277013"/>
                  <c:y val="3.30188654717823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1-4505-A553-C82632D2182F}"/>
                </c:ext>
              </c:extLst>
            </c:dLbl>
            <c:dLbl>
              <c:idx val="2"/>
              <c:layout>
                <c:manualLayout>
                  <c:x val="6.6979707434044328E-2"/>
                  <c:y val="-2.97169789246041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1-4505-A553-C82632D2182F}"/>
                </c:ext>
              </c:extLst>
            </c:dLbl>
            <c:dLbl>
              <c:idx val="3"/>
              <c:layout>
                <c:manualLayout>
                  <c:x val="0.2230156421786785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11-4505-A553-C82632D2182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'Maize Grading Information'!$D$61:$D$64</c:f>
              <c:strCache>
                <c:ptCount val="4"/>
                <c:pt idx="0">
                  <c:v>YM1</c:v>
                </c:pt>
                <c:pt idx="1">
                  <c:v>YM2</c:v>
                </c:pt>
                <c:pt idx="2">
                  <c:v>YM3</c:v>
                </c:pt>
                <c:pt idx="3">
                  <c:v>YMO</c:v>
                </c:pt>
              </c:strCache>
            </c:strRef>
          </c:cat>
          <c:val>
            <c:numRef>
              <c:f>'Maize Grading Information'!$E$61:$E$64</c:f>
              <c:numCache>
                <c:formatCode>0%</c:formatCode>
                <c:ptCount val="4"/>
                <c:pt idx="0">
                  <c:v>0.98065209217381966</c:v>
                </c:pt>
                <c:pt idx="1">
                  <c:v>1.8348820970081108E-2</c:v>
                </c:pt>
                <c:pt idx="2">
                  <c:v>5.7295303575585039E-4</c:v>
                </c:pt>
                <c:pt idx="3">
                  <c:v>4.2613382034341373E-4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1-4505-A553-C82632D2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Producer deliveries (2019-2024)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WM vordering</c:v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cat>
            <c:strRef>
              <c:f>'Summary- Producer deliveries'!$M$4:$U$4</c:f>
              <c:strCache>
                <c:ptCount val="9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  <c:pt idx="7">
                  <c:v>2026/27*</c:v>
                </c:pt>
                <c:pt idx="8">
                  <c:v>5 YA</c:v>
                </c:pt>
              </c:strCache>
            </c:strRef>
          </c:cat>
          <c:val>
            <c:numRef>
              <c:f>'Summary- Producer deliveries'!$M$8:$U$8</c:f>
              <c:numCache>
                <c:formatCode>0.0%</c:formatCode>
                <c:ptCount val="9"/>
                <c:pt idx="0">
                  <c:v>1.0022527390900651</c:v>
                </c:pt>
                <c:pt idx="1">
                  <c:v>0.98683070770189185</c:v>
                </c:pt>
                <c:pt idx="2">
                  <c:v>1.0046155036913551</c:v>
                </c:pt>
                <c:pt idx="3">
                  <c:v>1.0012738172813762</c:v>
                </c:pt>
                <c:pt idx="4">
                  <c:v>0.99862051318261458</c:v>
                </c:pt>
                <c:pt idx="5">
                  <c:v>0.9920249787595582</c:v>
                </c:pt>
                <c:pt idx="6">
                  <c:v>0.97396223446989494</c:v>
                </c:pt>
                <c:pt idx="8">
                  <c:v>0.99667310412335919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0-400E-BFB3-1AC48AFD1659}"/>
            </c:ext>
          </c:extLst>
        </c:ser>
        <c:ser>
          <c:idx val="1"/>
          <c:order val="1"/>
          <c:tx>
            <c:v>YM vordering</c:v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cat>
            <c:strRef>
              <c:f>'Summary- Producer deliveries'!$M$4:$U$4</c:f>
              <c:strCache>
                <c:ptCount val="9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  <c:pt idx="7">
                  <c:v>2026/27*</c:v>
                </c:pt>
                <c:pt idx="8">
                  <c:v>5 YA</c:v>
                </c:pt>
              </c:strCache>
            </c:strRef>
          </c:cat>
          <c:val>
            <c:numRef>
              <c:f>'Summary- Producer deliveries'!$M$15:$U$15</c:f>
              <c:numCache>
                <c:formatCode>0.0%</c:formatCode>
                <c:ptCount val="9"/>
                <c:pt idx="0">
                  <c:v>1.0054150557620818</c:v>
                </c:pt>
                <c:pt idx="1">
                  <c:v>1.0027346296150517</c:v>
                </c:pt>
                <c:pt idx="2">
                  <c:v>1.0129337721102427</c:v>
                </c:pt>
                <c:pt idx="3">
                  <c:v>1.0011977869986168</c:v>
                </c:pt>
                <c:pt idx="4">
                  <c:v>1.0122085500036166</c:v>
                </c:pt>
                <c:pt idx="5">
                  <c:v>0.99149582348305754</c:v>
                </c:pt>
                <c:pt idx="6">
                  <c:v>1.1307670075132354</c:v>
                </c:pt>
                <c:pt idx="8">
                  <c:v>1.0041141124421171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0-400E-BFB3-1AC48AFD1659}"/>
            </c:ext>
          </c:extLst>
        </c:ser>
        <c:ser>
          <c:idx val="2"/>
          <c:order val="2"/>
          <c:tx>
            <c:v>Totaal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'Summary- Producer deliveries'!$M$4:$U$4</c:f>
              <c:strCache>
                <c:ptCount val="9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  <c:pt idx="7">
                  <c:v>2026/27*</c:v>
                </c:pt>
                <c:pt idx="8">
                  <c:v>5 YA</c:v>
                </c:pt>
              </c:strCache>
            </c:strRef>
          </c:cat>
          <c:val>
            <c:numRef>
              <c:f>'Summary- Producer deliveries'!$M$22:$U$22</c:f>
              <c:numCache>
                <c:formatCode>0.0%</c:formatCode>
                <c:ptCount val="9"/>
                <c:pt idx="0">
                  <c:v>1.0036830469112865</c:v>
                </c:pt>
                <c:pt idx="1">
                  <c:v>0.9933909601220906</c:v>
                </c:pt>
                <c:pt idx="2">
                  <c:v>1.0083814288445605</c:v>
                </c:pt>
                <c:pt idx="3">
                  <c:v>1.0012369321613097</c:v>
                </c:pt>
                <c:pt idx="4">
                  <c:v>1.005060943573822</c:v>
                </c:pt>
                <c:pt idx="5">
                  <c:v>0.77197513428841014</c:v>
                </c:pt>
                <c:pt idx="6">
                  <c:v>1.0441254066332923</c:v>
                </c:pt>
                <c:pt idx="8">
                  <c:v>0.95600907979803862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0-400E-BFB3-1AC48AFD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674448"/>
        <c:axId val="1511671536"/>
      </c:barChart>
      <c:catAx>
        <c:axId val="15116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671536"/>
        <c:crosses val="autoZero"/>
        <c:auto val="1"/>
        <c:lblAlgn val="ctr"/>
        <c:lblOffset val="100"/>
        <c:noMultiLvlLbl val="0"/>
      </c:catAx>
      <c:valAx>
        <c:axId val="1511671536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674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blipFill dpi="0" rotWithShape="1">
          <a:blip xmlns:r="http://schemas.openxmlformats.org/officeDocument/2006/relationships" r:embed="rId3">
            <a:alphaModFix amt="20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Maize deliveries for the 2024/25 season vs previous season's</a:t>
            </a:r>
          </a:p>
        </c:rich>
      </c:tx>
      <c:layout>
        <c:manualLayout>
          <c:xMode val="edge"/>
          <c:yMode val="edge"/>
          <c:x val="0.20397663195326396"/>
          <c:y val="1.22708740996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57076449395846E-2"/>
          <c:y val="9.3520779362984752E-2"/>
          <c:w val="0.8650990184304882"/>
          <c:h val="0.6675136517207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-Total maize'!$B$79</c:f>
              <c:strCache>
                <c:ptCount val="1"/>
                <c:pt idx="0">
                  <c:v>Lewerings vanaf Mei/Deliveries from May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'Summary -Total maize'!$G$3:$W$6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</c:v>
                </c:pt>
                <c:pt idx="9">
                  <c:v>2025/26</c:v>
                </c:pt>
                <c:pt idx="10">
                  <c:v>2026/27*</c:v>
                </c:pt>
                <c:pt idx="11">
                  <c:v>5 Yr. AVG</c:v>
                </c:pt>
              </c:strCache>
            </c:strRef>
          </c:cat>
          <c:val>
            <c:numRef>
              <c:f>'Summary -Total maize'!$G$79:$W$79</c:f>
              <c:numCache>
                <c:formatCode>_ * #\ ##0_ ;_ * \-#\ ##0_ ;_ * "-"??_ ;_ @_ </c:formatCode>
                <c:ptCount val="12"/>
                <c:pt idx="0">
                  <c:v>9731000</c:v>
                </c:pt>
                <c:pt idx="1">
                  <c:v>11016607</c:v>
                </c:pt>
                <c:pt idx="2">
                  <c:v>10495155</c:v>
                </c:pt>
                <c:pt idx="3">
                  <c:v>13275986</c:v>
                </c:pt>
                <c:pt idx="4">
                  <c:v>14317510</c:v>
                </c:pt>
                <c:pt idx="5">
                  <c:v>14865206</c:v>
                </c:pt>
                <c:pt idx="6">
                  <c:v>14507386</c:v>
                </c:pt>
                <c:pt idx="7">
                  <c:v>15126437</c:v>
                </c:pt>
                <c:pt idx="8">
                  <c:v>11409996</c:v>
                </c:pt>
                <c:pt idx="9">
                  <c:v>16284483</c:v>
                </c:pt>
                <c:pt idx="11">
                  <c:v>9497584.1999999993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3-4493-AA9E-87DDF7C509D1}"/>
            </c:ext>
          </c:extLst>
        </c:ser>
        <c:ser>
          <c:idx val="1"/>
          <c:order val="1"/>
          <c:tx>
            <c:strRef>
              <c:f>'Summary -Total maize'!$B$80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'Summary -Total maize'!$G$3:$W$6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</c:v>
                </c:pt>
                <c:pt idx="9">
                  <c:v>2025/26</c:v>
                </c:pt>
                <c:pt idx="10">
                  <c:v>2026/27*</c:v>
                </c:pt>
                <c:pt idx="11">
                  <c:v>5 Yr. AVG</c:v>
                </c:pt>
              </c:strCache>
            </c:strRef>
          </c:cat>
          <c:val>
            <c:numRef>
              <c:f>'Summary -Total maize'!$G$80:$W$80</c:f>
              <c:numCache>
                <c:formatCode>_ * #\ ##0_ ;_ * \-#\ ##0_ ;_ * "-"??_ ;_ @_ </c:formatCode>
                <c:ptCount val="12"/>
                <c:pt idx="0">
                  <c:v>9913240</c:v>
                </c:pt>
                <c:pt idx="1">
                  <c:v>11770050</c:v>
                </c:pt>
                <c:pt idx="2">
                  <c:v>10921189</c:v>
                </c:pt>
                <c:pt idx="3">
                  <c:v>13754770</c:v>
                </c:pt>
                <c:pt idx="4">
                  <c:v>14665242</c:v>
                </c:pt>
                <c:pt idx="5">
                  <c:v>15822513</c:v>
                </c:pt>
                <c:pt idx="6">
                  <c:v>14921434</c:v>
                </c:pt>
                <c:pt idx="7">
                  <c:v>15829936</c:v>
                </c:pt>
                <c:pt idx="8">
                  <c:v>12517654</c:v>
                </c:pt>
                <c:pt idx="9">
                  <c:v>16914936</c:v>
                </c:pt>
                <c:pt idx="11">
                  <c:v>9985825.1999999993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3-4493-AA9E-87DDF7C5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154271"/>
        <c:axId val="1"/>
      </c:barChart>
      <c:lineChart>
        <c:grouping val="standard"/>
        <c:varyColors val="0"/>
        <c:ser>
          <c:idx val="2"/>
          <c:order val="2"/>
          <c:tx>
            <c:strRef>
              <c:f>'Summary -Total maize'!$B$82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4"/>
            <c:spPr>
              <a:solidFill>
                <a:srgbClr val="0070C0"/>
              </a:solidFill>
              <a:ln w="9525">
                <a:solidFill>
                  <a:srgbClr val="0070C0">
                    <a:alpha val="96000"/>
                  </a:srgbClr>
                </a:solidFill>
              </a:ln>
              <a:effectLst/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2012/13</c:v>
              </c:pt>
              <c:pt idx="1">
                <c:v>2013/14</c:v>
              </c:pt>
              <c:pt idx="2">
                <c:v>2014/15</c:v>
              </c:pt>
              <c:pt idx="3">
                <c:v>2015/16</c:v>
              </c:pt>
              <c:pt idx="4">
                <c:v>2016/17</c:v>
              </c:pt>
              <c:pt idx="5">
                <c:v>2017/18</c:v>
              </c:pt>
              <c:pt idx="6">
                <c:v>2018/19</c:v>
              </c:pt>
              <c:pt idx="7">
                <c:v>2019/20</c:v>
              </c:pt>
              <c:pt idx="8">
                <c:v>2020/21</c:v>
              </c:pt>
              <c:pt idx="9">
                <c:v>2021/22</c:v>
              </c:pt>
              <c:pt idx="10">
                <c:v>2022/23*</c:v>
              </c:pt>
              <c:pt idx="11">
                <c:v>2023/24*</c:v>
              </c:pt>
              <c:pt idx="12">
                <c:v>5 Yr. AVG</c:v>
              </c:pt>
            </c:strLit>
          </c:cat>
          <c:val>
            <c:numRef>
              <c:f>'Summary -Total maize'!$G$82:$W$82</c:f>
              <c:numCache>
                <c:formatCode>0%</c:formatCode>
                <c:ptCount val="12"/>
                <c:pt idx="0" formatCode="0.0%">
                  <c:v>1.0027631205742629</c:v>
                </c:pt>
                <c:pt idx="1">
                  <c:v>1.0070951563121411</c:v>
                </c:pt>
                <c:pt idx="2">
                  <c:v>0.96198291010253079</c:v>
                </c:pt>
                <c:pt idx="3">
                  <c:v>1.001778614658666</c:v>
                </c:pt>
                <c:pt idx="4">
                  <c:v>0.9933909601220906</c:v>
                </c:pt>
                <c:pt idx="5">
                  <c:v>1.0083814288445605</c:v>
                </c:pt>
                <c:pt idx="6">
                  <c:v>1.0012369321613097</c:v>
                </c:pt>
                <c:pt idx="7">
                  <c:v>1.005060943573822</c:v>
                </c:pt>
                <c:pt idx="8" formatCode="0.0%">
                  <c:v>0.77197513428841014</c:v>
                </c:pt>
                <c:pt idx="9" formatCode="0.0%">
                  <c:v>1.0441254066332923</c:v>
                </c:pt>
                <c:pt idx="10" formatCode="0.0%">
                  <c:v>0</c:v>
                </c:pt>
                <c:pt idx="11">
                  <c:v>0.69469475853856089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3-4493-AA9E-87DDF7C5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715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Million Ton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4271"/>
        <c:crosses val="autoZero"/>
        <c:crossBetween val="between"/>
        <c:dispUnits>
          <c:builtInUnit val="million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ln w="9525">
            <a:noFill/>
          </a:ln>
        </c:sp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b"/>
      <c:layout>
        <c:manualLayout>
          <c:xMode val="edge"/>
          <c:yMode val="edge"/>
          <c:x val="1.9245325866995599E-3"/>
          <c:y val="0.91368678915135604"/>
          <c:w val="0.99761781192392363"/>
          <c:h val="7.41919987274318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Yellow Maize: Weekly producer deliveries</a:t>
            </a:r>
          </a:p>
        </c:rich>
      </c:tx>
      <c:layout>
        <c:manualLayout>
          <c:xMode val="edge"/>
          <c:yMode val="edge"/>
          <c:x val="0.27692024836254547"/>
          <c:y val="1.25985906868829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7070245115133"/>
          <c:y val="9.2254223453959325E-2"/>
          <c:w val="0.87914551633867555"/>
          <c:h val="0.7792359759294501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'Summary -Yellow maize'!$U$17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'Summary -Yellow maize'!$B$18:$B$70</c:f>
              <c:strCache>
                <c:ptCount val="53"/>
                <c:pt idx="0">
                  <c:v>Early Deliveries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strCache>
            </c:strRef>
          </c:cat>
          <c:val>
            <c:numRef>
              <c:f>'Summary -Yellow maize'!$U$19:$U$70</c:f>
              <c:numCache>
                <c:formatCode>_ * #\ ##0_ ;_ * \-#\ ##0_ ;_ * "-"??_ ;_ @_ </c:formatCode>
                <c:ptCount val="52"/>
                <c:pt idx="0">
                  <c:v>54098</c:v>
                </c:pt>
                <c:pt idx="1">
                  <c:v>115280</c:v>
                </c:pt>
                <c:pt idx="2">
                  <c:v>177371</c:v>
                </c:pt>
                <c:pt idx="3">
                  <c:v>262136</c:v>
                </c:pt>
                <c:pt idx="4">
                  <c:v>415918</c:v>
                </c:pt>
                <c:pt idx="5">
                  <c:v>484399</c:v>
                </c:pt>
                <c:pt idx="6">
                  <c:v>487934</c:v>
                </c:pt>
                <c:pt idx="7">
                  <c:v>623590</c:v>
                </c:pt>
                <c:pt idx="8">
                  <c:v>779652</c:v>
                </c:pt>
                <c:pt idx="9">
                  <c:v>607591</c:v>
                </c:pt>
                <c:pt idx="10">
                  <c:v>599391</c:v>
                </c:pt>
                <c:pt idx="11">
                  <c:v>554931</c:v>
                </c:pt>
                <c:pt idx="12">
                  <c:v>463359</c:v>
                </c:pt>
                <c:pt idx="13">
                  <c:v>315379</c:v>
                </c:pt>
                <c:pt idx="14">
                  <c:v>205834</c:v>
                </c:pt>
                <c:pt idx="15">
                  <c:v>187068</c:v>
                </c:pt>
                <c:pt idx="16">
                  <c:v>136156</c:v>
                </c:pt>
                <c:pt idx="17">
                  <c:v>108297</c:v>
                </c:pt>
                <c:pt idx="18">
                  <c:v>69271</c:v>
                </c:pt>
                <c:pt idx="19">
                  <c:v>55151</c:v>
                </c:pt>
                <c:pt idx="20">
                  <c:v>35894</c:v>
                </c:pt>
                <c:pt idx="21">
                  <c:v>44516</c:v>
                </c:pt>
                <c:pt idx="22">
                  <c:v>22188</c:v>
                </c:pt>
                <c:pt idx="23">
                  <c:v>22860</c:v>
                </c:pt>
                <c:pt idx="24">
                  <c:v>25408</c:v>
                </c:pt>
                <c:pt idx="25">
                  <c:v>20183</c:v>
                </c:pt>
                <c:pt idx="26">
                  <c:v>45690</c:v>
                </c:pt>
                <c:pt idx="27">
                  <c:v>21060</c:v>
                </c:pt>
                <c:pt idx="28">
                  <c:v>19955</c:v>
                </c:pt>
                <c:pt idx="29">
                  <c:v>21981</c:v>
                </c:pt>
                <c:pt idx="30">
                  <c:v>32676</c:v>
                </c:pt>
                <c:pt idx="31">
                  <c:v>22668</c:v>
                </c:pt>
                <c:pt idx="32">
                  <c:v>23519</c:v>
                </c:pt>
                <c:pt idx="33">
                  <c:v>19562</c:v>
                </c:pt>
                <c:pt idx="34">
                  <c:v>14141</c:v>
                </c:pt>
                <c:pt idx="35">
                  <c:v>5657</c:v>
                </c:pt>
                <c:pt idx="36">
                  <c:v>18335</c:v>
                </c:pt>
                <c:pt idx="37">
                  <c:v>28391</c:v>
                </c:pt>
                <c:pt idx="38">
                  <c:v>28718</c:v>
                </c:pt>
                <c:pt idx="39">
                  <c:v>46868</c:v>
                </c:pt>
                <c:pt idx="40">
                  <c:v>55322</c:v>
                </c:pt>
                <c:pt idx="41">
                  <c:v>57802</c:v>
                </c:pt>
                <c:pt idx="42">
                  <c:v>45925</c:v>
                </c:pt>
                <c:pt idx="43">
                  <c:v>60452</c:v>
                </c:pt>
                <c:pt idx="44">
                  <c:v>35743</c:v>
                </c:pt>
                <c:pt idx="45">
                  <c:v>37440</c:v>
                </c:pt>
                <c:pt idx="46">
                  <c:v>44175</c:v>
                </c:pt>
                <c:pt idx="47">
                  <c:v>51604</c:v>
                </c:pt>
                <c:pt idx="48">
                  <c:v>39953</c:v>
                </c:pt>
                <c:pt idx="49">
                  <c:v>62906</c:v>
                </c:pt>
                <c:pt idx="50">
                  <c:v>79733</c:v>
                </c:pt>
                <c:pt idx="51">
                  <c:v>74815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C-4B5E-8A32-745F3413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45119"/>
        <c:axId val="1"/>
      </c:barChart>
      <c:lineChart>
        <c:grouping val="standard"/>
        <c:varyColors val="0"/>
        <c:ser>
          <c:idx val="0"/>
          <c:order val="0"/>
          <c:tx>
            <c:strRef>
              <c:f>'Summary -Yellow maize'!$W$3</c:f>
              <c:strCache>
                <c:ptCount val="1"/>
                <c:pt idx="0">
                  <c:v>5 Yr. AVG</c:v>
                </c:pt>
              </c:strCache>
            </c:strRef>
          </c:tx>
          <c:cat>
            <c:numRef>
              <c:f>'Summary -Yellow maize'!$B$19:$B$71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'Summary -Yellow maize'!$W$18:$W$71</c:f>
              <c:numCache>
                <c:formatCode>_ * #\ ##0_ ;_ * \-#\ ##0_ ;_ * "-"??_ ;_ @_ </c:formatCode>
                <c:ptCount val="54"/>
                <c:pt idx="0">
                  <c:v>479590.6</c:v>
                </c:pt>
                <c:pt idx="1">
                  <c:v>142204.6</c:v>
                </c:pt>
                <c:pt idx="2">
                  <c:v>243617.8</c:v>
                </c:pt>
                <c:pt idx="3">
                  <c:v>322016</c:v>
                </c:pt>
                <c:pt idx="4">
                  <c:v>522834.2</c:v>
                </c:pt>
                <c:pt idx="5">
                  <c:v>387943.4</c:v>
                </c:pt>
                <c:pt idx="6">
                  <c:v>517021.2</c:v>
                </c:pt>
                <c:pt idx="7">
                  <c:v>565196.19999999995</c:v>
                </c:pt>
                <c:pt idx="8">
                  <c:v>686055.4</c:v>
                </c:pt>
                <c:pt idx="9">
                  <c:v>471779.4</c:v>
                </c:pt>
                <c:pt idx="10">
                  <c:v>475999</c:v>
                </c:pt>
                <c:pt idx="11">
                  <c:v>420950.8</c:v>
                </c:pt>
                <c:pt idx="12">
                  <c:v>380113.6</c:v>
                </c:pt>
                <c:pt idx="13">
                  <c:v>356338</c:v>
                </c:pt>
                <c:pt idx="14">
                  <c:v>190886</c:v>
                </c:pt>
                <c:pt idx="15">
                  <c:v>144720.4</c:v>
                </c:pt>
                <c:pt idx="16">
                  <c:v>115703</c:v>
                </c:pt>
                <c:pt idx="17">
                  <c:v>122434.6</c:v>
                </c:pt>
                <c:pt idx="18">
                  <c:v>57177</c:v>
                </c:pt>
                <c:pt idx="19">
                  <c:v>40089.199999999997</c:v>
                </c:pt>
                <c:pt idx="20">
                  <c:v>33818</c:v>
                </c:pt>
                <c:pt idx="21">
                  <c:v>40605.199999999997</c:v>
                </c:pt>
                <c:pt idx="22">
                  <c:v>45031.8</c:v>
                </c:pt>
                <c:pt idx="23">
                  <c:v>23361.8</c:v>
                </c:pt>
                <c:pt idx="24">
                  <c:v>23257.4</c:v>
                </c:pt>
                <c:pt idx="25">
                  <c:v>21473.599999999999</c:v>
                </c:pt>
                <c:pt idx="26">
                  <c:v>39633.800000000003</c:v>
                </c:pt>
                <c:pt idx="27">
                  <c:v>20878.400000000001</c:v>
                </c:pt>
                <c:pt idx="28">
                  <c:v>15377.4</c:v>
                </c:pt>
                <c:pt idx="29">
                  <c:v>15193.2</c:v>
                </c:pt>
                <c:pt idx="30">
                  <c:v>33850.6</c:v>
                </c:pt>
                <c:pt idx="31">
                  <c:v>18601.2</c:v>
                </c:pt>
                <c:pt idx="32">
                  <c:v>15095.4</c:v>
                </c:pt>
                <c:pt idx="33">
                  <c:v>16023.2</c:v>
                </c:pt>
                <c:pt idx="34">
                  <c:v>11374</c:v>
                </c:pt>
                <c:pt idx="35">
                  <c:v>20076.599999999999</c:v>
                </c:pt>
                <c:pt idx="36">
                  <c:v>5246.4</c:v>
                </c:pt>
                <c:pt idx="37">
                  <c:v>11170.8</c:v>
                </c:pt>
                <c:pt idx="38">
                  <c:v>14848.2</c:v>
                </c:pt>
                <c:pt idx="39">
                  <c:v>32366.6</c:v>
                </c:pt>
                <c:pt idx="40">
                  <c:v>27909</c:v>
                </c:pt>
                <c:pt idx="41">
                  <c:v>31557.4</c:v>
                </c:pt>
                <c:pt idx="42">
                  <c:v>31338</c:v>
                </c:pt>
                <c:pt idx="43">
                  <c:v>41995.6</c:v>
                </c:pt>
                <c:pt idx="44">
                  <c:v>27679.200000000001</c:v>
                </c:pt>
                <c:pt idx="45">
                  <c:v>24920.400000000001</c:v>
                </c:pt>
                <c:pt idx="46">
                  <c:v>31222.799999999999</c:v>
                </c:pt>
                <c:pt idx="47">
                  <c:v>49634.2</c:v>
                </c:pt>
                <c:pt idx="48">
                  <c:v>55153.2</c:v>
                </c:pt>
                <c:pt idx="49">
                  <c:v>41906</c:v>
                </c:pt>
                <c:pt idx="50">
                  <c:v>43366.6</c:v>
                </c:pt>
                <c:pt idx="51">
                  <c:v>66374.399999999994</c:v>
                </c:pt>
                <c:pt idx="52">
                  <c:v>136502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C-4B5E-8A32-745F3413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5119"/>
        <c:axId val="1"/>
      </c:lineChart>
      <c:catAx>
        <c:axId val="27145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Marketing week</a:t>
                </a:r>
              </a:p>
            </c:rich>
          </c:tx>
          <c:layout>
            <c:manualLayout>
              <c:xMode val="edge"/>
              <c:yMode val="edge"/>
              <c:x val="0.47021338829492909"/>
              <c:y val="0.919305736126094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Tons</a:t>
                </a:r>
              </a:p>
            </c:rich>
          </c:tx>
          <c:layout>
            <c:manualLayout>
              <c:xMode val="edge"/>
              <c:yMode val="edge"/>
              <c:x val="1.6039505949184452E-2"/>
              <c:y val="0.42941055760211561"/>
            </c:manualLayout>
          </c:layout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45119"/>
        <c:crosses val="autoZero"/>
        <c:crossBetween val="between"/>
        <c:minorUnit val="30000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10550530643753268"/>
          <c:y val="0.93438322720650968"/>
          <c:w val="0.80525883319638447"/>
          <c:h val="5.422446406052960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Weeklikse mielielewerings (Bemarkingsjaar: Mei 2025 tot April 2026)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'Mielies-Maize 2025'!$D$3:$G$3</c:f>
              <c:strCache>
                <c:ptCount val="1"/>
                <c:pt idx="0">
                  <c:v>Witmielies/White maize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'Summary -Total maize'!$B$19:$B$70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'Mielies-Maize 2025'!$F$16:$F$67</c:f>
              <c:numCache>
                <c:formatCode>_ * #\ ##0_ ;_ * \-#\ ##0_ ;_ * "-"??_ ;_ @_ </c:formatCode>
                <c:ptCount val="52"/>
                <c:pt idx="0">
                  <c:v>24287</c:v>
                </c:pt>
                <c:pt idx="1">
                  <c:v>45380</c:v>
                </c:pt>
                <c:pt idx="2">
                  <c:v>90590</c:v>
                </c:pt>
                <c:pt idx="3">
                  <c:v>194841</c:v>
                </c:pt>
                <c:pt idx="4">
                  <c:v>252644</c:v>
                </c:pt>
                <c:pt idx="5">
                  <c:v>395006</c:v>
                </c:pt>
                <c:pt idx="6">
                  <c:v>450628</c:v>
                </c:pt>
                <c:pt idx="7">
                  <c:v>570712</c:v>
                </c:pt>
                <c:pt idx="8">
                  <c:v>718070</c:v>
                </c:pt>
                <c:pt idx="9">
                  <c:v>633124</c:v>
                </c:pt>
                <c:pt idx="10">
                  <c:v>655967</c:v>
                </c:pt>
                <c:pt idx="11">
                  <c:v>686008</c:v>
                </c:pt>
                <c:pt idx="12">
                  <c:v>701423</c:v>
                </c:pt>
                <c:pt idx="13">
                  <c:v>559031</c:v>
                </c:pt>
                <c:pt idx="14">
                  <c:v>437992</c:v>
                </c:pt>
                <c:pt idx="15">
                  <c:v>385895</c:v>
                </c:pt>
                <c:pt idx="16">
                  <c:v>249243</c:v>
                </c:pt>
                <c:pt idx="17">
                  <c:v>163396</c:v>
                </c:pt>
                <c:pt idx="18">
                  <c:v>87862</c:v>
                </c:pt>
                <c:pt idx="19">
                  <c:v>62615</c:v>
                </c:pt>
                <c:pt idx="20">
                  <c:v>54809</c:v>
                </c:pt>
                <c:pt idx="21">
                  <c:v>43299</c:v>
                </c:pt>
                <c:pt idx="22">
                  <c:v>34747</c:v>
                </c:pt>
                <c:pt idx="23">
                  <c:v>36558</c:v>
                </c:pt>
                <c:pt idx="24">
                  <c:v>35297</c:v>
                </c:pt>
                <c:pt idx="25">
                  <c:v>34824</c:v>
                </c:pt>
                <c:pt idx="26">
                  <c:v>39494</c:v>
                </c:pt>
                <c:pt idx="27">
                  <c:v>29280</c:v>
                </c:pt>
                <c:pt idx="28">
                  <c:v>30271</c:v>
                </c:pt>
                <c:pt idx="29">
                  <c:v>25903</c:v>
                </c:pt>
                <c:pt idx="30">
                  <c:v>26529</c:v>
                </c:pt>
                <c:pt idx="31">
                  <c:v>20949</c:v>
                </c:pt>
                <c:pt idx="32">
                  <c:v>20179</c:v>
                </c:pt>
                <c:pt idx="33">
                  <c:v>11757</c:v>
                </c:pt>
                <c:pt idx="34">
                  <c:v>10378</c:v>
                </c:pt>
                <c:pt idx="35">
                  <c:v>2107</c:v>
                </c:pt>
                <c:pt idx="36">
                  <c:v>13033</c:v>
                </c:pt>
                <c:pt idx="37">
                  <c:v>21081</c:v>
                </c:pt>
                <c:pt idx="38">
                  <c:v>26974</c:v>
                </c:pt>
                <c:pt idx="39">
                  <c:v>38093</c:v>
                </c:pt>
                <c:pt idx="40">
                  <c:v>35887</c:v>
                </c:pt>
                <c:pt idx="41">
                  <c:v>38121</c:v>
                </c:pt>
                <c:pt idx="42">
                  <c:v>33973</c:v>
                </c:pt>
                <c:pt idx="43">
                  <c:v>48104</c:v>
                </c:pt>
                <c:pt idx="44">
                  <c:v>29851</c:v>
                </c:pt>
                <c:pt idx="45">
                  <c:v>45747</c:v>
                </c:pt>
                <c:pt idx="46">
                  <c:v>55865</c:v>
                </c:pt>
                <c:pt idx="47">
                  <c:v>48313</c:v>
                </c:pt>
                <c:pt idx="48">
                  <c:v>29072</c:v>
                </c:pt>
                <c:pt idx="49">
                  <c:v>44391</c:v>
                </c:pt>
                <c:pt idx="50">
                  <c:v>54099</c:v>
                </c:pt>
                <c:pt idx="51">
                  <c:v>31838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A-4286-A9DD-21A294D9F9D4}"/>
            </c:ext>
          </c:extLst>
        </c:ser>
        <c:ser>
          <c:idx val="1"/>
          <c:order val="1"/>
          <c:tx>
            <c:strRef>
              <c:f>'Mielies-Maize 2025'!$H$3:$K$3</c:f>
              <c:strCache>
                <c:ptCount val="1"/>
                <c:pt idx="0">
                  <c:v>Geelmielies/Yellow maize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'Summary -Total maize'!$B$19:$B$70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'Mielies-Maize 2025'!$J$16:$J$67</c:f>
              <c:numCache>
                <c:formatCode>_ * #\ ##0_ ;_ * \-#\ ##0_ ;_ * "-"??_ ;_ @_ </c:formatCode>
                <c:ptCount val="52"/>
                <c:pt idx="0">
                  <c:v>54098</c:v>
                </c:pt>
                <c:pt idx="1">
                  <c:v>115280</c:v>
                </c:pt>
                <c:pt idx="2">
                  <c:v>177371</c:v>
                </c:pt>
                <c:pt idx="3">
                  <c:v>262136</c:v>
                </c:pt>
                <c:pt idx="4">
                  <c:v>415918</c:v>
                </c:pt>
                <c:pt idx="5">
                  <c:v>484399</c:v>
                </c:pt>
                <c:pt idx="6">
                  <c:v>487934</c:v>
                </c:pt>
                <c:pt idx="7">
                  <c:v>623590</c:v>
                </c:pt>
                <c:pt idx="8">
                  <c:v>779652</c:v>
                </c:pt>
                <c:pt idx="9">
                  <c:v>607591</c:v>
                </c:pt>
                <c:pt idx="10">
                  <c:v>599391</c:v>
                </c:pt>
                <c:pt idx="11">
                  <c:v>554931</c:v>
                </c:pt>
                <c:pt idx="12">
                  <c:v>463359</c:v>
                </c:pt>
                <c:pt idx="13">
                  <c:v>315379</c:v>
                </c:pt>
                <c:pt idx="14">
                  <c:v>205834</c:v>
                </c:pt>
                <c:pt idx="15">
                  <c:v>187068</c:v>
                </c:pt>
                <c:pt idx="16">
                  <c:v>136156</c:v>
                </c:pt>
                <c:pt idx="17">
                  <c:v>108297</c:v>
                </c:pt>
                <c:pt idx="18">
                  <c:v>69271</c:v>
                </c:pt>
                <c:pt idx="19">
                  <c:v>55151</c:v>
                </c:pt>
                <c:pt idx="20">
                  <c:v>35894</c:v>
                </c:pt>
                <c:pt idx="21">
                  <c:v>44516</c:v>
                </c:pt>
                <c:pt idx="22">
                  <c:v>22188</c:v>
                </c:pt>
                <c:pt idx="23">
                  <c:v>22860</c:v>
                </c:pt>
                <c:pt idx="24">
                  <c:v>25408</c:v>
                </c:pt>
                <c:pt idx="25">
                  <c:v>20183</c:v>
                </c:pt>
                <c:pt idx="26">
                  <c:v>45690</c:v>
                </c:pt>
                <c:pt idx="27">
                  <c:v>21060</c:v>
                </c:pt>
                <c:pt idx="28">
                  <c:v>19955</c:v>
                </c:pt>
                <c:pt idx="29">
                  <c:v>21981</c:v>
                </c:pt>
                <c:pt idx="30">
                  <c:v>32676</c:v>
                </c:pt>
                <c:pt idx="31">
                  <c:v>22668</c:v>
                </c:pt>
                <c:pt idx="32">
                  <c:v>23519</c:v>
                </c:pt>
                <c:pt idx="33">
                  <c:v>19562</c:v>
                </c:pt>
                <c:pt idx="34">
                  <c:v>14141</c:v>
                </c:pt>
                <c:pt idx="35">
                  <c:v>5657</c:v>
                </c:pt>
                <c:pt idx="36">
                  <c:v>18335</c:v>
                </c:pt>
                <c:pt idx="37">
                  <c:v>28391</c:v>
                </c:pt>
                <c:pt idx="38">
                  <c:v>28718</c:v>
                </c:pt>
                <c:pt idx="39">
                  <c:v>46868</c:v>
                </c:pt>
                <c:pt idx="40">
                  <c:v>55322</c:v>
                </c:pt>
                <c:pt idx="41">
                  <c:v>57802</c:v>
                </c:pt>
                <c:pt idx="42">
                  <c:v>45925</c:v>
                </c:pt>
                <c:pt idx="43">
                  <c:v>60452</c:v>
                </c:pt>
                <c:pt idx="44">
                  <c:v>35743</c:v>
                </c:pt>
                <c:pt idx="45">
                  <c:v>37440</c:v>
                </c:pt>
                <c:pt idx="46">
                  <c:v>44175</c:v>
                </c:pt>
                <c:pt idx="47">
                  <c:v>51604</c:v>
                </c:pt>
                <c:pt idx="48">
                  <c:v>39953</c:v>
                </c:pt>
                <c:pt idx="49">
                  <c:v>62906</c:v>
                </c:pt>
                <c:pt idx="50">
                  <c:v>79733</c:v>
                </c:pt>
                <c:pt idx="51">
                  <c:v>74815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A-4286-A9DD-21A294D9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axId val="27155103"/>
        <c:axId val="1"/>
      </c:barChart>
      <c:catAx>
        <c:axId val="27155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Marketing weeks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97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55103"/>
        <c:crosses val="autoZero"/>
        <c:crossBetween val="between"/>
        <c:majorUnit val="30000"/>
        <c:minorUnit val="3008.9703"/>
      </c:valAx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5132674863038231"/>
          <c:y val="8.8601684789986312E-2"/>
          <c:w val="0.20788824979457687"/>
          <c:h val="9.2055485498108464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/>
              <a:t>Weekly total maize deliveries (Marketing</a:t>
            </a:r>
            <a:r>
              <a:rPr lang="en-ZA" sz="1400" baseline="0"/>
              <a:t> year</a:t>
            </a:r>
            <a:r>
              <a:rPr lang="en-ZA" sz="1400"/>
              <a:t>: May 2025 to April 2026)</a:t>
            </a:r>
          </a:p>
        </c:rich>
      </c:tx>
      <c:layout>
        <c:manualLayout>
          <c:xMode val="edge"/>
          <c:yMode val="edge"/>
          <c:x val="0.25980251813337052"/>
          <c:y val="3.138847797352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3511221113889"/>
          <c:y val="9.6605406855186884E-2"/>
          <c:w val="0.87367139367068836"/>
          <c:h val="0.7433358842754940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'Summary -Total maize'!$U$17</c:f>
              <c:strCache>
                <c:ptCount val="1"/>
                <c:pt idx="0">
                  <c:v>2025/26</c:v>
                </c:pt>
              </c:strCache>
            </c:strRef>
          </c:tx>
          <c:invertIfNegative val="0"/>
          <c:cat>
            <c:numRef>
              <c:f>'Summary -Total maize'!$B$19:$B$71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'Summary -Total maize'!$U$19:$U$70</c:f>
              <c:numCache>
                <c:formatCode>_ * #\ ##0_ ;_ * \-#\ ##0_ ;_ * "-"??_ ;_ @_ </c:formatCode>
                <c:ptCount val="52"/>
                <c:pt idx="0">
                  <c:v>78385</c:v>
                </c:pt>
                <c:pt idx="1">
                  <c:v>160660</c:v>
                </c:pt>
                <c:pt idx="2">
                  <c:v>267961</c:v>
                </c:pt>
                <c:pt idx="3">
                  <c:v>456977</c:v>
                </c:pt>
                <c:pt idx="4">
                  <c:v>668562</c:v>
                </c:pt>
                <c:pt idx="5">
                  <c:v>879405</c:v>
                </c:pt>
                <c:pt idx="6">
                  <c:v>938562</c:v>
                </c:pt>
                <c:pt idx="7">
                  <c:v>1194302</c:v>
                </c:pt>
                <c:pt idx="8">
                  <c:v>1497722</c:v>
                </c:pt>
                <c:pt idx="9">
                  <c:v>1240715</c:v>
                </c:pt>
                <c:pt idx="10">
                  <c:v>1255358</c:v>
                </c:pt>
                <c:pt idx="11">
                  <c:v>1240939</c:v>
                </c:pt>
                <c:pt idx="12">
                  <c:v>1164782</c:v>
                </c:pt>
                <c:pt idx="13">
                  <c:v>874410</c:v>
                </c:pt>
                <c:pt idx="14">
                  <c:v>643826</c:v>
                </c:pt>
                <c:pt idx="15">
                  <c:v>572963</c:v>
                </c:pt>
                <c:pt idx="16">
                  <c:v>385399</c:v>
                </c:pt>
                <c:pt idx="17">
                  <c:v>271693</c:v>
                </c:pt>
                <c:pt idx="18">
                  <c:v>157133</c:v>
                </c:pt>
                <c:pt idx="19">
                  <c:v>117766</c:v>
                </c:pt>
                <c:pt idx="20">
                  <c:v>90703</c:v>
                </c:pt>
                <c:pt idx="21">
                  <c:v>87815</c:v>
                </c:pt>
                <c:pt idx="22">
                  <c:v>56935</c:v>
                </c:pt>
                <c:pt idx="23">
                  <c:v>59418</c:v>
                </c:pt>
                <c:pt idx="24">
                  <c:v>60705</c:v>
                </c:pt>
                <c:pt idx="25">
                  <c:v>55007</c:v>
                </c:pt>
                <c:pt idx="26">
                  <c:v>85184</c:v>
                </c:pt>
                <c:pt idx="27">
                  <c:v>50340</c:v>
                </c:pt>
                <c:pt idx="28">
                  <c:v>50226</c:v>
                </c:pt>
                <c:pt idx="29">
                  <c:v>47884</c:v>
                </c:pt>
                <c:pt idx="30">
                  <c:v>59205</c:v>
                </c:pt>
                <c:pt idx="31">
                  <c:v>43617</c:v>
                </c:pt>
                <c:pt idx="32">
                  <c:v>43698</c:v>
                </c:pt>
                <c:pt idx="33">
                  <c:v>31319</c:v>
                </c:pt>
                <c:pt idx="34">
                  <c:v>24519</c:v>
                </c:pt>
                <c:pt idx="35">
                  <c:v>7764</c:v>
                </c:pt>
                <c:pt idx="36">
                  <c:v>31368</c:v>
                </c:pt>
                <c:pt idx="37">
                  <c:v>49472</c:v>
                </c:pt>
                <c:pt idx="38">
                  <c:v>55692</c:v>
                </c:pt>
                <c:pt idx="39">
                  <c:v>84961</c:v>
                </c:pt>
                <c:pt idx="40">
                  <c:v>91209</c:v>
                </c:pt>
                <c:pt idx="41">
                  <c:v>95923</c:v>
                </c:pt>
                <c:pt idx="42">
                  <c:v>79898</c:v>
                </c:pt>
                <c:pt idx="43">
                  <c:v>108556</c:v>
                </c:pt>
                <c:pt idx="44">
                  <c:v>65594</c:v>
                </c:pt>
                <c:pt idx="45">
                  <c:v>83187</c:v>
                </c:pt>
                <c:pt idx="46">
                  <c:v>100040</c:v>
                </c:pt>
                <c:pt idx="47">
                  <c:v>99917</c:v>
                </c:pt>
                <c:pt idx="48">
                  <c:v>69025</c:v>
                </c:pt>
                <c:pt idx="49">
                  <c:v>107297</c:v>
                </c:pt>
                <c:pt idx="50">
                  <c:v>133832</c:v>
                </c:pt>
                <c:pt idx="51">
                  <c:v>106653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2-42B0-A44E-A339601D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7147615"/>
        <c:axId val="1"/>
      </c:barChart>
      <c:lineChart>
        <c:grouping val="standard"/>
        <c:varyColors val="0"/>
        <c:ser>
          <c:idx val="1"/>
          <c:order val="0"/>
          <c:tx>
            <c:strRef>
              <c:f>'Summary -Total maize'!$W$17</c:f>
              <c:strCache>
                <c:ptCount val="1"/>
                <c:pt idx="0">
                  <c:v>5 Yr. AVG</c:v>
                </c:pt>
              </c:strCache>
            </c:strRef>
          </c:tx>
          <c:cat>
            <c:numRef>
              <c:f>'Summary -Total maize'!$B$19:$B$65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'Summary -Total maize'!$W$19:$W$70</c:f>
              <c:numCache>
                <c:formatCode>_ * #\ ##0_ ;_ * \-#\ ##0_ ;_ * "-"??_ ;_ @_ </c:formatCode>
                <c:ptCount val="52"/>
                <c:pt idx="0">
                  <c:v>227845.2</c:v>
                </c:pt>
                <c:pt idx="1">
                  <c:v>476125.5</c:v>
                </c:pt>
                <c:pt idx="2">
                  <c:v>638086.5</c:v>
                </c:pt>
                <c:pt idx="3">
                  <c:v>1082696</c:v>
                </c:pt>
                <c:pt idx="4">
                  <c:v>712870</c:v>
                </c:pt>
                <c:pt idx="5">
                  <c:v>987879</c:v>
                </c:pt>
                <c:pt idx="6">
                  <c:v>1141302.5</c:v>
                </c:pt>
                <c:pt idx="7">
                  <c:v>1508206.5</c:v>
                </c:pt>
                <c:pt idx="8">
                  <c:v>870826.5</c:v>
                </c:pt>
                <c:pt idx="9">
                  <c:v>971823</c:v>
                </c:pt>
                <c:pt idx="10">
                  <c:v>879923.5</c:v>
                </c:pt>
                <c:pt idx="11">
                  <c:v>804004.75</c:v>
                </c:pt>
                <c:pt idx="12">
                  <c:v>794600</c:v>
                </c:pt>
                <c:pt idx="13">
                  <c:v>409958</c:v>
                </c:pt>
                <c:pt idx="14">
                  <c:v>450669.2</c:v>
                </c:pt>
                <c:pt idx="15">
                  <c:v>303751.5</c:v>
                </c:pt>
                <c:pt idx="16">
                  <c:v>327511.25</c:v>
                </c:pt>
                <c:pt idx="17">
                  <c:v>124551.75</c:v>
                </c:pt>
                <c:pt idx="18">
                  <c:v>84875.75</c:v>
                </c:pt>
                <c:pt idx="19">
                  <c:v>70420.25</c:v>
                </c:pt>
                <c:pt idx="20">
                  <c:v>94297</c:v>
                </c:pt>
                <c:pt idx="21">
                  <c:v>80349.5</c:v>
                </c:pt>
                <c:pt idx="22">
                  <c:v>50396.75</c:v>
                </c:pt>
                <c:pt idx="23">
                  <c:v>52896.5</c:v>
                </c:pt>
                <c:pt idx="24">
                  <c:v>45389.75</c:v>
                </c:pt>
                <c:pt idx="25">
                  <c:v>81479</c:v>
                </c:pt>
                <c:pt idx="26">
                  <c:v>32244.25</c:v>
                </c:pt>
                <c:pt idx="27">
                  <c:v>31587.25</c:v>
                </c:pt>
                <c:pt idx="28">
                  <c:v>29012.25</c:v>
                </c:pt>
                <c:pt idx="29">
                  <c:v>68550</c:v>
                </c:pt>
                <c:pt idx="30">
                  <c:v>29128.5</c:v>
                </c:pt>
                <c:pt idx="31">
                  <c:v>29288.25</c:v>
                </c:pt>
                <c:pt idx="32">
                  <c:v>24998</c:v>
                </c:pt>
                <c:pt idx="33">
                  <c:v>17739.25</c:v>
                </c:pt>
                <c:pt idx="34">
                  <c:v>35331</c:v>
                </c:pt>
                <c:pt idx="35">
                  <c:v>10309.5</c:v>
                </c:pt>
                <c:pt idx="36">
                  <c:v>19500.75</c:v>
                </c:pt>
                <c:pt idx="37">
                  <c:v>24379.5</c:v>
                </c:pt>
                <c:pt idx="38">
                  <c:v>62591.5</c:v>
                </c:pt>
                <c:pt idx="39">
                  <c:v>39329.75</c:v>
                </c:pt>
                <c:pt idx="40">
                  <c:v>43791</c:v>
                </c:pt>
                <c:pt idx="41">
                  <c:v>42008.75</c:v>
                </c:pt>
                <c:pt idx="42">
                  <c:v>65212.5</c:v>
                </c:pt>
                <c:pt idx="43">
                  <c:v>33516.25</c:v>
                </c:pt>
                <c:pt idx="44">
                  <c:v>38731.75</c:v>
                </c:pt>
                <c:pt idx="45">
                  <c:v>56041</c:v>
                </c:pt>
                <c:pt idx="46">
                  <c:v>86736.75</c:v>
                </c:pt>
                <c:pt idx="47">
                  <c:v>83234</c:v>
                </c:pt>
                <c:pt idx="48">
                  <c:v>62258.5</c:v>
                </c:pt>
                <c:pt idx="49">
                  <c:v>55071.5</c:v>
                </c:pt>
                <c:pt idx="50">
                  <c:v>91130.5</c:v>
                </c:pt>
                <c:pt idx="51">
                  <c:v>196800.75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2-42B0-A44E-A339601D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7615"/>
        <c:axId val="1"/>
      </c:lineChart>
      <c:catAx>
        <c:axId val="27147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Marketing weeks</a:t>
                </a:r>
              </a:p>
            </c:rich>
          </c:tx>
          <c:layout>
            <c:manualLayout>
              <c:xMode val="edge"/>
              <c:yMode val="edge"/>
              <c:x val="0.48663812990346633"/>
              <c:y val="0.881514674484182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4761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4036243591476"/>
          <c:y val="0.91814263913004646"/>
          <c:w val="0.6203779786359902"/>
          <c:h val="3.5308953341740223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maize deliveries for the 2021/22 season vs previous season's</a:t>
            </a:r>
          </a:p>
        </c:rich>
      </c:tx>
      <c:layout>
        <c:manualLayout>
          <c:xMode val="edge"/>
          <c:yMode val="edge"/>
          <c:x val="0.11433465537432308"/>
          <c:y val="8.39895013123359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12395433329457"/>
          <c:y val="8.4418239189295655E-2"/>
          <c:w val="0.82909539324825776"/>
          <c:h val="0.77656341372136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-Total maize'!$B$79:$C$79</c:f>
              <c:strCache>
                <c:ptCount val="2"/>
                <c:pt idx="0">
                  <c:v>Lewerings vanaf Mei/Deliveries from May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'Summary -Total maize'!$H$77:$Q$77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2020/21</c:v>
                </c:pt>
                <c:pt idx="4">
                  <c:v>2021/22</c:v>
                </c:pt>
              </c:strCache>
            </c:strRef>
          </c:cat>
          <c:val>
            <c:numRef>
              <c:f>'Summary -Total maize'!$H$79:$W$79</c:f>
              <c:numCache>
                <c:formatCode>_ * #\ ##0_ ;_ * \-#\ ##0_ ;_ * "-"??_ ;_ @_ </c:formatCode>
                <c:ptCount val="11"/>
                <c:pt idx="0">
                  <c:v>11016607</c:v>
                </c:pt>
                <c:pt idx="1">
                  <c:v>10495155</c:v>
                </c:pt>
                <c:pt idx="2">
                  <c:v>13275986</c:v>
                </c:pt>
                <c:pt idx="3">
                  <c:v>14317510</c:v>
                </c:pt>
                <c:pt idx="4">
                  <c:v>14865206</c:v>
                </c:pt>
                <c:pt idx="5">
                  <c:v>14507386</c:v>
                </c:pt>
                <c:pt idx="6">
                  <c:v>15126437</c:v>
                </c:pt>
                <c:pt idx="7">
                  <c:v>11409996</c:v>
                </c:pt>
                <c:pt idx="8">
                  <c:v>16284483</c:v>
                </c:pt>
                <c:pt idx="10">
                  <c:v>9497584.1999999993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9-4889-94EF-D90706A91DE7}"/>
            </c:ext>
          </c:extLst>
        </c:ser>
        <c:ser>
          <c:idx val="2"/>
          <c:order val="1"/>
          <c:tx>
            <c:strRef>
              <c:f>'Summary -Total maize'!$B$80:$C$80</c:f>
              <c:strCache>
                <c:ptCount val="2"/>
                <c:pt idx="0">
                  <c:v>Totale lewerings/Total deliveries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'Summary -Total maize'!$H$77:$Q$77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2020/21</c:v>
                </c:pt>
                <c:pt idx="4">
                  <c:v>2021/22</c:v>
                </c:pt>
              </c:strCache>
            </c:strRef>
          </c:cat>
          <c:val>
            <c:numRef>
              <c:f>'Summary -Total maize'!$H$80:$W$80</c:f>
              <c:numCache>
                <c:formatCode>_ * #\ ##0_ ;_ * \-#\ ##0_ ;_ * "-"??_ ;_ @_ </c:formatCode>
                <c:ptCount val="11"/>
                <c:pt idx="0">
                  <c:v>11770050</c:v>
                </c:pt>
                <c:pt idx="1">
                  <c:v>10921189</c:v>
                </c:pt>
                <c:pt idx="2">
                  <c:v>13754770</c:v>
                </c:pt>
                <c:pt idx="3">
                  <c:v>14665242</c:v>
                </c:pt>
                <c:pt idx="4">
                  <c:v>15822513</c:v>
                </c:pt>
                <c:pt idx="5">
                  <c:v>14921434</c:v>
                </c:pt>
                <c:pt idx="6">
                  <c:v>15829936</c:v>
                </c:pt>
                <c:pt idx="7">
                  <c:v>12517654</c:v>
                </c:pt>
                <c:pt idx="8">
                  <c:v>16914936</c:v>
                </c:pt>
                <c:pt idx="10">
                  <c:v>9985825.1999999993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9-4889-94EF-D90706A9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7157183"/>
        <c:axId val="1"/>
      </c:barChart>
      <c:lineChart>
        <c:grouping val="standard"/>
        <c:varyColors val="0"/>
        <c:ser>
          <c:idx val="3"/>
          <c:order val="2"/>
          <c:tx>
            <c:strRef>
              <c:f>'Summary -Total maize'!$B$82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B0F0"/>
              </a:solidFill>
            </c:spPr>
          </c:marker>
          <c:dLbls>
            <c:dLbl>
              <c:idx val="8"/>
              <c:layout>
                <c:manualLayout>
                  <c:x val="-5.2232424793054712E-2"/>
                  <c:y val="8.3989501312335957E-3"/>
                </c:manualLayout>
              </c:layout>
              <c:numFmt formatCode="0%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5-4661-B821-57A9FDBB6EBF}"/>
                </c:ext>
              </c:extLst>
            </c:dLbl>
            <c:dLbl>
              <c:idx val="10"/>
              <c:layout>
                <c:manualLayout>
                  <c:x val="-3.9924732485362407E-2"/>
                  <c:y val="-4.1994750656167978E-3"/>
                </c:manualLayout>
              </c:layout>
              <c:numFmt formatCode="0%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5-4661-B821-57A9FDBB6EBF}"/>
                </c:ext>
              </c:extLst>
            </c:dLbl>
            <c:numFmt formatCode="0%" sourceLinked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'Summary -Total maize'!$H$77:$W$78</c:f>
              <c:multiLvlStrCache>
                <c:ptCount val="11"/>
                <c:lvl>
                  <c:pt idx="0">
                    <c:v> 753 443 </c:v>
                  </c:pt>
                  <c:pt idx="1">
                    <c:v> 426 034 </c:v>
                  </c:pt>
                  <c:pt idx="2">
                    <c:v> 478 784 </c:v>
                  </c:pt>
                  <c:pt idx="3">
                    <c:v> 347 732 </c:v>
                  </c:pt>
                  <c:pt idx="4">
                    <c:v> 957 307 </c:v>
                  </c:pt>
                  <c:pt idx="5">
                    <c:v> 414 048 </c:v>
                  </c:pt>
                  <c:pt idx="6">
                    <c:v> 703 499 </c:v>
                  </c:pt>
                  <c:pt idx="7">
                    <c:v> 1 107 658 </c:v>
                  </c:pt>
                  <c:pt idx="8">
                    <c:v> 630 453 </c:v>
                  </c:pt>
                  <c:pt idx="10">
                    <c:v> 488 241 </c:v>
                  </c:pt>
                </c:lvl>
                <c:lvl>
                  <c:pt idx="0">
                    <c:v>2012/13</c:v>
                  </c:pt>
                  <c:pt idx="1">
                    <c:v>2013/14</c:v>
                  </c:pt>
                  <c:pt idx="2">
                    <c:v>2014/15</c:v>
                  </c:pt>
                  <c:pt idx="3">
                    <c:v>2020/21</c:v>
                  </c:pt>
                  <c:pt idx="4">
                    <c:v>2021/22</c:v>
                  </c:pt>
                  <c:pt idx="5">
                    <c:v>2022/23</c:v>
                  </c:pt>
                  <c:pt idx="6">
                    <c:v>2023/24</c:v>
                  </c:pt>
                  <c:pt idx="7">
                    <c:v>2024/25*</c:v>
                  </c:pt>
                  <c:pt idx="8">
                    <c:v>2025/26</c:v>
                  </c:pt>
                  <c:pt idx="10">
                    <c:v>5 Yr. AVG</c:v>
                  </c:pt>
                </c:lvl>
              </c:multiLvlStrCache>
            </c:multiLvlStrRef>
          </c:cat>
          <c:val>
            <c:numRef>
              <c:f>'Summary -Total maize'!$H$82:$W$82</c:f>
              <c:numCache>
                <c:formatCode>0%</c:formatCode>
                <c:ptCount val="11"/>
                <c:pt idx="0">
                  <c:v>1.0070951563121411</c:v>
                </c:pt>
                <c:pt idx="1">
                  <c:v>0.96198291010253079</c:v>
                </c:pt>
                <c:pt idx="2">
                  <c:v>1.001778614658666</c:v>
                </c:pt>
                <c:pt idx="3">
                  <c:v>0.9933909601220906</c:v>
                </c:pt>
                <c:pt idx="4">
                  <c:v>1.0083814288445605</c:v>
                </c:pt>
                <c:pt idx="5">
                  <c:v>1.0012369321613097</c:v>
                </c:pt>
                <c:pt idx="6">
                  <c:v>1.005060943573822</c:v>
                </c:pt>
                <c:pt idx="7" formatCode="0.0%">
                  <c:v>0.77197513428841014</c:v>
                </c:pt>
                <c:pt idx="8" formatCode="0.0%">
                  <c:v>1.0441254066332923</c:v>
                </c:pt>
                <c:pt idx="9" formatCode="0.0%">
                  <c:v>0</c:v>
                </c:pt>
                <c:pt idx="10">
                  <c:v>0.69469475853856089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19-4889-94EF-D90706A9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715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71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"/>
          <c:y val="0.93434343434343436"/>
          <c:w val="0.97781429745275261"/>
          <c:h val="5.4292929292929282E-2"/>
        </c:manualLayout>
      </c:layout>
      <c:overlay val="0"/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WM deliveries for the 2023/24 season vs previous season's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66402097525992"/>
          <c:y val="8.3857273016181344E-2"/>
          <c:w val="0.85936698707412329"/>
          <c:h val="0.74118420278910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-White maize'!$B$78</c:f>
              <c:strCache>
                <c:ptCount val="1"/>
                <c:pt idx="0">
                  <c:v>Lewerings vanaf Mei/Deliveries from May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'Summary -White maize'!$G$76:$V$76</c:f>
              <c:strCache>
                <c:ptCount val="8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7">
                  <c:v>5 Yr. AVG</c:v>
                </c:pt>
              </c:strCache>
            </c:strRef>
          </c:cat>
          <c:val>
            <c:numRef>
              <c:f>'Summary -White maize'!$G$78:$V$78</c:f>
              <c:numCache>
                <c:formatCode>_ * #\ ##0_ ;_ * \-#\ ##0_ ;_ * "-"??_ ;_ @_ </c:formatCode>
                <c:ptCount val="8"/>
                <c:pt idx="0">
                  <c:v>8169298</c:v>
                </c:pt>
                <c:pt idx="1">
                  <c:v>7999725</c:v>
                </c:pt>
                <c:pt idx="2">
                  <c:v>7541586</c:v>
                </c:pt>
                <c:pt idx="3">
                  <c:v>8079331</c:v>
                </c:pt>
                <c:pt idx="4">
                  <c:v>5439775</c:v>
                </c:pt>
                <c:pt idx="5">
                  <c:v>8415537</c:v>
                </c:pt>
                <c:pt idx="7">
                  <c:v>6225563.4000000004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6-4FC3-AD28-EBBB0966E41B}"/>
            </c:ext>
          </c:extLst>
        </c:ser>
        <c:ser>
          <c:idx val="1"/>
          <c:order val="1"/>
          <c:tx>
            <c:strRef>
              <c:f>'Summary -White maize'!$B$79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'Summary -White maize'!$G$76:$V$76</c:f>
              <c:strCache>
                <c:ptCount val="8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7">
                  <c:v>5 Yr. AVG</c:v>
                </c:pt>
              </c:strCache>
            </c:strRef>
          </c:cat>
          <c:val>
            <c:numRef>
              <c:f>'Summary -White maize'!$G$79:$V$79</c:f>
              <c:numCache>
                <c:formatCode>_ * #\ ##0_ ;_ * \-#\ ##0_ ;_ * "-"??_ ;_ @_ </c:formatCode>
                <c:ptCount val="8"/>
                <c:pt idx="0">
                  <c:v>8300539</c:v>
                </c:pt>
                <c:pt idx="1">
                  <c:v>8436761</c:v>
                </c:pt>
                <c:pt idx="2">
                  <c:v>7682774</c:v>
                </c:pt>
                <c:pt idx="3">
                  <c:v>8273536</c:v>
                </c:pt>
                <c:pt idx="4">
                  <c:v>5838067</c:v>
                </c:pt>
                <c:pt idx="5">
                  <c:v>8667923</c:v>
                </c:pt>
                <c:pt idx="7">
                  <c:v>6485955.8000000007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6-4FC3-AD28-EBBB0966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156351"/>
        <c:axId val="1"/>
      </c:barChart>
      <c:lineChart>
        <c:grouping val="standard"/>
        <c:varyColors val="0"/>
        <c:ser>
          <c:idx val="2"/>
          <c:order val="2"/>
          <c:tx>
            <c:strRef>
              <c:f>'Summary -White maize'!$B$81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4"/>
            <c:spPr>
              <a:solidFill>
                <a:srgbClr val="0070C0"/>
              </a:solidFill>
              <a:ln w="25400">
                <a:solidFill>
                  <a:srgbClr val="0070C0"/>
                </a:solidFill>
              </a:ln>
              <a:effectLst/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'Summary -White maize'!$G$76:$V$76</c:f>
              <c:strCache>
                <c:ptCount val="8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7">
                  <c:v>5 Yr. AVG</c:v>
                </c:pt>
              </c:strCache>
            </c:strRef>
          </c:cat>
          <c:val>
            <c:numRef>
              <c:f>'Summary -White maize'!$G$81:$V$81</c:f>
              <c:numCache>
                <c:formatCode>0.0%</c:formatCode>
                <c:ptCount val="8"/>
                <c:pt idx="0" formatCode="0%">
                  <c:v>0.98683070770189185</c:v>
                </c:pt>
                <c:pt idx="1">
                  <c:v>1.0046155036913551</c:v>
                </c:pt>
                <c:pt idx="2">
                  <c:v>1.0012738172813762</c:v>
                </c:pt>
                <c:pt idx="3">
                  <c:v>0.99862051318261458</c:v>
                </c:pt>
                <c:pt idx="4">
                  <c:v>0.9920249787595582</c:v>
                </c:pt>
                <c:pt idx="5">
                  <c:v>0.97396223446989494</c:v>
                </c:pt>
                <c:pt idx="7" formatCode="0%">
                  <c:v>0.83901346039786806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6-4FC3-AD28-EBBB0966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715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Million Ton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6351"/>
        <c:crosses val="autoZero"/>
        <c:crossBetween val="between"/>
        <c:dispUnits>
          <c:builtInUnit val="million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one"/>
        <c:spPr>
          <a:ln w="9525">
            <a:noFill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105633802816906E-2"/>
          <c:y val="0.90163934426229508"/>
          <c:w val="0.91813380281690127"/>
          <c:h val="8.07061790668347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YM deliveries for the 2023/24</a:t>
            </a:r>
          </a:p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 season vs previous season's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87293008061719E-2"/>
          <c:y val="8.1715311793823048E-2"/>
          <c:w val="0.86673949038330655"/>
          <c:h val="0.79483647873434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-Yellow maize'!$B$79</c:f>
              <c:strCache>
                <c:ptCount val="1"/>
                <c:pt idx="0">
                  <c:v>Lewerings vanaf Mei/Deliveries from May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'Summary -Yellow maize'!$H$77:$W$77</c:f>
              <c:strCache>
                <c:ptCount val="1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</c:v>
                </c:pt>
                <c:pt idx="15">
                  <c:v>5 Yr. AVG</c:v>
                </c:pt>
              </c:strCache>
            </c:strRef>
          </c:cat>
          <c:val>
            <c:numRef>
              <c:f>'Summary -Yellow maize'!$H$79:$W$79</c:f>
              <c:numCache>
                <c:formatCode>_ * #\ ##0_ ;_ * \-#\ ##0_ ;_ * "-"??_ ;_ @_ </c:formatCode>
                <c:ptCount val="16"/>
                <c:pt idx="0">
                  <c:v>4480629</c:v>
                </c:pt>
                <c:pt idx="1">
                  <c:v>5328942</c:v>
                </c:pt>
                <c:pt idx="2">
                  <c:v>5861623</c:v>
                </c:pt>
                <c:pt idx="3">
                  <c:v>4538679</c:v>
                </c:pt>
                <c:pt idx="4">
                  <c:v>3622244</c:v>
                </c:pt>
                <c:pt idx="5">
                  <c:v>6234595</c:v>
                </c:pt>
                <c:pt idx="6">
                  <c:v>5495238</c:v>
                </c:pt>
                <c:pt idx="7">
                  <c:v>5228088</c:v>
                </c:pt>
                <c:pt idx="8">
                  <c:v>6152378</c:v>
                </c:pt>
                <c:pt idx="9">
                  <c:v>6867055</c:v>
                </c:pt>
                <c:pt idx="10">
                  <c:v>6965800</c:v>
                </c:pt>
                <c:pt idx="11">
                  <c:v>7047106</c:v>
                </c:pt>
                <c:pt idx="12">
                  <c:v>5581675</c:v>
                </c:pt>
                <c:pt idx="13">
                  <c:v>7868946</c:v>
                </c:pt>
                <c:pt idx="15">
                  <c:v>3386888.8000000003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F-4530-8415-3E5C1CFC1254}"/>
            </c:ext>
          </c:extLst>
        </c:ser>
        <c:ser>
          <c:idx val="2"/>
          <c:order val="1"/>
          <c:tx>
            <c:strRef>
              <c:f>'Summary -Yellow maize'!$B$80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'Summary -Yellow maize'!$H$77:$W$77</c:f>
              <c:strCache>
                <c:ptCount val="1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</c:v>
                </c:pt>
                <c:pt idx="15">
                  <c:v>5 Yr. AVG</c:v>
                </c:pt>
              </c:strCache>
            </c:strRef>
          </c:cat>
          <c:val>
            <c:numRef>
              <c:f>'Summary -Yellow maize'!$H$80:$W$80</c:f>
              <c:numCache>
                <c:formatCode>_ * #\ ##0_ ;_ * \-#\ ##0_ ;_ * "-"??_ ;_ @_ </c:formatCode>
                <c:ptCount val="16"/>
                <c:pt idx="0">
                  <c:v>4723674</c:v>
                </c:pt>
                <c:pt idx="1">
                  <c:v>5855911</c:v>
                </c:pt>
                <c:pt idx="2">
                  <c:v>6035284</c:v>
                </c:pt>
                <c:pt idx="3">
                  <c:v>4905799</c:v>
                </c:pt>
                <c:pt idx="4">
                  <c:v>4072199</c:v>
                </c:pt>
                <c:pt idx="5">
                  <c:v>6535237</c:v>
                </c:pt>
                <c:pt idx="6">
                  <c:v>5617786</c:v>
                </c:pt>
                <c:pt idx="7">
                  <c:v>5409133</c:v>
                </c:pt>
                <c:pt idx="8">
                  <c:v>6368869</c:v>
                </c:pt>
                <c:pt idx="9">
                  <c:v>7387326</c:v>
                </c:pt>
                <c:pt idx="10">
                  <c:v>7238660</c:v>
                </c:pt>
                <c:pt idx="11">
                  <c:v>7556400</c:v>
                </c:pt>
                <c:pt idx="12">
                  <c:v>6291041</c:v>
                </c:pt>
                <c:pt idx="13">
                  <c:v>8255108</c:v>
                </c:pt>
                <c:pt idx="15">
                  <c:v>3866479.4000000004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F-4530-8415-3E5C1CFC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144287"/>
        <c:axId val="1"/>
      </c:barChart>
      <c:lineChart>
        <c:grouping val="standard"/>
        <c:varyColors val="0"/>
        <c:ser>
          <c:idx val="4"/>
          <c:order val="2"/>
          <c:tx>
            <c:strRef>
              <c:f>'Summary -Yellow maize'!$B$82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4"/>
            <c:spPr>
              <a:solidFill>
                <a:srgbClr val="0070C0"/>
              </a:solidFill>
              <a:ln w="9525">
                <a:solidFill>
                  <a:srgbClr val="0070C0">
                    <a:alpha val="97000"/>
                  </a:srgbClr>
                </a:solidFill>
              </a:ln>
              <a:effectLst/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'Summary -Yellow maize'!$H$77:$W$77</c:f>
              <c:strCache>
                <c:ptCount val="1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</c:v>
                </c:pt>
                <c:pt idx="15">
                  <c:v>5 Yr. AVG</c:v>
                </c:pt>
              </c:strCache>
            </c:strRef>
          </c:cat>
          <c:val>
            <c:numRef>
              <c:f>'Summary -Yellow maize'!$H$82:$W$82</c:f>
              <c:numCache>
                <c:formatCode>0.0%</c:formatCode>
                <c:ptCount val="16"/>
                <c:pt idx="0">
                  <c:v>0.96449360897212477</c:v>
                </c:pt>
                <c:pt idx="1">
                  <c:v>0.99982584735930813</c:v>
                </c:pt>
                <c:pt idx="2">
                  <c:v>0.98013640388229428</c:v>
                </c:pt>
                <c:pt idx="3">
                  <c:v>1.0099265477871697</c:v>
                </c:pt>
                <c:pt idx="4">
                  <c:v>0.99727257320974816</c:v>
                </c:pt>
                <c:pt idx="5">
                  <c:v>0.99744154456654455</c:v>
                </c:pt>
                <c:pt idx="6">
                  <c:v>0.99960604982206402</c:v>
                </c:pt>
                <c:pt idx="7">
                  <c:v>1.0054150557620818</c:v>
                </c:pt>
                <c:pt idx="8" formatCode="0%">
                  <c:v>1.0027346296150517</c:v>
                </c:pt>
                <c:pt idx="9">
                  <c:v>1.0129337721102427</c:v>
                </c:pt>
                <c:pt idx="10">
                  <c:v>1.0011977869986168</c:v>
                </c:pt>
                <c:pt idx="11">
                  <c:v>1.0122085500036166</c:v>
                </c:pt>
                <c:pt idx="12">
                  <c:v>0.99149582348305754</c:v>
                </c:pt>
                <c:pt idx="13">
                  <c:v>1.1307670075132354</c:v>
                </c:pt>
                <c:pt idx="15">
                  <c:v>0.55737439151950319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F-4530-8415-3E5C1CFC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714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Million Ton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44287"/>
        <c:crosses val="autoZero"/>
        <c:crossBetween val="between"/>
        <c:dispUnits>
          <c:builtInUnit val="million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ln w="9525">
            <a:noFill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7605633802816902E-2"/>
          <c:y val="0.94577553593947039"/>
          <c:w val="0.96654929577464777"/>
          <c:h val="4.16141235813366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-White maize'!$L$16</c:f>
              <c:strCache>
                <c:ptCount val="1"/>
                <c:pt idx="0">
                  <c:v>2017/18</c:v>
                </c:pt>
              </c:strCache>
            </c:strRef>
          </c:tx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val>
            <c:numRef>
              <c:f>'Summary -White maize'!$L$18:$L$61</c:f>
            </c:numRef>
          </c:val>
          <c:extLst>
            <c:ext xmlns:c16="http://schemas.microsoft.com/office/drawing/2014/chart" uri="{C3380CC4-5D6E-409C-BE32-E72D297353CC}">
              <c16:uniqueId val="{00000001-AC53-4E9F-BE65-01A1766983F7}"/>
            </c:ext>
          </c:extLst>
        </c:ser>
        <c:ser>
          <c:idx val="1"/>
          <c:order val="1"/>
          <c:tx>
            <c:strRef>
              <c:f>'Summary -White maize'!$M$16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val>
            <c:numRef>
              <c:f>'Summary -White maize'!$M$18:$M$61</c:f>
            </c:numRef>
          </c:val>
          <c:extLst>
            <c:ext xmlns:c16="http://schemas.microsoft.com/office/drawing/2014/chart" uri="{C3380CC4-5D6E-409C-BE32-E72D297353CC}">
              <c16:uniqueId val="{00000003-AC53-4E9F-BE65-01A1766983F7}"/>
            </c:ext>
          </c:extLst>
        </c:ser>
        <c:ser>
          <c:idx val="2"/>
          <c:order val="2"/>
          <c:tx>
            <c:strRef>
              <c:f>'Summary -White maize'!$N$16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val>
            <c:numRef>
              <c:f>'Summary -White maize'!$N$18:$N$61</c:f>
            </c:numRef>
          </c:val>
          <c:extLst>
            <c:ext xmlns:c16="http://schemas.microsoft.com/office/drawing/2014/chart" uri="{C3380CC4-5D6E-409C-BE32-E72D297353CC}">
              <c16:uniqueId val="{00000005-AC53-4E9F-BE65-01A1766983F7}"/>
            </c:ext>
          </c:extLst>
        </c:ser>
        <c:ser>
          <c:idx val="3"/>
          <c:order val="3"/>
          <c:tx>
            <c:strRef>
              <c:f>'Summary -White maize'!$O$16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val>
            <c:numRef>
              <c:f>'Summary -White maize'!$O$18:$O$61</c:f>
              <c:numCache>
                <c:formatCode>_ * #\ ##0_ ;_ * \-#\ ##0_ ;_ * "-"??_ ;_ @_ </c:formatCode>
                <c:ptCount val="44"/>
                <c:pt idx="0">
                  <c:v>2437</c:v>
                </c:pt>
                <c:pt idx="1">
                  <c:v>37574</c:v>
                </c:pt>
                <c:pt idx="2">
                  <c:v>78048</c:v>
                </c:pt>
                <c:pt idx="3">
                  <c:v>136426</c:v>
                </c:pt>
                <c:pt idx="4">
                  <c:v>346632</c:v>
                </c:pt>
                <c:pt idx="5">
                  <c:v>246460</c:v>
                </c:pt>
                <c:pt idx="6">
                  <c:v>361369</c:v>
                </c:pt>
                <c:pt idx="7">
                  <c:v>250828</c:v>
                </c:pt>
                <c:pt idx="8">
                  <c:v>875139</c:v>
                </c:pt>
                <c:pt idx="9">
                  <c:v>297273</c:v>
                </c:pt>
                <c:pt idx="10">
                  <c:v>607351</c:v>
                </c:pt>
                <c:pt idx="11">
                  <c:v>648824</c:v>
                </c:pt>
                <c:pt idx="12">
                  <c:v>708707</c:v>
                </c:pt>
                <c:pt idx="13">
                  <c:v>1123824</c:v>
                </c:pt>
                <c:pt idx="14">
                  <c:v>524045</c:v>
                </c:pt>
                <c:pt idx="15">
                  <c:v>407047</c:v>
                </c:pt>
                <c:pt idx="16">
                  <c:v>281706</c:v>
                </c:pt>
                <c:pt idx="17">
                  <c:v>536989</c:v>
                </c:pt>
                <c:pt idx="18">
                  <c:v>43317</c:v>
                </c:pt>
                <c:pt idx="19">
                  <c:v>79109</c:v>
                </c:pt>
                <c:pt idx="20">
                  <c:v>49822</c:v>
                </c:pt>
                <c:pt idx="21">
                  <c:v>188879</c:v>
                </c:pt>
                <c:pt idx="22">
                  <c:v>7035</c:v>
                </c:pt>
                <c:pt idx="23">
                  <c:v>21272</c:v>
                </c:pt>
                <c:pt idx="24">
                  <c:v>16799</c:v>
                </c:pt>
                <c:pt idx="25">
                  <c:v>13803</c:v>
                </c:pt>
                <c:pt idx="26">
                  <c:v>82181</c:v>
                </c:pt>
                <c:pt idx="27">
                  <c:v>9087</c:v>
                </c:pt>
                <c:pt idx="28">
                  <c:v>7665</c:v>
                </c:pt>
                <c:pt idx="29">
                  <c:v>7429</c:v>
                </c:pt>
                <c:pt idx="30">
                  <c:v>36065</c:v>
                </c:pt>
                <c:pt idx="31">
                  <c:v>4505</c:v>
                </c:pt>
                <c:pt idx="32">
                  <c:v>5803</c:v>
                </c:pt>
                <c:pt idx="33">
                  <c:v>3668</c:v>
                </c:pt>
                <c:pt idx="34">
                  <c:v>20941</c:v>
                </c:pt>
                <c:pt idx="35">
                  <c:v>164</c:v>
                </c:pt>
                <c:pt idx="36">
                  <c:v>2948</c:v>
                </c:pt>
                <c:pt idx="37">
                  <c:v>5613</c:v>
                </c:pt>
                <c:pt idx="38">
                  <c:v>7152</c:v>
                </c:pt>
                <c:pt idx="39">
                  <c:v>31061</c:v>
                </c:pt>
                <c:pt idx="40">
                  <c:v>5936</c:v>
                </c:pt>
                <c:pt idx="41">
                  <c:v>10507</c:v>
                </c:pt>
                <c:pt idx="42">
                  <c:v>8705</c:v>
                </c:pt>
                <c:pt idx="43">
                  <c:v>29153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53-4E9F-BE65-01A1766983F7}"/>
            </c:ext>
          </c:extLst>
        </c:ser>
        <c:ser>
          <c:idx val="4"/>
          <c:order val="4"/>
          <c:tx>
            <c:strRef>
              <c:f>'Summary -White maize'!$P$16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'Summary -White maize'!$P$18:$P$30</c:f>
              <c:numCache>
                <c:formatCode>_ * #\ ##0_ ;_ * \-#\ ##0_ ;_ * "-"??_ ;_ @_ </c:formatCode>
                <c:ptCount val="13"/>
                <c:pt idx="0">
                  <c:v>208526</c:v>
                </c:pt>
                <c:pt idx="1">
                  <c:v>379158</c:v>
                </c:pt>
                <c:pt idx="2">
                  <c:v>545824</c:v>
                </c:pt>
                <c:pt idx="3">
                  <c:v>988629</c:v>
                </c:pt>
                <c:pt idx="4">
                  <c:v>441451</c:v>
                </c:pt>
                <c:pt idx="5">
                  <c:v>542973</c:v>
                </c:pt>
                <c:pt idx="6">
                  <c:v>626127</c:v>
                </c:pt>
                <c:pt idx="7">
                  <c:v>1439020</c:v>
                </c:pt>
                <c:pt idx="8">
                  <c:v>147268</c:v>
                </c:pt>
                <c:pt idx="9">
                  <c:v>497494</c:v>
                </c:pt>
                <c:pt idx="10">
                  <c:v>404669</c:v>
                </c:pt>
                <c:pt idx="11">
                  <c:v>316250</c:v>
                </c:pt>
                <c:pt idx="12">
                  <c:v>576087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53-4E9F-BE65-01A17669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46783"/>
        <c:axId val="1"/>
      </c:barChart>
      <c:catAx>
        <c:axId val="2714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467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6056338028169"/>
          <c:y val="0.92433795712484235"/>
          <c:w val="0.67517605633802813"/>
          <c:h val="6.6834804539722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Maize deliveries for the 2024/25 season vs previous season's</a:t>
            </a:r>
          </a:p>
        </c:rich>
      </c:tx>
      <c:layout>
        <c:manualLayout>
          <c:xMode val="edge"/>
          <c:yMode val="edge"/>
          <c:x val="0.13124933613503589"/>
          <c:y val="1.2270907062817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57076449395846E-2"/>
          <c:y val="9.3520779362984752E-2"/>
          <c:w val="0.8650990184304882"/>
          <c:h val="0.6675136517207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-Total maize'!$B$79</c:f>
              <c:strCache>
                <c:ptCount val="1"/>
                <c:pt idx="0">
                  <c:v>Lewerings vanaf Mei/Deliveries from May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'Summary -Total maize'!$H$77:$W$77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2020/21</c:v>
                </c:pt>
                <c:pt idx="4">
                  <c:v>2021/22</c:v>
                </c:pt>
                <c:pt idx="5">
                  <c:v>2022/23</c:v>
                </c:pt>
                <c:pt idx="6">
                  <c:v>2023/24</c:v>
                </c:pt>
                <c:pt idx="7">
                  <c:v>2024/25*</c:v>
                </c:pt>
                <c:pt idx="8">
                  <c:v>2025/26</c:v>
                </c:pt>
                <c:pt idx="10">
                  <c:v>5 Yr. AVG</c:v>
                </c:pt>
              </c:strCache>
            </c:strRef>
          </c:cat>
          <c:val>
            <c:numRef>
              <c:f>'Summary -Total maize'!$H$79:$W$79</c:f>
              <c:numCache>
                <c:formatCode>_ * #\ ##0_ ;_ * \-#\ ##0_ ;_ * "-"??_ ;_ @_ </c:formatCode>
                <c:ptCount val="11"/>
                <c:pt idx="0">
                  <c:v>11016607</c:v>
                </c:pt>
                <c:pt idx="1">
                  <c:v>10495155</c:v>
                </c:pt>
                <c:pt idx="2">
                  <c:v>13275986</c:v>
                </c:pt>
                <c:pt idx="3">
                  <c:v>14317510</c:v>
                </c:pt>
                <c:pt idx="4">
                  <c:v>14865206</c:v>
                </c:pt>
                <c:pt idx="5">
                  <c:v>14507386</c:v>
                </c:pt>
                <c:pt idx="6">
                  <c:v>15126437</c:v>
                </c:pt>
                <c:pt idx="7">
                  <c:v>11409996</c:v>
                </c:pt>
                <c:pt idx="8">
                  <c:v>16284483</c:v>
                </c:pt>
                <c:pt idx="10">
                  <c:v>9497584.1999999993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E-44E2-809B-58C8F8C45F62}"/>
            </c:ext>
          </c:extLst>
        </c:ser>
        <c:ser>
          <c:idx val="1"/>
          <c:order val="1"/>
          <c:tx>
            <c:strRef>
              <c:f>'Summary -Total maize'!$B$80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'Summary -Total maize'!$H$77:$W$77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2020/21</c:v>
                </c:pt>
                <c:pt idx="4">
                  <c:v>2021/22</c:v>
                </c:pt>
                <c:pt idx="5">
                  <c:v>2022/23</c:v>
                </c:pt>
                <c:pt idx="6">
                  <c:v>2023/24</c:v>
                </c:pt>
                <c:pt idx="7">
                  <c:v>2024/25*</c:v>
                </c:pt>
                <c:pt idx="8">
                  <c:v>2025/26</c:v>
                </c:pt>
                <c:pt idx="10">
                  <c:v>5 Yr. AVG</c:v>
                </c:pt>
              </c:strCache>
            </c:strRef>
          </c:cat>
          <c:val>
            <c:numRef>
              <c:f>'Summary -Total maize'!$H$80:$W$80</c:f>
              <c:numCache>
                <c:formatCode>_ * #\ ##0_ ;_ * \-#\ ##0_ ;_ * "-"??_ ;_ @_ </c:formatCode>
                <c:ptCount val="11"/>
                <c:pt idx="0">
                  <c:v>11770050</c:v>
                </c:pt>
                <c:pt idx="1">
                  <c:v>10921189</c:v>
                </c:pt>
                <c:pt idx="2">
                  <c:v>13754770</c:v>
                </c:pt>
                <c:pt idx="3">
                  <c:v>14665242</c:v>
                </c:pt>
                <c:pt idx="4">
                  <c:v>15822513</c:v>
                </c:pt>
                <c:pt idx="5">
                  <c:v>14921434</c:v>
                </c:pt>
                <c:pt idx="6">
                  <c:v>15829936</c:v>
                </c:pt>
                <c:pt idx="7">
                  <c:v>12517654</c:v>
                </c:pt>
                <c:pt idx="8">
                  <c:v>16914936</c:v>
                </c:pt>
                <c:pt idx="10">
                  <c:v>9985825.1999999993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E-44E2-809B-58C8F8C4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154271"/>
        <c:axId val="1"/>
      </c:barChart>
      <c:lineChart>
        <c:grouping val="standard"/>
        <c:varyColors val="0"/>
        <c:ser>
          <c:idx val="2"/>
          <c:order val="2"/>
          <c:tx>
            <c:strRef>
              <c:f>'Summary -Total maize'!$B$82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4"/>
            <c:spPr>
              <a:solidFill>
                <a:srgbClr val="0070C0"/>
              </a:solidFill>
              <a:ln w="9525">
                <a:solidFill>
                  <a:srgbClr val="0070C0">
                    <a:alpha val="96000"/>
                  </a:srgbClr>
                </a:solidFill>
              </a:ln>
              <a:effectLst/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'Summary -Total maize'!$H$77:$W$77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2020/21</c:v>
                </c:pt>
                <c:pt idx="4">
                  <c:v>2021/22</c:v>
                </c:pt>
                <c:pt idx="5">
                  <c:v>2022/23</c:v>
                </c:pt>
                <c:pt idx="6">
                  <c:v>2023/24</c:v>
                </c:pt>
                <c:pt idx="7">
                  <c:v>2024/25*</c:v>
                </c:pt>
                <c:pt idx="8">
                  <c:v>2025/26</c:v>
                </c:pt>
                <c:pt idx="10">
                  <c:v>5 Yr. AVG</c:v>
                </c:pt>
              </c:strCache>
            </c:strRef>
          </c:cat>
          <c:val>
            <c:numRef>
              <c:f>'Summary -Total maize'!$H$82:$W$82</c:f>
              <c:numCache>
                <c:formatCode>0%</c:formatCode>
                <c:ptCount val="11"/>
                <c:pt idx="0">
                  <c:v>1.0070951563121411</c:v>
                </c:pt>
                <c:pt idx="1">
                  <c:v>0.96198291010253079</c:v>
                </c:pt>
                <c:pt idx="2">
                  <c:v>1.001778614658666</c:v>
                </c:pt>
                <c:pt idx="3">
                  <c:v>0.9933909601220906</c:v>
                </c:pt>
                <c:pt idx="4">
                  <c:v>1.0083814288445605</c:v>
                </c:pt>
                <c:pt idx="5">
                  <c:v>1.0012369321613097</c:v>
                </c:pt>
                <c:pt idx="6">
                  <c:v>1.005060943573822</c:v>
                </c:pt>
                <c:pt idx="7" formatCode="0.0%">
                  <c:v>0.77197513428841014</c:v>
                </c:pt>
                <c:pt idx="8" formatCode="0.0%">
                  <c:v>1.0441254066332923</c:v>
                </c:pt>
                <c:pt idx="9" formatCode="0.0%">
                  <c:v>0</c:v>
                </c:pt>
                <c:pt idx="10">
                  <c:v>0.69469475853856089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E-44E2-809B-58C8F8C4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715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Million Ton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154271"/>
        <c:crosses val="autoZero"/>
        <c:crossBetween val="between"/>
        <c:dispUnits>
          <c:builtInUnit val="million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one"/>
        <c:spPr>
          <a:ln w="9525">
            <a:noFill/>
          </a:ln>
        </c:sp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b"/>
      <c:layout>
        <c:manualLayout>
          <c:xMode val="edge"/>
          <c:yMode val="edge"/>
          <c:x val="1.9245325866995599E-3"/>
          <c:y val="0.91368678915135604"/>
          <c:w val="0.99761781192392363"/>
          <c:h val="7.41919987274318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7" right="0.7" top="1.13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313EA1-C826-41B3-9BB2-EBDE83B6E813}">
  <sheetPr/>
  <sheetViews>
    <sheetView zoomScale="8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FF3589-19DE-493A-876D-C83E47C57386}">
  <sheetPr/>
  <sheetViews>
    <sheetView tabSelected="1" zoomScale="7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97551E-9A48-48AA-A204-DCD794054D9A}">
  <sheetPr/>
  <sheetViews>
    <sheetView zoomScale="8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1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1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91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591725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1606893" cy="757917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9B20BC-601A-10B7-EF61-900C791D9F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1606893" cy="757917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6DF2-EBE4-E64E-E9A3-574302F45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</xdr:colOff>
      <xdr:row>1</xdr:row>
      <xdr:rowOff>118152</xdr:rowOff>
    </xdr:from>
    <xdr:to>
      <xdr:col>35</xdr:col>
      <xdr:colOff>558800</xdr:colOff>
      <xdr:row>55</xdr:row>
      <xdr:rowOff>137034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A2F8A4-607F-9035-C567-707135017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4854</xdr:colOff>
      <xdr:row>58</xdr:row>
      <xdr:rowOff>5863</xdr:rowOff>
    </xdr:from>
    <xdr:to>
      <xdr:col>36</xdr:col>
      <xdr:colOff>0</xdr:colOff>
      <xdr:row>91</xdr:row>
      <xdr:rowOff>150091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204BA4-350B-C9EF-9D36-B1986406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1904</xdr:colOff>
      <xdr:row>68</xdr:row>
      <xdr:rowOff>23812</xdr:rowOff>
    </xdr:from>
    <xdr:to>
      <xdr:col>6</xdr:col>
      <xdr:colOff>133349</xdr:colOff>
      <xdr:row>91</xdr:row>
      <xdr:rowOff>64769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1EE5ED-2C27-30B5-032C-8131933C8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511356</xdr:colOff>
      <xdr:row>68</xdr:row>
      <xdr:rowOff>17689</xdr:rowOff>
    </xdr:from>
    <xdr:to>
      <xdr:col>13</xdr:col>
      <xdr:colOff>779417</xdr:colOff>
      <xdr:row>91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40BE9C-7DE6-782A-7063-517DBEABA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3</xdr:row>
      <xdr:rowOff>38098</xdr:rowOff>
    </xdr:from>
    <xdr:to>
      <xdr:col>13</xdr:col>
      <xdr:colOff>133350</xdr:colOff>
      <xdr:row>27</xdr:row>
      <xdr:rowOff>133349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823864" cy="7858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35" cy="6069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703" cy="62885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703" cy="62885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426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EBE947-9BEC-466C-878D-2145AAA86FD1}" name="Table1" displayName="Table1" ref="B3:N56" totalsRowShown="0" headerRowDxfId="16" headerRowBorderDxfId="15" tableBorderDxfId="14" totalsRowBorderDxfId="13">
  <autoFilter ref="B3:N56" xr:uid="{EAEBE947-9BEC-466C-878D-2145AAA86F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5E4B176-C5F0-4C35-B704-B8989505B6CF}" name="Week Number" dataDxfId="12"/>
    <tableColumn id="2" xr3:uid="{4A09FD99-BF6F-465E-B6C8-7AF2129A0949}" name="Return Week" dataDxfId="11"/>
    <tableColumn id="3" xr3:uid="{878462FD-9484-4515-8493-2DA43F4091ED}" name="WM1" dataDxfId="10"/>
    <tableColumn id="4" xr3:uid="{B805216F-9355-4B71-B53D-8FD1790D25A1}" name="WM2" dataDxfId="9"/>
    <tableColumn id="5" xr3:uid="{4E652AAD-F9FC-4D5F-BEF0-41CAACFB87F6}" name="WM3" dataDxfId="8"/>
    <tableColumn id="6" xr3:uid="{684DC9B7-0546-414D-99C4-1CB1B184F914}" name="WMO" dataDxfId="7"/>
    <tableColumn id="7" xr3:uid="{500CED5D-FE3E-4357-8496-74D8B45AAC85}" name="White Total" dataDxfId="6">
      <calculatedColumnFormula>SUM(Table1[[#This Row],[WM1]:[WMO]])</calculatedColumnFormula>
    </tableColumn>
    <tableColumn id="8" xr3:uid="{D9801F91-9593-4981-A1AA-15A1CD2EBF4D}" name="YM1" dataDxfId="5"/>
    <tableColumn id="9" xr3:uid="{F925BAD8-A08F-4272-892E-5AD07FBB19E8}" name="YM2" dataDxfId="4"/>
    <tableColumn id="10" xr3:uid="{3F6B51A0-F374-444D-9D30-DB7863EA5A82}" name="YM3" dataDxfId="3"/>
    <tableColumn id="11" xr3:uid="{291093E4-B6EE-4B84-8720-6E71C651D904}" name="YMO" dataDxfId="2"/>
    <tableColumn id="12" xr3:uid="{715E7DED-0907-4DE2-B9E5-E0AC698932BC}" name="Yellow Total" dataDxfId="1">
      <calculatedColumnFormula>SUM(Table1[[#This Row],[YM1]:[YMO]])</calculatedColumnFormula>
    </tableColumn>
    <tableColumn id="13" xr3:uid="{B1627678-6022-4B2F-80EB-DA06502FE9C5}" name="Grand Total " dataDxfId="0">
      <calculatedColumnFormula>SUM(Table1[[#This Row],[White Total]],M4)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0"/>
  <sheetViews>
    <sheetView showGridLines="0" zoomScale="90" zoomScaleNormal="90" workbookViewId="0">
      <selection activeCell="C13" sqref="C13"/>
    </sheetView>
  </sheetViews>
  <sheetFormatPr defaultColWidth="8.77734375" defaultRowHeight="13.2" x14ac:dyDescent="0.25"/>
  <cols>
    <col min="2" max="2" width="68.5546875" bestFit="1" customWidth="1"/>
    <col min="3" max="3" width="14.109375" bestFit="1" customWidth="1"/>
    <col min="4" max="4" width="16" bestFit="1" customWidth="1"/>
    <col min="5" max="5" width="16.109375" bestFit="1" customWidth="1"/>
    <col min="6" max="6" width="68" customWidth="1"/>
    <col min="7" max="7" width="9.33203125" customWidth="1"/>
    <col min="8" max="8" width="12.33203125" bestFit="1" customWidth="1"/>
    <col min="9" max="9" width="9.33203125" customWidth="1"/>
  </cols>
  <sheetData>
    <row r="1" spans="2:8" ht="13.8" thickBot="1" x14ac:dyDescent="0.3"/>
    <row r="2" spans="2:8" ht="17.399999999999999" x14ac:dyDescent="0.3">
      <c r="B2" s="514" t="s">
        <v>0</v>
      </c>
      <c r="C2" s="515"/>
      <c r="D2" s="515"/>
      <c r="E2" s="515"/>
      <c r="F2" s="516"/>
      <c r="G2" s="320"/>
    </row>
    <row r="3" spans="2:8" ht="18" thickBot="1" x14ac:dyDescent="0.35">
      <c r="B3" s="517" t="s">
        <v>160</v>
      </c>
      <c r="C3" s="518"/>
      <c r="D3" s="518"/>
      <c r="E3" s="518"/>
      <c r="F3" s="519"/>
    </row>
    <row r="4" spans="2:8" ht="15.6" x14ac:dyDescent="0.3">
      <c r="B4" s="480"/>
      <c r="C4" s="481" t="s">
        <v>1</v>
      </c>
      <c r="D4" s="482" t="s">
        <v>2</v>
      </c>
      <c r="E4" s="481" t="s">
        <v>3</v>
      </c>
      <c r="F4" s="483"/>
    </row>
    <row r="5" spans="2:8" ht="15.6" x14ac:dyDescent="0.25">
      <c r="B5" s="595" t="s">
        <v>154</v>
      </c>
      <c r="C5" s="596">
        <f>SUM('Mielies-Maize 2025'!F60:F67)</f>
        <v>339176</v>
      </c>
      <c r="D5" s="597">
        <f>SUM('Mielies-Maize 2025'!J60:J67)</f>
        <v>426369</v>
      </c>
      <c r="E5" s="596">
        <f>C5+D5</f>
        <v>765545</v>
      </c>
      <c r="F5" s="598" t="s">
        <v>155</v>
      </c>
      <c r="G5" s="320"/>
    </row>
    <row r="6" spans="2:8" ht="15" x14ac:dyDescent="0.25">
      <c r="B6" s="599" t="s">
        <v>4</v>
      </c>
      <c r="C6" s="600">
        <f>'Mielies-Maize 2026'!G18</f>
        <v>125901</v>
      </c>
      <c r="D6" s="601">
        <f>'Mielies-Maize 2026'!J68</f>
        <v>279255</v>
      </c>
      <c r="E6" s="596">
        <f>C6+D6</f>
        <v>405156</v>
      </c>
      <c r="F6" s="602" t="s">
        <v>5</v>
      </c>
      <c r="G6" s="320"/>
    </row>
    <row r="7" spans="2:8" ht="16.2" thickBot="1" x14ac:dyDescent="0.3">
      <c r="B7" s="603" t="s">
        <v>6</v>
      </c>
      <c r="C7" s="604">
        <f>C5+C6</f>
        <v>465077</v>
      </c>
      <c r="D7" s="605">
        <f>D5+D6</f>
        <v>705624</v>
      </c>
      <c r="E7" s="604">
        <f>C7+D7</f>
        <v>1170701</v>
      </c>
      <c r="F7" s="606" t="s">
        <v>7</v>
      </c>
      <c r="H7" s="8"/>
    </row>
    <row r="8" spans="2:8" ht="15.6" thickTop="1" x14ac:dyDescent="0.25">
      <c r="B8" s="607" t="s">
        <v>157</v>
      </c>
      <c r="C8" s="608">
        <f>'Summary -White maize'!Y18</f>
        <v>9084650</v>
      </c>
      <c r="D8" s="609">
        <f>'Summary -Yellow maize'!Y19</f>
        <v>7750450</v>
      </c>
      <c r="E8" s="608">
        <f>C8+D8</f>
        <v>16835100</v>
      </c>
      <c r="F8" s="610" t="s">
        <v>158</v>
      </c>
      <c r="G8" s="8"/>
      <c r="H8" s="8"/>
    </row>
    <row r="9" spans="2:8" ht="30" x14ac:dyDescent="0.25">
      <c r="B9" s="611" t="s">
        <v>8</v>
      </c>
      <c r="C9" s="612">
        <v>195000</v>
      </c>
      <c r="D9" s="613">
        <v>440000</v>
      </c>
      <c r="E9" s="612">
        <f>C9+D9</f>
        <v>635000</v>
      </c>
      <c r="F9" s="614" t="s">
        <v>9</v>
      </c>
    </row>
    <row r="10" spans="2:8" ht="31.2" x14ac:dyDescent="0.25">
      <c r="B10" s="484" t="s">
        <v>10</v>
      </c>
      <c r="C10" s="485">
        <f>C8-C9</f>
        <v>8889650</v>
      </c>
      <c r="D10" s="486">
        <f>D8-D9</f>
        <v>7310450</v>
      </c>
      <c r="E10" s="485">
        <f>E8-E9</f>
        <v>16200100</v>
      </c>
      <c r="F10" s="485" t="s">
        <v>11</v>
      </c>
      <c r="G10" s="13"/>
    </row>
    <row r="11" spans="2:8" ht="31.2" x14ac:dyDescent="0.25">
      <c r="B11" s="615" t="s">
        <v>12</v>
      </c>
      <c r="C11" s="616">
        <f>C7/C10</f>
        <v>5.2316682884028055E-2</v>
      </c>
      <c r="D11" s="617">
        <f>D7/D10</f>
        <v>9.6522649084529677E-2</v>
      </c>
      <c r="E11" s="616">
        <f>E7/E10</f>
        <v>7.2265047746618849E-2</v>
      </c>
      <c r="F11" s="618" t="s">
        <v>13</v>
      </c>
    </row>
    <row r="12" spans="2:8" ht="15" x14ac:dyDescent="0.25">
      <c r="B12" s="619" t="s">
        <v>14</v>
      </c>
      <c r="C12" s="596">
        <f>C10-C7</f>
        <v>8424573</v>
      </c>
      <c r="D12" s="597">
        <f>D10-D7</f>
        <v>6604826</v>
      </c>
      <c r="E12" s="596">
        <f>E10-E7</f>
        <v>15029399</v>
      </c>
      <c r="F12" s="620" t="s">
        <v>15</v>
      </c>
    </row>
    <row r="13" spans="2:8" ht="15" x14ac:dyDescent="0.25">
      <c r="B13" s="619" t="s">
        <v>16</v>
      </c>
      <c r="C13" s="620">
        <f>52-'Summary -White maize'!B20</f>
        <v>49</v>
      </c>
      <c r="D13" s="620">
        <f>52-'Summary -Yellow maize'!B21</f>
        <v>49</v>
      </c>
      <c r="E13" s="620">
        <f>52-'Summary -Total maize'!B21</f>
        <v>49</v>
      </c>
      <c r="F13" s="620" t="s">
        <v>17</v>
      </c>
    </row>
    <row r="14" spans="2:8" ht="15.6" x14ac:dyDescent="0.25">
      <c r="B14" s="621" t="s">
        <v>18</v>
      </c>
      <c r="C14" s="622">
        <f>C12/C13</f>
        <v>171930.06122448979</v>
      </c>
      <c r="D14" s="623">
        <f>D12/D13</f>
        <v>134792.36734693879</v>
      </c>
      <c r="E14" s="622">
        <f>E12/E13</f>
        <v>306722.42857142858</v>
      </c>
      <c r="F14" s="624" t="s">
        <v>19</v>
      </c>
      <c r="H14" s="479"/>
    </row>
    <row r="15" spans="2:8" ht="15.6" x14ac:dyDescent="0.25">
      <c r="B15" s="625" t="s">
        <v>146</v>
      </c>
      <c r="C15" s="626">
        <v>406311</v>
      </c>
      <c r="D15" s="626">
        <v>687057</v>
      </c>
      <c r="E15" s="626">
        <f>C15+D15</f>
        <v>1093368</v>
      </c>
      <c r="F15" s="627" t="s">
        <v>144</v>
      </c>
    </row>
    <row r="16" spans="2:8" ht="15.6" x14ac:dyDescent="0.25">
      <c r="B16" s="625" t="s">
        <v>147</v>
      </c>
      <c r="C16" s="626">
        <f>'Summary -White maize'!W20</f>
        <v>497100.6</v>
      </c>
      <c r="D16" s="626">
        <f>'Summary -Yellow maize'!X21</f>
        <v>707838.4</v>
      </c>
      <c r="E16" s="626">
        <f>SUM(C16+D16)</f>
        <v>1204939</v>
      </c>
      <c r="F16" s="627" t="s">
        <v>145</v>
      </c>
    </row>
    <row r="17" spans="2:8" ht="15.6" x14ac:dyDescent="0.3">
      <c r="B17" s="511" t="s">
        <v>20</v>
      </c>
      <c r="C17" s="512"/>
      <c r="D17" s="512"/>
      <c r="E17" s="512"/>
      <c r="F17" s="513"/>
    </row>
    <row r="18" spans="2:8" ht="15.6" x14ac:dyDescent="0.3">
      <c r="B18" s="520" t="s">
        <v>21</v>
      </c>
      <c r="C18" s="521"/>
      <c r="D18" s="521"/>
      <c r="E18" s="521"/>
      <c r="F18" s="522"/>
    </row>
    <row r="19" spans="2:8" ht="15.6" x14ac:dyDescent="0.3">
      <c r="B19" s="520" t="s">
        <v>22</v>
      </c>
      <c r="C19" s="521"/>
      <c r="D19" s="521"/>
      <c r="E19" s="521"/>
      <c r="F19" s="522"/>
    </row>
    <row r="20" spans="2:8" ht="15.6" x14ac:dyDescent="0.3">
      <c r="B20" s="520" t="s">
        <v>23</v>
      </c>
      <c r="C20" s="521"/>
      <c r="D20" s="521"/>
      <c r="E20" s="521"/>
      <c r="F20" s="522"/>
    </row>
    <row r="21" spans="2:8" ht="15.6" x14ac:dyDescent="0.3">
      <c r="B21" s="523" t="s">
        <v>24</v>
      </c>
      <c r="C21" s="524"/>
      <c r="D21" s="524"/>
      <c r="E21" s="524"/>
      <c r="F21" s="525"/>
      <c r="H21" s="479"/>
    </row>
    <row r="22" spans="2:8" ht="16.2" thickBot="1" x14ac:dyDescent="0.35">
      <c r="B22" s="508" t="s">
        <v>25</v>
      </c>
      <c r="C22" s="509"/>
      <c r="D22" s="509"/>
      <c r="E22" s="509"/>
      <c r="F22" s="510"/>
    </row>
    <row r="23" spans="2:8" x14ac:dyDescent="0.25">
      <c r="B23" s="14"/>
    </row>
    <row r="24" spans="2:8" x14ac:dyDescent="0.25">
      <c r="E24" s="8"/>
    </row>
    <row r="25" spans="2:8" x14ac:dyDescent="0.25">
      <c r="C25" s="8"/>
      <c r="D25" s="8"/>
    </row>
    <row r="26" spans="2:8" x14ac:dyDescent="0.25">
      <c r="C26" s="101"/>
      <c r="D26" s="101"/>
      <c r="E26" s="159"/>
      <c r="F26" s="160"/>
    </row>
    <row r="27" spans="2:8" x14ac:dyDescent="0.25">
      <c r="C27" s="101"/>
      <c r="D27" s="101"/>
      <c r="E27" s="159"/>
      <c r="F27" s="160"/>
    </row>
    <row r="29" spans="2:8" x14ac:dyDescent="0.25">
      <c r="C29" s="8"/>
      <c r="D29" s="8"/>
    </row>
    <row r="30" spans="2:8" x14ac:dyDescent="0.25">
      <c r="C30" s="8"/>
    </row>
  </sheetData>
  <mergeCells count="8">
    <mergeCell ref="B22:F22"/>
    <mergeCell ref="B17:F17"/>
    <mergeCell ref="B2:F2"/>
    <mergeCell ref="B3:F3"/>
    <mergeCell ref="B18:F18"/>
    <mergeCell ref="B19:F19"/>
    <mergeCell ref="B20:F20"/>
    <mergeCell ref="B21:F21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8"/>
  <sheetViews>
    <sheetView zoomScale="80" zoomScaleNormal="80" workbookViewId="0">
      <pane xSplit="3" ySplit="5" topLeftCell="D16" activePane="bottomRight" state="frozen"/>
      <selection pane="topRight" activeCell="D1" sqref="D1"/>
      <selection pane="bottomLeft" activeCell="A6" sqref="A6"/>
      <selection pane="bottomRight" activeCell="P24" sqref="P24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236" bestFit="1" customWidth="1"/>
    <col min="4" max="4" width="13.33203125" style="96" customWidth="1"/>
    <col min="5" max="5" width="12" style="2" customWidth="1"/>
    <col min="6" max="6" width="13.33203125" style="7" customWidth="1"/>
    <col min="7" max="7" width="13" style="6" customWidth="1"/>
    <col min="8" max="8" width="13.33203125" style="5" customWidth="1"/>
    <col min="9" max="9" width="11.77734375" style="5" bestFit="1" customWidth="1"/>
    <col min="10" max="10" width="11.33203125" style="7" bestFit="1" customWidth="1"/>
    <col min="11" max="11" width="13.77734375" style="6" bestFit="1" customWidth="1"/>
    <col min="12" max="12" width="13.33203125" style="96" customWidth="1"/>
    <col min="13" max="13" width="12.44140625" style="96" customWidth="1"/>
    <col min="14" max="14" width="12.109375" style="7" customWidth="1"/>
    <col min="15" max="15" width="13.109375" style="6" bestFit="1" customWidth="1"/>
    <col min="16" max="16" width="30" style="2" customWidth="1"/>
    <col min="17" max="17" width="30.44140625" style="2" customWidth="1"/>
    <col min="18" max="18" width="12.33203125" style="2" bestFit="1" customWidth="1"/>
    <col min="19" max="19" width="12.109375" style="2" bestFit="1" customWidth="1"/>
    <col min="20" max="20" width="13.109375" style="2" bestFit="1" customWidth="1"/>
    <col min="21" max="21" width="36" style="2" customWidth="1"/>
    <col min="22" max="16384" width="8.77734375" style="2"/>
  </cols>
  <sheetData>
    <row r="1" spans="1:15" ht="13.8" x14ac:dyDescent="0.25">
      <c r="A1" s="27"/>
      <c r="B1" s="27"/>
      <c r="C1" s="234"/>
      <c r="D1" s="94"/>
      <c r="E1" s="27"/>
      <c r="F1" s="28"/>
      <c r="G1" s="29"/>
      <c r="H1" s="93"/>
      <c r="I1" s="94"/>
      <c r="J1" s="28"/>
      <c r="K1" s="29"/>
      <c r="L1" s="94"/>
      <c r="M1" s="94"/>
      <c r="N1" s="28"/>
      <c r="O1" s="29"/>
    </row>
    <row r="2" spans="1:15" ht="24" customHeight="1" thickBot="1" x14ac:dyDescent="0.3">
      <c r="A2" s="27"/>
      <c r="B2" s="529" t="s">
        <v>26</v>
      </c>
      <c r="C2" s="529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15" s="3" customFormat="1" ht="18.600000000000001" thickTop="1" thickBot="1" x14ac:dyDescent="0.35">
      <c r="A3" s="30"/>
      <c r="B3" s="31"/>
      <c r="C3" s="390"/>
      <c r="D3" s="526" t="s">
        <v>27</v>
      </c>
      <c r="E3" s="527"/>
      <c r="F3" s="527"/>
      <c r="G3" s="528"/>
      <c r="H3" s="526" t="s">
        <v>28</v>
      </c>
      <c r="I3" s="527"/>
      <c r="J3" s="527"/>
      <c r="K3" s="528"/>
      <c r="L3" s="526" t="s">
        <v>29</v>
      </c>
      <c r="M3" s="527"/>
      <c r="N3" s="527"/>
      <c r="O3" s="528"/>
    </row>
    <row r="4" spans="1:15" s="1" customFormat="1" ht="29.4" thickBot="1" x14ac:dyDescent="0.3">
      <c r="A4" s="30"/>
      <c r="B4" s="32" t="s">
        <v>30</v>
      </c>
      <c r="C4" s="235" t="s">
        <v>31</v>
      </c>
      <c r="D4" s="409" t="s">
        <v>32</v>
      </c>
      <c r="E4" s="32" t="s">
        <v>33</v>
      </c>
      <c r="F4" s="32" t="s">
        <v>34</v>
      </c>
      <c r="G4" s="397" t="s">
        <v>35</v>
      </c>
      <c r="H4" s="396" t="s">
        <v>32</v>
      </c>
      <c r="I4" s="95" t="s">
        <v>33</v>
      </c>
      <c r="J4" s="32" t="s">
        <v>34</v>
      </c>
      <c r="K4" s="397" t="s">
        <v>35</v>
      </c>
      <c r="L4" s="409" t="s">
        <v>32</v>
      </c>
      <c r="M4" s="95" t="s">
        <v>33</v>
      </c>
      <c r="N4" s="32" t="s">
        <v>34</v>
      </c>
      <c r="O4" s="397" t="s">
        <v>35</v>
      </c>
    </row>
    <row r="5" spans="1:15" s="1" customFormat="1" ht="29.4" thickBot="1" x14ac:dyDescent="0.3">
      <c r="A5" s="30"/>
      <c r="B5" s="32" t="s">
        <v>36</v>
      </c>
      <c r="C5" s="235" t="s">
        <v>37</v>
      </c>
      <c r="D5" s="409" t="s">
        <v>38</v>
      </c>
      <c r="E5" s="32" t="s">
        <v>39</v>
      </c>
      <c r="F5" s="32" t="s">
        <v>40</v>
      </c>
      <c r="G5" s="397" t="s">
        <v>41</v>
      </c>
      <c r="H5" s="396" t="s">
        <v>38</v>
      </c>
      <c r="I5" s="95" t="s">
        <v>39</v>
      </c>
      <c r="J5" s="32" t="s">
        <v>40</v>
      </c>
      <c r="K5" s="397" t="s">
        <v>41</v>
      </c>
      <c r="L5" s="409" t="s">
        <v>38</v>
      </c>
      <c r="M5" s="95" t="s">
        <v>39</v>
      </c>
      <c r="N5" s="32" t="s">
        <v>40</v>
      </c>
      <c r="O5" s="397" t="s">
        <v>41</v>
      </c>
    </row>
    <row r="6" spans="1:15" ht="14.4" hidden="1" x14ac:dyDescent="0.3">
      <c r="A6" s="27">
        <f t="shared" ref="A6:A13" si="0">A5+1</f>
        <v>1</v>
      </c>
      <c r="B6" s="35">
        <v>45</v>
      </c>
      <c r="C6" s="391">
        <v>45359</v>
      </c>
      <c r="D6" s="398">
        <v>21594</v>
      </c>
      <c r="E6" s="226">
        <v>2327</v>
      </c>
      <c r="F6" s="34">
        <f t="shared" ref="F6:F13" si="1">D6+E6</f>
        <v>23921</v>
      </c>
      <c r="G6" s="404">
        <v>8103033</v>
      </c>
      <c r="H6" s="398">
        <v>28410</v>
      </c>
      <c r="I6" s="226">
        <v>326</v>
      </c>
      <c r="J6" s="34">
        <f t="shared" ref="J6:J13" si="2">H6+I6</f>
        <v>28736</v>
      </c>
      <c r="K6" s="399">
        <v>7076932</v>
      </c>
      <c r="L6" s="398">
        <f t="shared" ref="L6:L13" si="3">D6+H6</f>
        <v>50004</v>
      </c>
      <c r="M6" s="226">
        <f t="shared" ref="M6:M12" si="4">E6+I6</f>
        <v>2653</v>
      </c>
      <c r="N6" s="34">
        <f t="shared" ref="N6:N13" si="5">L6+M6</f>
        <v>52657</v>
      </c>
      <c r="O6" s="404">
        <v>15179965</v>
      </c>
    </row>
    <row r="7" spans="1:15" ht="14.4" hidden="1" x14ac:dyDescent="0.3">
      <c r="A7" s="27">
        <f t="shared" si="0"/>
        <v>2</v>
      </c>
      <c r="B7" s="36">
        <v>46</v>
      </c>
      <c r="C7" s="391">
        <f t="shared" ref="C7:C13" si="6">C6+7</f>
        <v>45366</v>
      </c>
      <c r="D7" s="398">
        <v>34438</v>
      </c>
      <c r="E7" s="226">
        <v>-2001</v>
      </c>
      <c r="F7" s="34">
        <f t="shared" si="1"/>
        <v>32437</v>
      </c>
      <c r="G7" s="404">
        <f t="shared" ref="G7:G13" si="7">G6+F7</f>
        <v>8135470</v>
      </c>
      <c r="H7" s="398">
        <v>38907</v>
      </c>
      <c r="I7" s="226">
        <v>283</v>
      </c>
      <c r="J7" s="34">
        <f t="shared" si="2"/>
        <v>39190</v>
      </c>
      <c r="K7" s="399">
        <f t="shared" ref="K7:K13" si="8">K6+J7</f>
        <v>7116122</v>
      </c>
      <c r="L7" s="398">
        <f t="shared" si="3"/>
        <v>73345</v>
      </c>
      <c r="M7" s="226">
        <f t="shared" si="4"/>
        <v>-1718</v>
      </c>
      <c r="N7" s="34">
        <f t="shared" si="5"/>
        <v>71627</v>
      </c>
      <c r="O7" s="404">
        <f t="shared" ref="O7:O13" si="9">O6+N7</f>
        <v>15251592</v>
      </c>
    </row>
    <row r="8" spans="1:15" ht="14.4" hidden="1" x14ac:dyDescent="0.3">
      <c r="A8" s="27">
        <f t="shared" si="0"/>
        <v>3</v>
      </c>
      <c r="B8" s="33">
        <v>47</v>
      </c>
      <c r="C8" s="391">
        <f t="shared" si="6"/>
        <v>45373</v>
      </c>
      <c r="D8" s="398">
        <v>42452</v>
      </c>
      <c r="E8" s="226">
        <v>-3148</v>
      </c>
      <c r="F8" s="34">
        <f t="shared" si="1"/>
        <v>39304</v>
      </c>
      <c r="G8" s="404">
        <f t="shared" si="7"/>
        <v>8174774</v>
      </c>
      <c r="H8" s="398">
        <v>59644</v>
      </c>
      <c r="I8" s="226">
        <v>-1512</v>
      </c>
      <c r="J8" s="34">
        <f t="shared" si="2"/>
        <v>58132</v>
      </c>
      <c r="K8" s="399">
        <f t="shared" si="8"/>
        <v>7174254</v>
      </c>
      <c r="L8" s="398">
        <f t="shared" si="3"/>
        <v>102096</v>
      </c>
      <c r="M8" s="226">
        <f t="shared" si="4"/>
        <v>-4660</v>
      </c>
      <c r="N8" s="34">
        <f t="shared" si="5"/>
        <v>97436</v>
      </c>
      <c r="O8" s="404">
        <f t="shared" si="9"/>
        <v>15349028</v>
      </c>
    </row>
    <row r="9" spans="1:15" ht="14.4" hidden="1" x14ac:dyDescent="0.3">
      <c r="A9" s="27">
        <f t="shared" si="0"/>
        <v>4</v>
      </c>
      <c r="B9" s="35">
        <v>48</v>
      </c>
      <c r="C9" s="391">
        <f t="shared" si="6"/>
        <v>45380</v>
      </c>
      <c r="D9" s="398">
        <v>32343</v>
      </c>
      <c r="E9" s="226">
        <v>4615</v>
      </c>
      <c r="F9" s="34">
        <f t="shared" si="1"/>
        <v>36958</v>
      </c>
      <c r="G9" s="404">
        <f t="shared" si="7"/>
        <v>8211732</v>
      </c>
      <c r="H9" s="398">
        <v>55115</v>
      </c>
      <c r="I9" s="226">
        <v>20146</v>
      </c>
      <c r="J9" s="34">
        <f t="shared" si="2"/>
        <v>75261</v>
      </c>
      <c r="K9" s="399">
        <f t="shared" si="8"/>
        <v>7249515</v>
      </c>
      <c r="L9" s="398">
        <f t="shared" si="3"/>
        <v>87458</v>
      </c>
      <c r="M9" s="226">
        <f t="shared" si="4"/>
        <v>24761</v>
      </c>
      <c r="N9" s="34">
        <f t="shared" si="5"/>
        <v>112219</v>
      </c>
      <c r="O9" s="404">
        <f t="shared" si="9"/>
        <v>15461247</v>
      </c>
    </row>
    <row r="10" spans="1:15" ht="14.4" hidden="1" x14ac:dyDescent="0.3">
      <c r="A10" s="27">
        <f t="shared" si="0"/>
        <v>5</v>
      </c>
      <c r="B10" s="35">
        <v>49</v>
      </c>
      <c r="C10" s="391">
        <f t="shared" si="6"/>
        <v>45387</v>
      </c>
      <c r="D10" s="398">
        <v>36746</v>
      </c>
      <c r="E10" s="226">
        <v>72</v>
      </c>
      <c r="F10" s="34">
        <f t="shared" si="1"/>
        <v>36818</v>
      </c>
      <c r="G10" s="404">
        <f t="shared" si="7"/>
        <v>8248550</v>
      </c>
      <c r="H10" s="398">
        <v>58426</v>
      </c>
      <c r="I10" s="226">
        <v>874</v>
      </c>
      <c r="J10" s="34">
        <f t="shared" si="2"/>
        <v>59300</v>
      </c>
      <c r="K10" s="399">
        <f t="shared" si="8"/>
        <v>7308815</v>
      </c>
      <c r="L10" s="398">
        <f t="shared" si="3"/>
        <v>95172</v>
      </c>
      <c r="M10" s="226">
        <f t="shared" si="4"/>
        <v>946</v>
      </c>
      <c r="N10" s="34">
        <f t="shared" si="5"/>
        <v>96118</v>
      </c>
      <c r="O10" s="404">
        <f t="shared" si="9"/>
        <v>15557365</v>
      </c>
    </row>
    <row r="11" spans="1:15" ht="14.4" hidden="1" x14ac:dyDescent="0.3">
      <c r="A11" s="27">
        <f t="shared" si="0"/>
        <v>6</v>
      </c>
      <c r="B11" s="36">
        <v>50</v>
      </c>
      <c r="C11" s="391">
        <f t="shared" si="6"/>
        <v>45394</v>
      </c>
      <c r="D11" s="398">
        <v>33910</v>
      </c>
      <c r="E11" s="226">
        <v>0</v>
      </c>
      <c r="F11" s="34">
        <f t="shared" si="1"/>
        <v>33910</v>
      </c>
      <c r="G11" s="404">
        <f t="shared" si="7"/>
        <v>8282460</v>
      </c>
      <c r="H11" s="398">
        <v>55801</v>
      </c>
      <c r="I11" s="226">
        <v>435</v>
      </c>
      <c r="J11" s="34">
        <f t="shared" si="2"/>
        <v>56236</v>
      </c>
      <c r="K11" s="399">
        <f t="shared" si="8"/>
        <v>7365051</v>
      </c>
      <c r="L11" s="398">
        <f t="shared" si="3"/>
        <v>89711</v>
      </c>
      <c r="M11" s="226">
        <f t="shared" si="4"/>
        <v>435</v>
      </c>
      <c r="N11" s="34">
        <f t="shared" si="5"/>
        <v>90146</v>
      </c>
      <c r="O11" s="404">
        <f t="shared" si="9"/>
        <v>15647511</v>
      </c>
    </row>
    <row r="12" spans="1:15" ht="14.4" hidden="1" x14ac:dyDescent="0.3">
      <c r="A12" s="27">
        <f t="shared" si="0"/>
        <v>7</v>
      </c>
      <c r="B12" s="33">
        <v>51</v>
      </c>
      <c r="C12" s="391">
        <f t="shared" si="6"/>
        <v>45401</v>
      </c>
      <c r="D12" s="398">
        <v>48072</v>
      </c>
      <c r="E12" s="226">
        <v>477</v>
      </c>
      <c r="F12" s="34">
        <f t="shared" si="1"/>
        <v>48549</v>
      </c>
      <c r="G12" s="404">
        <f t="shared" si="7"/>
        <v>8331009</v>
      </c>
      <c r="H12" s="398">
        <v>94448</v>
      </c>
      <c r="I12" s="226">
        <v>0</v>
      </c>
      <c r="J12" s="34">
        <f t="shared" si="2"/>
        <v>94448</v>
      </c>
      <c r="K12" s="399">
        <f t="shared" si="8"/>
        <v>7459499</v>
      </c>
      <c r="L12" s="398">
        <f t="shared" si="3"/>
        <v>142520</v>
      </c>
      <c r="M12" s="226">
        <f t="shared" si="4"/>
        <v>477</v>
      </c>
      <c r="N12" s="34">
        <f t="shared" si="5"/>
        <v>142997</v>
      </c>
      <c r="O12" s="404">
        <f t="shared" si="9"/>
        <v>15790508</v>
      </c>
    </row>
    <row r="13" spans="1:15" ht="14.4" hidden="1" x14ac:dyDescent="0.3">
      <c r="A13" s="27">
        <f t="shared" si="0"/>
        <v>8</v>
      </c>
      <c r="B13" s="35">
        <v>52</v>
      </c>
      <c r="C13" s="391">
        <f t="shared" si="6"/>
        <v>45408</v>
      </c>
      <c r="D13" s="412">
        <v>85252</v>
      </c>
      <c r="E13" s="226">
        <v>0</v>
      </c>
      <c r="F13" s="34">
        <f t="shared" si="1"/>
        <v>85252</v>
      </c>
      <c r="G13" s="404">
        <f t="shared" si="7"/>
        <v>8416261</v>
      </c>
      <c r="H13" s="398">
        <v>179247</v>
      </c>
      <c r="I13" s="226">
        <v>0</v>
      </c>
      <c r="J13" s="34">
        <f t="shared" si="2"/>
        <v>179247</v>
      </c>
      <c r="K13" s="399">
        <f t="shared" si="8"/>
        <v>7638746</v>
      </c>
      <c r="L13" s="398">
        <f t="shared" si="3"/>
        <v>264499</v>
      </c>
      <c r="M13" s="226"/>
      <c r="N13" s="34">
        <f t="shared" si="5"/>
        <v>264499</v>
      </c>
      <c r="O13" s="404">
        <f t="shared" si="9"/>
        <v>16055007</v>
      </c>
    </row>
    <row r="14" spans="1:15" ht="13.8" hidden="1" x14ac:dyDescent="0.25">
      <c r="A14" s="27"/>
      <c r="B14" s="27"/>
      <c r="C14" s="234"/>
      <c r="D14" s="400">
        <f t="shared" ref="D14:O14" si="10">SUM(D6:D13)</f>
        <v>334807</v>
      </c>
      <c r="E14" s="393">
        <f t="shared" si="10"/>
        <v>2342</v>
      </c>
      <c r="F14" s="393">
        <f t="shared" si="10"/>
        <v>337149</v>
      </c>
      <c r="G14" s="401">
        <f t="shared" si="10"/>
        <v>65903289</v>
      </c>
      <c r="H14" s="400">
        <f t="shared" si="10"/>
        <v>569998</v>
      </c>
      <c r="I14" s="393">
        <f t="shared" si="10"/>
        <v>20552</v>
      </c>
      <c r="J14" s="393">
        <f t="shared" si="10"/>
        <v>590550</v>
      </c>
      <c r="K14" s="401">
        <f t="shared" si="10"/>
        <v>58388934</v>
      </c>
      <c r="L14" s="400">
        <f t="shared" si="10"/>
        <v>904805</v>
      </c>
      <c r="M14" s="393">
        <f t="shared" si="10"/>
        <v>22894</v>
      </c>
      <c r="N14" s="393">
        <f t="shared" si="10"/>
        <v>927699</v>
      </c>
      <c r="O14" s="401">
        <f t="shared" si="10"/>
        <v>124292223</v>
      </c>
    </row>
    <row r="15" spans="1:15" ht="13.8" hidden="1" x14ac:dyDescent="0.25">
      <c r="A15" s="27"/>
      <c r="B15" s="27"/>
      <c r="C15" s="234"/>
      <c r="D15" s="410"/>
      <c r="E15" s="394"/>
      <c r="F15" s="395"/>
      <c r="G15" s="403"/>
      <c r="H15" s="402"/>
      <c r="I15" s="394"/>
      <c r="J15" s="395"/>
      <c r="K15" s="403"/>
      <c r="L15" s="410"/>
      <c r="M15" s="94"/>
      <c r="N15" s="28"/>
      <c r="O15" s="411"/>
    </row>
    <row r="16" spans="1:15" ht="14.4" x14ac:dyDescent="0.3">
      <c r="A16" s="27">
        <v>1</v>
      </c>
      <c r="B16" s="33">
        <v>1</v>
      </c>
      <c r="C16" s="392">
        <v>45779</v>
      </c>
      <c r="D16" s="398">
        <v>15500</v>
      </c>
      <c r="E16" s="226">
        <v>8787</v>
      </c>
      <c r="F16" s="34">
        <v>24287</v>
      </c>
      <c r="G16" s="404">
        <v>24287</v>
      </c>
      <c r="H16" s="398">
        <v>50748</v>
      </c>
      <c r="I16" s="226">
        <v>3350</v>
      </c>
      <c r="J16" s="34">
        <v>54098</v>
      </c>
      <c r="K16" s="404">
        <v>54098</v>
      </c>
      <c r="L16" s="398">
        <v>66248</v>
      </c>
      <c r="M16" s="226">
        <v>12137</v>
      </c>
      <c r="N16" s="34">
        <v>78385</v>
      </c>
      <c r="O16" s="404">
        <v>78385</v>
      </c>
    </row>
    <row r="17" spans="1:15" ht="14.4" x14ac:dyDescent="0.3">
      <c r="A17" s="27">
        <f>A16+1</f>
        <v>2</v>
      </c>
      <c r="B17" s="36">
        <v>2</v>
      </c>
      <c r="C17" s="391">
        <f t="shared" ref="C17:C67" si="11">C16+7</f>
        <v>45786</v>
      </c>
      <c r="D17" s="398">
        <v>42718</v>
      </c>
      <c r="E17" s="226">
        <v>2662</v>
      </c>
      <c r="F17" s="34">
        <v>45380</v>
      </c>
      <c r="G17" s="404">
        <v>69667</v>
      </c>
      <c r="H17" s="398">
        <v>108680</v>
      </c>
      <c r="I17" s="226">
        <v>6600</v>
      </c>
      <c r="J17" s="34">
        <v>115280</v>
      </c>
      <c r="K17" s="404">
        <v>169378</v>
      </c>
      <c r="L17" s="398">
        <v>151398</v>
      </c>
      <c r="M17" s="226">
        <v>9262</v>
      </c>
      <c r="N17" s="34">
        <v>160660</v>
      </c>
      <c r="O17" s="404">
        <v>239045</v>
      </c>
    </row>
    <row r="18" spans="1:15" ht="14.4" x14ac:dyDescent="0.3">
      <c r="A18" s="27">
        <f t="shared" ref="A18:A67" si="12">A17+1</f>
        <v>3</v>
      </c>
      <c r="B18" s="33">
        <v>3</v>
      </c>
      <c r="C18" s="391">
        <f t="shared" si="11"/>
        <v>45793</v>
      </c>
      <c r="D18" s="398">
        <v>83153</v>
      </c>
      <c r="E18" s="226">
        <v>7437</v>
      </c>
      <c r="F18" s="34">
        <v>90590</v>
      </c>
      <c r="G18" s="404">
        <v>160257</v>
      </c>
      <c r="H18" s="398">
        <v>168315</v>
      </c>
      <c r="I18" s="226">
        <v>9056</v>
      </c>
      <c r="J18" s="34">
        <v>177371</v>
      </c>
      <c r="K18" s="404">
        <v>346749</v>
      </c>
      <c r="L18" s="398">
        <v>251468</v>
      </c>
      <c r="M18" s="226">
        <v>16493</v>
      </c>
      <c r="N18" s="34">
        <v>267961</v>
      </c>
      <c r="O18" s="404">
        <v>507006</v>
      </c>
    </row>
    <row r="19" spans="1:15" ht="14.4" x14ac:dyDescent="0.3">
      <c r="A19" s="27">
        <f t="shared" si="12"/>
        <v>4</v>
      </c>
      <c r="B19" s="35">
        <v>4</v>
      </c>
      <c r="C19" s="391">
        <f t="shared" si="11"/>
        <v>45800</v>
      </c>
      <c r="D19" s="398">
        <v>187756</v>
      </c>
      <c r="E19" s="226">
        <v>7085</v>
      </c>
      <c r="F19" s="34">
        <v>194841</v>
      </c>
      <c r="G19" s="404">
        <v>355098</v>
      </c>
      <c r="H19" s="398">
        <v>258540</v>
      </c>
      <c r="I19" s="226">
        <v>3596</v>
      </c>
      <c r="J19" s="34">
        <v>262136</v>
      </c>
      <c r="K19" s="404">
        <v>608885</v>
      </c>
      <c r="L19" s="398">
        <v>446296</v>
      </c>
      <c r="M19" s="226">
        <v>10681</v>
      </c>
      <c r="N19" s="34">
        <v>456977</v>
      </c>
      <c r="O19" s="404">
        <v>963983</v>
      </c>
    </row>
    <row r="20" spans="1:15" ht="14.4" x14ac:dyDescent="0.3">
      <c r="A20" s="27">
        <f t="shared" si="12"/>
        <v>5</v>
      </c>
      <c r="B20" s="35">
        <v>5</v>
      </c>
      <c r="C20" s="391">
        <f t="shared" si="11"/>
        <v>45807</v>
      </c>
      <c r="D20" s="398">
        <v>232588</v>
      </c>
      <c r="E20" s="226">
        <v>20056</v>
      </c>
      <c r="F20" s="34">
        <v>252644</v>
      </c>
      <c r="G20" s="404">
        <v>607742</v>
      </c>
      <c r="H20" s="398">
        <v>329256</v>
      </c>
      <c r="I20" s="226">
        <v>86662</v>
      </c>
      <c r="J20" s="34">
        <v>415918</v>
      </c>
      <c r="K20" s="404">
        <v>1024803</v>
      </c>
      <c r="L20" s="398">
        <v>561844</v>
      </c>
      <c r="M20" s="226">
        <v>106718</v>
      </c>
      <c r="N20" s="34">
        <v>668562</v>
      </c>
      <c r="O20" s="404">
        <v>1632545</v>
      </c>
    </row>
    <row r="21" spans="1:15" ht="14.4" x14ac:dyDescent="0.3">
      <c r="A21" s="27">
        <f t="shared" si="12"/>
        <v>6</v>
      </c>
      <c r="B21" s="36">
        <v>6</v>
      </c>
      <c r="C21" s="391">
        <f t="shared" si="11"/>
        <v>45814</v>
      </c>
      <c r="D21" s="398">
        <v>387838</v>
      </c>
      <c r="E21" s="226">
        <v>7168</v>
      </c>
      <c r="F21" s="34">
        <v>395006</v>
      </c>
      <c r="G21" s="404">
        <v>1002748</v>
      </c>
      <c r="H21" s="398">
        <v>480623</v>
      </c>
      <c r="I21" s="226">
        <v>3776</v>
      </c>
      <c r="J21" s="34">
        <v>484399</v>
      </c>
      <c r="K21" s="404">
        <v>1509202</v>
      </c>
      <c r="L21" s="398">
        <v>868461</v>
      </c>
      <c r="M21" s="226">
        <v>10944</v>
      </c>
      <c r="N21" s="34">
        <v>879405</v>
      </c>
      <c r="O21" s="404">
        <v>2511950</v>
      </c>
    </row>
    <row r="22" spans="1:15" ht="14.4" x14ac:dyDescent="0.3">
      <c r="A22" s="27">
        <f t="shared" si="12"/>
        <v>7</v>
      </c>
      <c r="B22" s="33">
        <v>7</v>
      </c>
      <c r="C22" s="391">
        <f t="shared" si="11"/>
        <v>45821</v>
      </c>
      <c r="D22" s="398">
        <v>435167</v>
      </c>
      <c r="E22" s="226">
        <v>15461</v>
      </c>
      <c r="F22" s="34">
        <v>450628</v>
      </c>
      <c r="G22" s="404">
        <v>1453376</v>
      </c>
      <c r="H22" s="398">
        <v>416647</v>
      </c>
      <c r="I22" s="226">
        <v>71287</v>
      </c>
      <c r="J22" s="34">
        <v>487934</v>
      </c>
      <c r="K22" s="404">
        <v>1997136</v>
      </c>
      <c r="L22" s="398">
        <v>851814</v>
      </c>
      <c r="M22" s="226">
        <v>86748</v>
      </c>
      <c r="N22" s="34">
        <v>938562</v>
      </c>
      <c r="O22" s="404">
        <v>3450512</v>
      </c>
    </row>
    <row r="23" spans="1:15" ht="14.4" x14ac:dyDescent="0.3">
      <c r="A23" s="27">
        <f t="shared" si="12"/>
        <v>8</v>
      </c>
      <c r="B23" s="35">
        <v>8</v>
      </c>
      <c r="C23" s="391">
        <f t="shared" si="11"/>
        <v>45828</v>
      </c>
      <c r="D23" s="398">
        <v>543749</v>
      </c>
      <c r="E23" s="226">
        <v>26963</v>
      </c>
      <c r="F23" s="34">
        <v>570712</v>
      </c>
      <c r="G23" s="404">
        <v>2024088</v>
      </c>
      <c r="H23" s="398">
        <v>512729</v>
      </c>
      <c r="I23" s="226">
        <v>110861</v>
      </c>
      <c r="J23" s="34">
        <v>623590</v>
      </c>
      <c r="K23" s="404">
        <v>2620726</v>
      </c>
      <c r="L23" s="398">
        <v>1056478</v>
      </c>
      <c r="M23" s="226">
        <v>137824</v>
      </c>
      <c r="N23" s="34">
        <v>1194302</v>
      </c>
      <c r="O23" s="404">
        <v>4644814</v>
      </c>
    </row>
    <row r="24" spans="1:15" ht="14.4" x14ac:dyDescent="0.3">
      <c r="A24" s="27">
        <f t="shared" si="12"/>
        <v>9</v>
      </c>
      <c r="B24" s="35">
        <v>9</v>
      </c>
      <c r="C24" s="391">
        <f t="shared" si="11"/>
        <v>45835</v>
      </c>
      <c r="D24" s="398">
        <v>685784</v>
      </c>
      <c r="E24" s="226">
        <v>32286</v>
      </c>
      <c r="F24" s="34">
        <v>718070</v>
      </c>
      <c r="G24" s="404">
        <v>2742158</v>
      </c>
      <c r="H24" s="398">
        <v>713449</v>
      </c>
      <c r="I24" s="226">
        <v>66203</v>
      </c>
      <c r="J24" s="34">
        <v>779652</v>
      </c>
      <c r="K24" s="404">
        <v>3400378</v>
      </c>
      <c r="L24" s="398">
        <v>1399233</v>
      </c>
      <c r="M24" s="226">
        <v>98489</v>
      </c>
      <c r="N24" s="34">
        <v>1497722</v>
      </c>
      <c r="O24" s="404">
        <v>6142536</v>
      </c>
    </row>
    <row r="25" spans="1:15" ht="14.4" x14ac:dyDescent="0.3">
      <c r="A25" s="27">
        <f t="shared" si="12"/>
        <v>10</v>
      </c>
      <c r="B25" s="36">
        <v>10</v>
      </c>
      <c r="C25" s="391">
        <f t="shared" si="11"/>
        <v>45842</v>
      </c>
      <c r="D25" s="398">
        <v>623791</v>
      </c>
      <c r="E25" s="226">
        <v>9333</v>
      </c>
      <c r="F25" s="34">
        <v>633124</v>
      </c>
      <c r="G25" s="404">
        <v>3375282</v>
      </c>
      <c r="H25" s="398">
        <v>600472</v>
      </c>
      <c r="I25" s="226">
        <v>7119</v>
      </c>
      <c r="J25" s="34">
        <v>607591</v>
      </c>
      <c r="K25" s="404">
        <v>4007969</v>
      </c>
      <c r="L25" s="398">
        <v>1224263</v>
      </c>
      <c r="M25" s="226">
        <v>16452</v>
      </c>
      <c r="N25" s="34">
        <v>1240715</v>
      </c>
      <c r="O25" s="404">
        <v>7383251</v>
      </c>
    </row>
    <row r="26" spans="1:15" ht="14.4" x14ac:dyDescent="0.3">
      <c r="A26" s="27">
        <f t="shared" si="12"/>
        <v>11</v>
      </c>
      <c r="B26" s="33">
        <v>11</v>
      </c>
      <c r="C26" s="391">
        <f t="shared" si="11"/>
        <v>45849</v>
      </c>
      <c r="D26" s="398">
        <v>653104</v>
      </c>
      <c r="E26" s="226">
        <v>2863</v>
      </c>
      <c r="F26" s="34">
        <v>655967</v>
      </c>
      <c r="G26" s="404">
        <v>4031249</v>
      </c>
      <c r="H26" s="398">
        <v>586591</v>
      </c>
      <c r="I26" s="226">
        <v>12800</v>
      </c>
      <c r="J26" s="34">
        <v>599391</v>
      </c>
      <c r="K26" s="404">
        <v>4607360</v>
      </c>
      <c r="L26" s="398">
        <v>1239695</v>
      </c>
      <c r="M26" s="226">
        <v>15663</v>
      </c>
      <c r="N26" s="34">
        <v>1255358</v>
      </c>
      <c r="O26" s="404">
        <v>8638609</v>
      </c>
    </row>
    <row r="27" spans="1:15" ht="14.4" x14ac:dyDescent="0.3">
      <c r="A27" s="27">
        <f t="shared" si="12"/>
        <v>12</v>
      </c>
      <c r="B27" s="35">
        <v>12</v>
      </c>
      <c r="C27" s="391">
        <f t="shared" si="11"/>
        <v>45856</v>
      </c>
      <c r="D27" s="398">
        <v>671557</v>
      </c>
      <c r="E27" s="226">
        <v>14451</v>
      </c>
      <c r="F27" s="34">
        <v>686008</v>
      </c>
      <c r="G27" s="404">
        <v>4717257</v>
      </c>
      <c r="H27" s="398">
        <v>545323</v>
      </c>
      <c r="I27" s="226">
        <v>9608</v>
      </c>
      <c r="J27" s="34">
        <v>554931</v>
      </c>
      <c r="K27" s="404">
        <v>5162291</v>
      </c>
      <c r="L27" s="398">
        <v>1216880</v>
      </c>
      <c r="M27" s="226">
        <v>24059</v>
      </c>
      <c r="N27" s="34">
        <v>1240939</v>
      </c>
      <c r="O27" s="404">
        <v>9879548</v>
      </c>
    </row>
    <row r="28" spans="1:15" ht="14.4" x14ac:dyDescent="0.3">
      <c r="A28" s="27">
        <f t="shared" si="12"/>
        <v>13</v>
      </c>
      <c r="B28" s="35">
        <v>13</v>
      </c>
      <c r="C28" s="391">
        <f t="shared" si="11"/>
        <v>45863</v>
      </c>
      <c r="D28" s="398">
        <v>670180</v>
      </c>
      <c r="E28" s="226">
        <v>31243</v>
      </c>
      <c r="F28" s="34">
        <v>701423</v>
      </c>
      <c r="G28" s="404">
        <v>5418680</v>
      </c>
      <c r="H28" s="398">
        <v>394238</v>
      </c>
      <c r="I28" s="226">
        <v>69121</v>
      </c>
      <c r="J28" s="34">
        <v>463359</v>
      </c>
      <c r="K28" s="404">
        <v>5625650</v>
      </c>
      <c r="L28" s="398">
        <v>1064418</v>
      </c>
      <c r="M28" s="226">
        <v>100364</v>
      </c>
      <c r="N28" s="34">
        <v>1164782</v>
      </c>
      <c r="O28" s="404">
        <v>11044330</v>
      </c>
    </row>
    <row r="29" spans="1:15" ht="14.4" x14ac:dyDescent="0.3">
      <c r="A29" s="27">
        <f t="shared" si="12"/>
        <v>14</v>
      </c>
      <c r="B29" s="36">
        <v>14</v>
      </c>
      <c r="C29" s="391">
        <f t="shared" si="11"/>
        <v>45870</v>
      </c>
      <c r="D29" s="398">
        <v>562846</v>
      </c>
      <c r="E29" s="226">
        <v>-3815</v>
      </c>
      <c r="F29" s="34">
        <v>559031</v>
      </c>
      <c r="G29" s="404">
        <v>5977711</v>
      </c>
      <c r="H29" s="398">
        <v>309978</v>
      </c>
      <c r="I29" s="226">
        <v>5401</v>
      </c>
      <c r="J29" s="34">
        <v>315379</v>
      </c>
      <c r="K29" s="404">
        <v>5941029</v>
      </c>
      <c r="L29" s="398">
        <v>872824</v>
      </c>
      <c r="M29" s="226">
        <v>1586</v>
      </c>
      <c r="N29" s="34">
        <v>874410</v>
      </c>
      <c r="O29" s="404">
        <v>11918740</v>
      </c>
    </row>
    <row r="30" spans="1:15" ht="14.4" x14ac:dyDescent="0.3">
      <c r="A30" s="27">
        <f t="shared" si="12"/>
        <v>15</v>
      </c>
      <c r="B30" s="33">
        <v>15</v>
      </c>
      <c r="C30" s="391">
        <f t="shared" si="11"/>
        <v>45877</v>
      </c>
      <c r="D30" s="398">
        <v>435806</v>
      </c>
      <c r="E30" s="226">
        <v>2186</v>
      </c>
      <c r="F30" s="34">
        <v>437992</v>
      </c>
      <c r="G30" s="404">
        <v>6415703</v>
      </c>
      <c r="H30" s="398">
        <v>200895</v>
      </c>
      <c r="I30" s="226">
        <v>4939</v>
      </c>
      <c r="J30" s="34">
        <v>205834</v>
      </c>
      <c r="K30" s="404">
        <v>6146863</v>
      </c>
      <c r="L30" s="398">
        <v>636701</v>
      </c>
      <c r="M30" s="226">
        <v>7125</v>
      </c>
      <c r="N30" s="34">
        <v>643826</v>
      </c>
      <c r="O30" s="404">
        <v>12562566</v>
      </c>
    </row>
    <row r="31" spans="1:15" ht="14.4" x14ac:dyDescent="0.3">
      <c r="A31" s="27">
        <f t="shared" si="12"/>
        <v>16</v>
      </c>
      <c r="B31" s="35">
        <v>16</v>
      </c>
      <c r="C31" s="391">
        <f t="shared" si="11"/>
        <v>45884</v>
      </c>
      <c r="D31" s="398">
        <v>378024</v>
      </c>
      <c r="E31" s="226">
        <v>7871</v>
      </c>
      <c r="F31" s="34">
        <v>385895</v>
      </c>
      <c r="G31" s="404">
        <v>6801598</v>
      </c>
      <c r="H31" s="398">
        <v>182151</v>
      </c>
      <c r="I31" s="226">
        <v>4917</v>
      </c>
      <c r="J31" s="34">
        <v>187068</v>
      </c>
      <c r="K31" s="404">
        <v>6333931</v>
      </c>
      <c r="L31" s="398">
        <v>560175</v>
      </c>
      <c r="M31" s="226">
        <v>12788</v>
      </c>
      <c r="N31" s="34">
        <v>572963</v>
      </c>
      <c r="O31" s="404">
        <v>13135529</v>
      </c>
    </row>
    <row r="32" spans="1:15" ht="14.4" x14ac:dyDescent="0.3">
      <c r="A32" s="27">
        <f t="shared" si="12"/>
        <v>17</v>
      </c>
      <c r="B32" s="35">
        <v>17</v>
      </c>
      <c r="C32" s="391">
        <f t="shared" si="11"/>
        <v>45891</v>
      </c>
      <c r="D32" s="398">
        <v>250404</v>
      </c>
      <c r="E32" s="226">
        <v>-1161</v>
      </c>
      <c r="F32" s="34">
        <v>249243</v>
      </c>
      <c r="G32" s="404">
        <v>7050841</v>
      </c>
      <c r="H32" s="398">
        <v>133681</v>
      </c>
      <c r="I32" s="226">
        <v>2475</v>
      </c>
      <c r="J32" s="34">
        <v>136156</v>
      </c>
      <c r="K32" s="404">
        <v>6470087</v>
      </c>
      <c r="L32" s="398">
        <v>384085</v>
      </c>
      <c r="M32" s="226">
        <v>1314</v>
      </c>
      <c r="N32" s="34">
        <v>385399</v>
      </c>
      <c r="O32" s="404">
        <v>13520928</v>
      </c>
    </row>
    <row r="33" spans="1:15" ht="14.4" x14ac:dyDescent="0.3">
      <c r="A33" s="27">
        <f t="shared" si="12"/>
        <v>18</v>
      </c>
      <c r="B33" s="36">
        <v>18</v>
      </c>
      <c r="C33" s="391">
        <f t="shared" si="11"/>
        <v>45898</v>
      </c>
      <c r="D33" s="398">
        <v>162448</v>
      </c>
      <c r="E33" s="226">
        <v>948</v>
      </c>
      <c r="F33" s="34">
        <v>163396</v>
      </c>
      <c r="G33" s="404">
        <v>7214237</v>
      </c>
      <c r="H33" s="398">
        <v>90976</v>
      </c>
      <c r="I33" s="226">
        <v>17321</v>
      </c>
      <c r="J33" s="34">
        <v>108297</v>
      </c>
      <c r="K33" s="404">
        <v>6578384</v>
      </c>
      <c r="L33" s="398">
        <v>253424</v>
      </c>
      <c r="M33" s="226">
        <v>18269</v>
      </c>
      <c r="N33" s="34">
        <v>271693</v>
      </c>
      <c r="O33" s="404">
        <v>13792621</v>
      </c>
    </row>
    <row r="34" spans="1:15" ht="14.4" x14ac:dyDescent="0.3">
      <c r="A34" s="27">
        <f t="shared" si="12"/>
        <v>19</v>
      </c>
      <c r="B34" s="33">
        <v>19</v>
      </c>
      <c r="C34" s="391">
        <f t="shared" si="11"/>
        <v>45905</v>
      </c>
      <c r="D34" s="398">
        <v>92899</v>
      </c>
      <c r="E34" s="226">
        <v>-5037</v>
      </c>
      <c r="F34" s="34">
        <v>87862</v>
      </c>
      <c r="G34" s="404">
        <v>7302099</v>
      </c>
      <c r="H34" s="398">
        <v>65815</v>
      </c>
      <c r="I34" s="226">
        <v>3456</v>
      </c>
      <c r="J34" s="34">
        <v>69271</v>
      </c>
      <c r="K34" s="404">
        <v>6647655</v>
      </c>
      <c r="L34" s="398">
        <v>158714</v>
      </c>
      <c r="M34" s="226">
        <v>-1581</v>
      </c>
      <c r="N34" s="34">
        <v>157133</v>
      </c>
      <c r="O34" s="404">
        <v>13949754</v>
      </c>
    </row>
    <row r="35" spans="1:15" ht="14.4" x14ac:dyDescent="0.3">
      <c r="A35" s="27">
        <f t="shared" si="12"/>
        <v>20</v>
      </c>
      <c r="B35" s="35">
        <v>20</v>
      </c>
      <c r="C35" s="391">
        <f t="shared" si="11"/>
        <v>45912</v>
      </c>
      <c r="D35" s="398">
        <v>64265</v>
      </c>
      <c r="E35" s="226">
        <v>-1650</v>
      </c>
      <c r="F35" s="34">
        <v>62615</v>
      </c>
      <c r="G35" s="404">
        <v>7364714</v>
      </c>
      <c r="H35" s="398">
        <v>53981</v>
      </c>
      <c r="I35" s="226">
        <v>1170</v>
      </c>
      <c r="J35" s="34">
        <v>55151</v>
      </c>
      <c r="K35" s="404">
        <v>6702806</v>
      </c>
      <c r="L35" s="398">
        <v>118246</v>
      </c>
      <c r="M35" s="226">
        <v>-480</v>
      </c>
      <c r="N35" s="34">
        <v>117766</v>
      </c>
      <c r="O35" s="404">
        <v>14067520</v>
      </c>
    </row>
    <row r="36" spans="1:15" ht="14.4" x14ac:dyDescent="0.3">
      <c r="A36" s="27">
        <f t="shared" si="12"/>
        <v>21</v>
      </c>
      <c r="B36" s="35">
        <v>21</v>
      </c>
      <c r="C36" s="391">
        <f t="shared" si="11"/>
        <v>45919</v>
      </c>
      <c r="D36" s="398">
        <v>51131</v>
      </c>
      <c r="E36" s="226">
        <v>3678</v>
      </c>
      <c r="F36" s="34">
        <v>54809</v>
      </c>
      <c r="G36" s="404">
        <v>7419523</v>
      </c>
      <c r="H36" s="398">
        <v>36408</v>
      </c>
      <c r="I36" s="226">
        <v>-514</v>
      </c>
      <c r="J36" s="34">
        <v>35894</v>
      </c>
      <c r="K36" s="404">
        <v>6738700</v>
      </c>
      <c r="L36" s="398">
        <v>87539</v>
      </c>
      <c r="M36" s="226">
        <v>3164</v>
      </c>
      <c r="N36" s="34">
        <v>90703</v>
      </c>
      <c r="O36" s="404">
        <v>14158223</v>
      </c>
    </row>
    <row r="37" spans="1:15" ht="14.4" x14ac:dyDescent="0.3">
      <c r="A37" s="27">
        <f t="shared" si="12"/>
        <v>22</v>
      </c>
      <c r="B37" s="36">
        <v>22</v>
      </c>
      <c r="C37" s="391">
        <f t="shared" si="11"/>
        <v>45926</v>
      </c>
      <c r="D37" s="398">
        <v>41271</v>
      </c>
      <c r="E37" s="226">
        <v>2028</v>
      </c>
      <c r="F37" s="34">
        <v>43299</v>
      </c>
      <c r="G37" s="404">
        <v>7462822</v>
      </c>
      <c r="H37" s="398">
        <v>25838</v>
      </c>
      <c r="I37" s="226">
        <v>18678</v>
      </c>
      <c r="J37" s="34">
        <v>44516</v>
      </c>
      <c r="K37" s="404">
        <v>6783216</v>
      </c>
      <c r="L37" s="398">
        <v>67109</v>
      </c>
      <c r="M37" s="226">
        <v>20706</v>
      </c>
      <c r="N37" s="34">
        <v>87815</v>
      </c>
      <c r="O37" s="404">
        <v>14246038</v>
      </c>
    </row>
    <row r="38" spans="1:15" ht="14.4" x14ac:dyDescent="0.3">
      <c r="A38" s="27">
        <f t="shared" si="12"/>
        <v>23</v>
      </c>
      <c r="B38" s="33">
        <v>23</v>
      </c>
      <c r="C38" s="391">
        <f t="shared" si="11"/>
        <v>45933</v>
      </c>
      <c r="D38" s="398">
        <v>31620</v>
      </c>
      <c r="E38" s="226">
        <v>3127</v>
      </c>
      <c r="F38" s="34">
        <v>34747</v>
      </c>
      <c r="G38" s="404">
        <v>7497569</v>
      </c>
      <c r="H38" s="398">
        <v>23818</v>
      </c>
      <c r="I38" s="226">
        <v>-1630</v>
      </c>
      <c r="J38" s="34">
        <v>22188</v>
      </c>
      <c r="K38" s="404">
        <v>6805404</v>
      </c>
      <c r="L38" s="398">
        <v>55438</v>
      </c>
      <c r="M38" s="226">
        <v>1497</v>
      </c>
      <c r="N38" s="34">
        <v>56935</v>
      </c>
      <c r="O38" s="404">
        <v>14302973</v>
      </c>
    </row>
    <row r="39" spans="1:15" ht="14.4" x14ac:dyDescent="0.3">
      <c r="A39" s="27">
        <f t="shared" si="12"/>
        <v>24</v>
      </c>
      <c r="B39" s="35">
        <v>24</v>
      </c>
      <c r="C39" s="391">
        <f t="shared" si="11"/>
        <v>45940</v>
      </c>
      <c r="D39" s="398">
        <v>32394</v>
      </c>
      <c r="E39" s="226">
        <v>4164</v>
      </c>
      <c r="F39" s="34">
        <v>36558</v>
      </c>
      <c r="G39" s="404">
        <v>7534127</v>
      </c>
      <c r="H39" s="398">
        <v>24060</v>
      </c>
      <c r="I39" s="226">
        <v>-1200</v>
      </c>
      <c r="J39" s="34">
        <v>22860</v>
      </c>
      <c r="K39" s="404">
        <v>6828264</v>
      </c>
      <c r="L39" s="398">
        <v>56454</v>
      </c>
      <c r="M39" s="226">
        <v>2964</v>
      </c>
      <c r="N39" s="34">
        <v>59418</v>
      </c>
      <c r="O39" s="404">
        <v>14362391</v>
      </c>
    </row>
    <row r="40" spans="1:15" ht="14.4" x14ac:dyDescent="0.3">
      <c r="A40" s="27">
        <f t="shared" si="12"/>
        <v>25</v>
      </c>
      <c r="B40" s="35">
        <v>25</v>
      </c>
      <c r="C40" s="391">
        <f t="shared" si="11"/>
        <v>45947</v>
      </c>
      <c r="D40" s="398">
        <v>32701</v>
      </c>
      <c r="E40" s="226">
        <v>2596</v>
      </c>
      <c r="F40" s="34">
        <v>35297</v>
      </c>
      <c r="G40" s="404">
        <v>7569424</v>
      </c>
      <c r="H40" s="405">
        <v>24516</v>
      </c>
      <c r="I40" s="226">
        <v>892</v>
      </c>
      <c r="J40" s="34">
        <v>25408</v>
      </c>
      <c r="K40" s="404">
        <v>6853672</v>
      </c>
      <c r="L40" s="398">
        <v>57217</v>
      </c>
      <c r="M40" s="226">
        <v>3488</v>
      </c>
      <c r="N40" s="34">
        <v>60705</v>
      </c>
      <c r="O40" s="404">
        <v>14423096</v>
      </c>
    </row>
    <row r="41" spans="1:15" ht="14.4" x14ac:dyDescent="0.3">
      <c r="A41" s="27">
        <f t="shared" si="12"/>
        <v>26</v>
      </c>
      <c r="B41" s="36">
        <v>26</v>
      </c>
      <c r="C41" s="391">
        <f t="shared" si="11"/>
        <v>45954</v>
      </c>
      <c r="D41" s="398">
        <v>31504</v>
      </c>
      <c r="E41" s="226">
        <v>3320</v>
      </c>
      <c r="F41" s="34">
        <v>34824</v>
      </c>
      <c r="G41" s="404">
        <v>7604248</v>
      </c>
      <c r="H41" s="405">
        <v>23345</v>
      </c>
      <c r="I41" s="226">
        <v>-3162</v>
      </c>
      <c r="J41" s="34">
        <v>20183</v>
      </c>
      <c r="K41" s="404">
        <v>6873855</v>
      </c>
      <c r="L41" s="398">
        <v>54849</v>
      </c>
      <c r="M41" s="226">
        <v>158</v>
      </c>
      <c r="N41" s="34">
        <v>55007</v>
      </c>
      <c r="O41" s="404">
        <v>14478103</v>
      </c>
    </row>
    <row r="42" spans="1:15" ht="14.4" x14ac:dyDescent="0.3">
      <c r="A42" s="27">
        <f t="shared" si="12"/>
        <v>27</v>
      </c>
      <c r="B42" s="33">
        <v>27</v>
      </c>
      <c r="C42" s="391">
        <f t="shared" si="11"/>
        <v>45961</v>
      </c>
      <c r="D42" s="398">
        <v>26484</v>
      </c>
      <c r="E42" s="226">
        <v>13010</v>
      </c>
      <c r="F42" s="34">
        <v>39494</v>
      </c>
      <c r="G42" s="404">
        <v>7643742</v>
      </c>
      <c r="H42" s="405">
        <v>26926</v>
      </c>
      <c r="I42" s="226">
        <v>18764</v>
      </c>
      <c r="J42" s="34">
        <v>45690</v>
      </c>
      <c r="K42" s="404">
        <v>6919545</v>
      </c>
      <c r="L42" s="398">
        <v>53410</v>
      </c>
      <c r="M42" s="226">
        <v>31774</v>
      </c>
      <c r="N42" s="34">
        <v>85184</v>
      </c>
      <c r="O42" s="404">
        <v>14563287</v>
      </c>
    </row>
    <row r="43" spans="1:15" ht="14.4" x14ac:dyDescent="0.3">
      <c r="A43" s="27">
        <f t="shared" si="12"/>
        <v>28</v>
      </c>
      <c r="B43" s="35">
        <v>28</v>
      </c>
      <c r="C43" s="391">
        <f t="shared" si="11"/>
        <v>45968</v>
      </c>
      <c r="D43" s="398">
        <v>25425</v>
      </c>
      <c r="E43" s="226">
        <v>3855</v>
      </c>
      <c r="F43" s="34">
        <v>29280</v>
      </c>
      <c r="G43" s="404">
        <v>7673022</v>
      </c>
      <c r="H43" s="405">
        <v>21519</v>
      </c>
      <c r="I43" s="226">
        <v>-459</v>
      </c>
      <c r="J43" s="34">
        <v>21060</v>
      </c>
      <c r="K43" s="404">
        <v>6940605</v>
      </c>
      <c r="L43" s="398">
        <v>46944</v>
      </c>
      <c r="M43" s="226">
        <v>3396</v>
      </c>
      <c r="N43" s="34">
        <v>50340</v>
      </c>
      <c r="O43" s="404">
        <v>14613627</v>
      </c>
    </row>
    <row r="44" spans="1:15" ht="14.4" x14ac:dyDescent="0.3">
      <c r="A44" s="27">
        <f t="shared" si="12"/>
        <v>29</v>
      </c>
      <c r="B44" s="35">
        <v>29</v>
      </c>
      <c r="C44" s="391">
        <f t="shared" si="11"/>
        <v>45975</v>
      </c>
      <c r="D44" s="398">
        <v>26437</v>
      </c>
      <c r="E44" s="226">
        <v>3834</v>
      </c>
      <c r="F44" s="34">
        <v>30271</v>
      </c>
      <c r="G44" s="404">
        <v>7703293</v>
      </c>
      <c r="H44" s="405">
        <v>21156</v>
      </c>
      <c r="I44" s="226">
        <v>-1201</v>
      </c>
      <c r="J44" s="34">
        <v>19955</v>
      </c>
      <c r="K44" s="404">
        <v>6960560</v>
      </c>
      <c r="L44" s="398">
        <v>47593</v>
      </c>
      <c r="M44" s="226">
        <v>2633</v>
      </c>
      <c r="N44" s="34">
        <v>50226</v>
      </c>
      <c r="O44" s="404">
        <v>14663853</v>
      </c>
    </row>
    <row r="45" spans="1:15" ht="14.4" x14ac:dyDescent="0.3">
      <c r="A45" s="27">
        <f t="shared" si="12"/>
        <v>30</v>
      </c>
      <c r="B45" s="36">
        <v>30</v>
      </c>
      <c r="C45" s="391">
        <f t="shared" si="11"/>
        <v>45982</v>
      </c>
      <c r="D45" s="398">
        <v>22286</v>
      </c>
      <c r="E45" s="226">
        <v>3617</v>
      </c>
      <c r="F45" s="34">
        <v>25903</v>
      </c>
      <c r="G45" s="404">
        <v>7729196</v>
      </c>
      <c r="H45" s="405">
        <v>23257</v>
      </c>
      <c r="I45" s="226">
        <v>-1276</v>
      </c>
      <c r="J45" s="34">
        <v>21981</v>
      </c>
      <c r="K45" s="404">
        <v>6982541</v>
      </c>
      <c r="L45" s="398">
        <v>45543</v>
      </c>
      <c r="M45" s="226">
        <v>2341</v>
      </c>
      <c r="N45" s="34">
        <v>47884</v>
      </c>
      <c r="O45" s="404">
        <v>14711737</v>
      </c>
    </row>
    <row r="46" spans="1:15" ht="14.4" x14ac:dyDescent="0.3">
      <c r="A46" s="27">
        <f t="shared" si="12"/>
        <v>31</v>
      </c>
      <c r="B46" s="33">
        <v>31</v>
      </c>
      <c r="C46" s="391">
        <f t="shared" si="11"/>
        <v>45989</v>
      </c>
      <c r="D46" s="398">
        <v>20470</v>
      </c>
      <c r="E46" s="226">
        <v>6059</v>
      </c>
      <c r="F46" s="34">
        <v>26529</v>
      </c>
      <c r="G46" s="404">
        <v>7755725</v>
      </c>
      <c r="H46" s="405">
        <v>21116</v>
      </c>
      <c r="I46" s="226">
        <v>11560</v>
      </c>
      <c r="J46" s="34">
        <v>32676</v>
      </c>
      <c r="K46" s="404">
        <v>7015217</v>
      </c>
      <c r="L46" s="398">
        <v>41586</v>
      </c>
      <c r="M46" s="226">
        <v>17619</v>
      </c>
      <c r="N46" s="34">
        <v>59205</v>
      </c>
      <c r="O46" s="404">
        <v>14770942</v>
      </c>
    </row>
    <row r="47" spans="1:15" ht="14.4" x14ac:dyDescent="0.3">
      <c r="A47" s="27">
        <f t="shared" si="12"/>
        <v>32</v>
      </c>
      <c r="B47" s="35">
        <v>32</v>
      </c>
      <c r="C47" s="391">
        <f t="shared" si="11"/>
        <v>45996</v>
      </c>
      <c r="D47" s="398">
        <v>18834</v>
      </c>
      <c r="E47" s="226">
        <v>2115</v>
      </c>
      <c r="F47" s="34">
        <v>20949</v>
      </c>
      <c r="G47" s="404">
        <v>7776674</v>
      </c>
      <c r="H47" s="398">
        <v>22629</v>
      </c>
      <c r="I47" s="226">
        <v>39</v>
      </c>
      <c r="J47" s="34">
        <v>22668</v>
      </c>
      <c r="K47" s="404">
        <v>7037885</v>
      </c>
      <c r="L47" s="398">
        <v>41463</v>
      </c>
      <c r="M47" s="226">
        <v>2154</v>
      </c>
      <c r="N47" s="34">
        <v>43617</v>
      </c>
      <c r="O47" s="404">
        <v>14814559</v>
      </c>
    </row>
    <row r="48" spans="1:15" ht="14.4" x14ac:dyDescent="0.3">
      <c r="A48" s="27">
        <f t="shared" si="12"/>
        <v>33</v>
      </c>
      <c r="B48" s="35">
        <v>33</v>
      </c>
      <c r="C48" s="391">
        <f t="shared" si="11"/>
        <v>46003</v>
      </c>
      <c r="D48" s="398">
        <v>18991</v>
      </c>
      <c r="E48" s="226">
        <v>1188</v>
      </c>
      <c r="F48" s="34">
        <v>20179</v>
      </c>
      <c r="G48" s="404">
        <v>7796853</v>
      </c>
      <c r="H48" s="398">
        <v>22024</v>
      </c>
      <c r="I48" s="226">
        <v>1495</v>
      </c>
      <c r="J48" s="34">
        <v>23519</v>
      </c>
      <c r="K48" s="404">
        <v>7061404</v>
      </c>
      <c r="L48" s="398">
        <v>41015</v>
      </c>
      <c r="M48" s="226">
        <v>2683</v>
      </c>
      <c r="N48" s="34">
        <v>43698</v>
      </c>
      <c r="O48" s="404">
        <v>14858257</v>
      </c>
    </row>
    <row r="49" spans="1:17" ht="14.4" x14ac:dyDescent="0.3">
      <c r="A49" s="27">
        <f t="shared" si="12"/>
        <v>34</v>
      </c>
      <c r="B49" s="36">
        <v>34</v>
      </c>
      <c r="C49" s="391">
        <f t="shared" si="11"/>
        <v>46010</v>
      </c>
      <c r="D49" s="398">
        <v>11563</v>
      </c>
      <c r="E49" s="226">
        <v>194</v>
      </c>
      <c r="F49" s="34">
        <v>11757</v>
      </c>
      <c r="G49" s="404">
        <v>7808610</v>
      </c>
      <c r="H49" s="398">
        <v>19866</v>
      </c>
      <c r="I49" s="226">
        <v>-304</v>
      </c>
      <c r="J49" s="34">
        <v>19562</v>
      </c>
      <c r="K49" s="404">
        <v>7080966</v>
      </c>
      <c r="L49" s="398">
        <v>31429</v>
      </c>
      <c r="M49" s="226">
        <v>-110</v>
      </c>
      <c r="N49" s="34">
        <v>31319</v>
      </c>
      <c r="O49" s="404">
        <v>14889576</v>
      </c>
    </row>
    <row r="50" spans="1:17" ht="14.4" x14ac:dyDescent="0.3">
      <c r="A50" s="27">
        <f t="shared" si="12"/>
        <v>35</v>
      </c>
      <c r="B50" s="33">
        <v>35</v>
      </c>
      <c r="C50" s="391">
        <f t="shared" si="11"/>
        <v>46017</v>
      </c>
      <c r="D50" s="398">
        <v>3380</v>
      </c>
      <c r="E50" s="226">
        <v>6998</v>
      </c>
      <c r="F50" s="34">
        <v>10378</v>
      </c>
      <c r="G50" s="404">
        <v>7818988</v>
      </c>
      <c r="H50" s="398">
        <v>8108</v>
      </c>
      <c r="I50" s="226">
        <v>6033</v>
      </c>
      <c r="J50" s="34">
        <v>14141</v>
      </c>
      <c r="K50" s="404">
        <v>7095107</v>
      </c>
      <c r="L50" s="398">
        <v>11488</v>
      </c>
      <c r="M50" s="226">
        <v>13031</v>
      </c>
      <c r="N50" s="34">
        <v>24519</v>
      </c>
      <c r="O50" s="404">
        <v>14914095</v>
      </c>
    </row>
    <row r="51" spans="1:17" ht="14.4" x14ac:dyDescent="0.3">
      <c r="A51" s="27">
        <f t="shared" si="12"/>
        <v>36</v>
      </c>
      <c r="B51" s="35">
        <v>36</v>
      </c>
      <c r="C51" s="391">
        <f t="shared" si="11"/>
        <v>46024</v>
      </c>
      <c r="D51" s="398">
        <v>2452</v>
      </c>
      <c r="E51" s="226">
        <v>-345</v>
      </c>
      <c r="F51" s="34">
        <v>2107</v>
      </c>
      <c r="G51" s="404">
        <v>7821095</v>
      </c>
      <c r="H51" s="398">
        <v>5744</v>
      </c>
      <c r="I51" s="226">
        <v>-87</v>
      </c>
      <c r="J51" s="34">
        <v>5657</v>
      </c>
      <c r="K51" s="404">
        <v>7100764</v>
      </c>
      <c r="L51" s="398">
        <v>8196</v>
      </c>
      <c r="M51" s="226">
        <v>-432</v>
      </c>
      <c r="N51" s="34">
        <v>7764</v>
      </c>
      <c r="O51" s="404">
        <v>14921859</v>
      </c>
    </row>
    <row r="52" spans="1:17" ht="14.4" x14ac:dyDescent="0.3">
      <c r="A52" s="27">
        <f t="shared" si="12"/>
        <v>37</v>
      </c>
      <c r="B52" s="35">
        <v>37</v>
      </c>
      <c r="C52" s="391">
        <f t="shared" si="11"/>
        <v>46031</v>
      </c>
      <c r="D52" s="398">
        <v>11486</v>
      </c>
      <c r="E52" s="226">
        <v>1547</v>
      </c>
      <c r="F52" s="34">
        <v>13033</v>
      </c>
      <c r="G52" s="404">
        <v>7834128</v>
      </c>
      <c r="H52" s="398">
        <v>15155</v>
      </c>
      <c r="I52" s="226">
        <v>3180</v>
      </c>
      <c r="J52" s="34">
        <v>18335</v>
      </c>
      <c r="K52" s="404">
        <v>7119099</v>
      </c>
      <c r="L52" s="398">
        <v>26641</v>
      </c>
      <c r="M52" s="226">
        <v>4727</v>
      </c>
      <c r="N52" s="34">
        <v>31368</v>
      </c>
      <c r="O52" s="404">
        <v>14953227</v>
      </c>
      <c r="Q52" s="231"/>
    </row>
    <row r="53" spans="1:17" ht="14.4" x14ac:dyDescent="0.3">
      <c r="A53" s="27">
        <f t="shared" si="12"/>
        <v>38</v>
      </c>
      <c r="B53" s="36">
        <v>38</v>
      </c>
      <c r="C53" s="391">
        <f t="shared" si="11"/>
        <v>46038</v>
      </c>
      <c r="D53" s="398">
        <v>17757</v>
      </c>
      <c r="E53" s="226">
        <v>3324</v>
      </c>
      <c r="F53" s="34">
        <v>21081</v>
      </c>
      <c r="G53" s="404">
        <v>7855209</v>
      </c>
      <c r="H53" s="398">
        <v>26182</v>
      </c>
      <c r="I53" s="226">
        <v>2209</v>
      </c>
      <c r="J53" s="34">
        <v>28391</v>
      </c>
      <c r="K53" s="404">
        <v>7147490</v>
      </c>
      <c r="L53" s="398">
        <v>43939</v>
      </c>
      <c r="M53" s="226">
        <v>5533</v>
      </c>
      <c r="N53" s="34">
        <v>49472</v>
      </c>
      <c r="O53" s="404">
        <v>15002699</v>
      </c>
    </row>
    <row r="54" spans="1:17" ht="14.4" x14ac:dyDescent="0.3">
      <c r="A54" s="27">
        <f t="shared" si="12"/>
        <v>39</v>
      </c>
      <c r="B54" s="33">
        <v>39</v>
      </c>
      <c r="C54" s="391">
        <f t="shared" si="11"/>
        <v>46045</v>
      </c>
      <c r="D54" s="398">
        <v>23031</v>
      </c>
      <c r="E54" s="226">
        <v>3943</v>
      </c>
      <c r="F54" s="34">
        <v>26974</v>
      </c>
      <c r="G54" s="404">
        <v>7882183</v>
      </c>
      <c r="H54" s="398">
        <v>26921</v>
      </c>
      <c r="I54" s="226">
        <v>1797</v>
      </c>
      <c r="J54" s="34">
        <v>28718</v>
      </c>
      <c r="K54" s="404">
        <v>7176208</v>
      </c>
      <c r="L54" s="398">
        <v>49952</v>
      </c>
      <c r="M54" s="226">
        <v>5740</v>
      </c>
      <c r="N54" s="34">
        <v>55692</v>
      </c>
      <c r="O54" s="404">
        <v>15058391</v>
      </c>
    </row>
    <row r="55" spans="1:17" ht="14.4" x14ac:dyDescent="0.3">
      <c r="A55" s="27">
        <f t="shared" si="12"/>
        <v>40</v>
      </c>
      <c r="B55" s="35">
        <v>40</v>
      </c>
      <c r="C55" s="391">
        <f t="shared" si="11"/>
        <v>46052</v>
      </c>
      <c r="D55" s="398">
        <v>24664</v>
      </c>
      <c r="E55" s="226">
        <v>13429</v>
      </c>
      <c r="F55" s="34">
        <v>38093</v>
      </c>
      <c r="G55" s="404">
        <v>7920276</v>
      </c>
      <c r="H55" s="398">
        <v>31513</v>
      </c>
      <c r="I55" s="226">
        <v>15355</v>
      </c>
      <c r="J55" s="34">
        <v>46868</v>
      </c>
      <c r="K55" s="404">
        <v>7223076</v>
      </c>
      <c r="L55" s="398">
        <v>56177</v>
      </c>
      <c r="M55" s="226">
        <v>28784</v>
      </c>
      <c r="N55" s="34">
        <v>84961</v>
      </c>
      <c r="O55" s="404">
        <v>15143352</v>
      </c>
    </row>
    <row r="56" spans="1:17" ht="14.4" x14ac:dyDescent="0.3">
      <c r="A56" s="27">
        <f t="shared" si="12"/>
        <v>41</v>
      </c>
      <c r="B56" s="35">
        <v>41</v>
      </c>
      <c r="C56" s="391">
        <f t="shared" si="11"/>
        <v>46059</v>
      </c>
      <c r="D56" s="398">
        <v>30999</v>
      </c>
      <c r="E56" s="226">
        <v>4888</v>
      </c>
      <c r="F56" s="34">
        <v>35887</v>
      </c>
      <c r="G56" s="404">
        <v>7956163</v>
      </c>
      <c r="H56" s="398">
        <v>54747</v>
      </c>
      <c r="I56" s="226">
        <v>575</v>
      </c>
      <c r="J56" s="34">
        <v>55322</v>
      </c>
      <c r="K56" s="404">
        <v>7278398</v>
      </c>
      <c r="L56" s="398">
        <v>85746</v>
      </c>
      <c r="M56" s="226">
        <v>5463</v>
      </c>
      <c r="N56" s="34">
        <v>91209</v>
      </c>
      <c r="O56" s="404">
        <v>15234561</v>
      </c>
    </row>
    <row r="57" spans="1:17" ht="14.4" x14ac:dyDescent="0.3">
      <c r="A57" s="27">
        <f t="shared" si="12"/>
        <v>42</v>
      </c>
      <c r="B57" s="36">
        <v>42</v>
      </c>
      <c r="C57" s="391">
        <f t="shared" si="11"/>
        <v>46066</v>
      </c>
      <c r="D57" s="398">
        <v>31914</v>
      </c>
      <c r="E57" s="226">
        <v>6207</v>
      </c>
      <c r="F57" s="34">
        <v>38121</v>
      </c>
      <c r="G57" s="404">
        <v>7994284</v>
      </c>
      <c r="H57" s="398">
        <v>58221</v>
      </c>
      <c r="I57" s="226">
        <v>-419</v>
      </c>
      <c r="J57" s="34">
        <v>57802</v>
      </c>
      <c r="K57" s="404">
        <v>7336200</v>
      </c>
      <c r="L57" s="398">
        <v>90135</v>
      </c>
      <c r="M57" s="226">
        <v>5788</v>
      </c>
      <c r="N57" s="34">
        <v>95923</v>
      </c>
      <c r="O57" s="404">
        <v>15330484</v>
      </c>
    </row>
    <row r="58" spans="1:17" ht="14.4" x14ac:dyDescent="0.3">
      <c r="A58" s="27">
        <f t="shared" si="12"/>
        <v>43</v>
      </c>
      <c r="B58" s="33">
        <v>43</v>
      </c>
      <c r="C58" s="391">
        <f t="shared" si="11"/>
        <v>46073</v>
      </c>
      <c r="D58" s="398">
        <v>32318</v>
      </c>
      <c r="E58" s="226">
        <v>1655</v>
      </c>
      <c r="F58" s="34">
        <v>33973</v>
      </c>
      <c r="G58" s="404">
        <v>8028257</v>
      </c>
      <c r="H58" s="398">
        <v>45791</v>
      </c>
      <c r="I58" s="226">
        <v>134</v>
      </c>
      <c r="J58" s="34">
        <v>45925</v>
      </c>
      <c r="K58" s="404">
        <v>7382125</v>
      </c>
      <c r="L58" s="398">
        <v>78109</v>
      </c>
      <c r="M58" s="226">
        <v>1789</v>
      </c>
      <c r="N58" s="34">
        <v>79898</v>
      </c>
      <c r="O58" s="404">
        <v>15410382</v>
      </c>
    </row>
    <row r="59" spans="1:17" ht="14.4" x14ac:dyDescent="0.3">
      <c r="A59" s="27">
        <f t="shared" si="12"/>
        <v>44</v>
      </c>
      <c r="B59" s="35">
        <v>44</v>
      </c>
      <c r="C59" s="391">
        <f t="shared" si="11"/>
        <v>46080</v>
      </c>
      <c r="D59" s="398">
        <v>33214</v>
      </c>
      <c r="E59" s="226">
        <v>14890</v>
      </c>
      <c r="F59" s="34">
        <v>48104</v>
      </c>
      <c r="G59" s="404">
        <v>8076361</v>
      </c>
      <c r="H59" s="398">
        <v>42723</v>
      </c>
      <c r="I59" s="226">
        <v>17729</v>
      </c>
      <c r="J59" s="34">
        <v>60452</v>
      </c>
      <c r="K59" s="404">
        <v>7442577</v>
      </c>
      <c r="L59" s="398">
        <v>75937</v>
      </c>
      <c r="M59" s="226">
        <v>32619</v>
      </c>
      <c r="N59" s="34">
        <v>108556</v>
      </c>
      <c r="O59" s="404">
        <v>15518938</v>
      </c>
    </row>
    <row r="60" spans="1:17" ht="14.4" x14ac:dyDescent="0.3">
      <c r="A60" s="27">
        <f t="shared" si="12"/>
        <v>45</v>
      </c>
      <c r="B60" s="35">
        <v>45</v>
      </c>
      <c r="C60" s="391">
        <f t="shared" si="11"/>
        <v>46087</v>
      </c>
      <c r="D60" s="398">
        <v>26079</v>
      </c>
      <c r="E60" s="226">
        <v>3772</v>
      </c>
      <c r="F60" s="34">
        <v>29851</v>
      </c>
      <c r="G60" s="404">
        <v>8106212</v>
      </c>
      <c r="H60" s="398">
        <v>32182</v>
      </c>
      <c r="I60" s="226">
        <v>3561</v>
      </c>
      <c r="J60" s="34">
        <v>35743</v>
      </c>
      <c r="K60" s="404">
        <v>7478320</v>
      </c>
      <c r="L60" s="398">
        <v>58261</v>
      </c>
      <c r="M60" s="226">
        <v>7333</v>
      </c>
      <c r="N60" s="34">
        <v>65594</v>
      </c>
      <c r="O60" s="404">
        <v>15584532</v>
      </c>
    </row>
    <row r="61" spans="1:17" ht="14.4" x14ac:dyDescent="0.3">
      <c r="A61" s="27">
        <f t="shared" si="12"/>
        <v>46</v>
      </c>
      <c r="B61" s="36">
        <v>46</v>
      </c>
      <c r="C61" s="391">
        <f t="shared" si="11"/>
        <v>46094</v>
      </c>
      <c r="D61" s="398">
        <v>40089</v>
      </c>
      <c r="E61" s="226">
        <v>5658</v>
      </c>
      <c r="F61" s="34">
        <v>45747</v>
      </c>
      <c r="G61" s="404">
        <v>8151959</v>
      </c>
      <c r="H61" s="398">
        <v>37198</v>
      </c>
      <c r="I61" s="226">
        <v>242</v>
      </c>
      <c r="J61" s="34">
        <v>37440</v>
      </c>
      <c r="K61" s="404">
        <v>7515760</v>
      </c>
      <c r="L61" s="398">
        <v>77287</v>
      </c>
      <c r="M61" s="226">
        <v>5900</v>
      </c>
      <c r="N61" s="34">
        <v>83187</v>
      </c>
      <c r="O61" s="404">
        <v>15667719</v>
      </c>
    </row>
    <row r="62" spans="1:17" ht="14.4" x14ac:dyDescent="0.3">
      <c r="A62" s="27">
        <f t="shared" si="12"/>
        <v>47</v>
      </c>
      <c r="B62" s="33">
        <v>47</v>
      </c>
      <c r="C62" s="391">
        <f t="shared" si="11"/>
        <v>46101</v>
      </c>
      <c r="D62" s="398">
        <v>52198</v>
      </c>
      <c r="E62" s="226">
        <v>3667</v>
      </c>
      <c r="F62" s="34">
        <v>55865</v>
      </c>
      <c r="G62" s="404">
        <v>8207824</v>
      </c>
      <c r="H62" s="398">
        <v>40383</v>
      </c>
      <c r="I62" s="226">
        <v>3792</v>
      </c>
      <c r="J62" s="34">
        <v>44175</v>
      </c>
      <c r="K62" s="404">
        <v>7559935</v>
      </c>
      <c r="L62" s="398">
        <v>92581</v>
      </c>
      <c r="M62" s="226">
        <v>7459</v>
      </c>
      <c r="N62" s="34">
        <v>100040</v>
      </c>
      <c r="O62" s="404">
        <v>15767759</v>
      </c>
    </row>
    <row r="63" spans="1:17" ht="14.4" x14ac:dyDescent="0.3">
      <c r="A63" s="27">
        <f t="shared" si="12"/>
        <v>48</v>
      </c>
      <c r="B63" s="35">
        <v>48</v>
      </c>
      <c r="C63" s="391">
        <f t="shared" si="11"/>
        <v>46108</v>
      </c>
      <c r="D63" s="398">
        <v>38376</v>
      </c>
      <c r="E63" s="226">
        <v>9937</v>
      </c>
      <c r="F63" s="34">
        <v>48313</v>
      </c>
      <c r="G63" s="404">
        <v>8256137</v>
      </c>
      <c r="H63" s="398">
        <v>35298</v>
      </c>
      <c r="I63" s="226">
        <v>16306</v>
      </c>
      <c r="J63" s="34">
        <v>51604</v>
      </c>
      <c r="K63" s="404">
        <v>7611539</v>
      </c>
      <c r="L63" s="398">
        <v>73674</v>
      </c>
      <c r="M63" s="226">
        <v>26243</v>
      </c>
      <c r="N63" s="34">
        <v>99917</v>
      </c>
      <c r="O63" s="404">
        <v>15867676</v>
      </c>
    </row>
    <row r="64" spans="1:17" ht="14.4" x14ac:dyDescent="0.3">
      <c r="A64" s="27">
        <f t="shared" si="12"/>
        <v>49</v>
      </c>
      <c r="B64" s="35">
        <v>49</v>
      </c>
      <c r="C64" s="391">
        <f t="shared" si="11"/>
        <v>46115</v>
      </c>
      <c r="D64" s="398">
        <v>28009</v>
      </c>
      <c r="E64" s="226">
        <v>1063</v>
      </c>
      <c r="F64" s="34">
        <v>29072</v>
      </c>
      <c r="G64" s="404">
        <v>8285209</v>
      </c>
      <c r="H64" s="398">
        <v>38184</v>
      </c>
      <c r="I64" s="226">
        <v>1769</v>
      </c>
      <c r="J64" s="34">
        <v>39953</v>
      </c>
      <c r="K64" s="404">
        <v>7651492</v>
      </c>
      <c r="L64" s="398">
        <v>66193</v>
      </c>
      <c r="M64" s="226">
        <v>2832</v>
      </c>
      <c r="N64" s="34">
        <v>69025</v>
      </c>
      <c r="O64" s="404">
        <v>15936701</v>
      </c>
    </row>
    <row r="65" spans="1:15" ht="14.4" x14ac:dyDescent="0.3">
      <c r="A65" s="27">
        <f t="shared" si="12"/>
        <v>50</v>
      </c>
      <c r="B65" s="36">
        <v>50</v>
      </c>
      <c r="C65" s="391">
        <f t="shared" si="11"/>
        <v>46122</v>
      </c>
      <c r="D65" s="398">
        <v>42711</v>
      </c>
      <c r="E65" s="226">
        <v>1680</v>
      </c>
      <c r="F65" s="34">
        <v>44391</v>
      </c>
      <c r="G65" s="404">
        <v>8329600</v>
      </c>
      <c r="H65" s="398">
        <v>60690</v>
      </c>
      <c r="I65" s="226">
        <v>2216</v>
      </c>
      <c r="J65" s="34">
        <v>62906</v>
      </c>
      <c r="K65" s="404">
        <v>7714398</v>
      </c>
      <c r="L65" s="398">
        <v>103401</v>
      </c>
      <c r="M65" s="226">
        <v>3896</v>
      </c>
      <c r="N65" s="34">
        <v>107297</v>
      </c>
      <c r="O65" s="404">
        <v>16043998</v>
      </c>
    </row>
    <row r="66" spans="1:15" ht="14.4" x14ac:dyDescent="0.3">
      <c r="A66" s="27">
        <f t="shared" si="12"/>
        <v>51</v>
      </c>
      <c r="B66" s="33">
        <v>51</v>
      </c>
      <c r="C66" s="391">
        <f t="shared" si="11"/>
        <v>46129</v>
      </c>
      <c r="D66" s="398">
        <v>52755</v>
      </c>
      <c r="E66" s="226">
        <v>1344</v>
      </c>
      <c r="F66" s="34">
        <v>54099</v>
      </c>
      <c r="G66" s="404">
        <v>8383699</v>
      </c>
      <c r="H66" s="398">
        <v>79707</v>
      </c>
      <c r="I66" s="226">
        <v>26</v>
      </c>
      <c r="J66" s="34">
        <v>79733</v>
      </c>
      <c r="K66" s="404">
        <v>7794131</v>
      </c>
      <c r="L66" s="398">
        <v>132462</v>
      </c>
      <c r="M66" s="226">
        <v>1370</v>
      </c>
      <c r="N66" s="34">
        <v>133832</v>
      </c>
      <c r="O66" s="404">
        <v>16177830</v>
      </c>
    </row>
    <row r="67" spans="1:15" ht="15" thickBot="1" x14ac:dyDescent="0.35">
      <c r="A67" s="27">
        <f t="shared" si="12"/>
        <v>52</v>
      </c>
      <c r="B67" s="35">
        <v>52</v>
      </c>
      <c r="C67" s="391">
        <f t="shared" si="11"/>
        <v>46136</v>
      </c>
      <c r="D67" s="406">
        <v>31838</v>
      </c>
      <c r="E67" s="407">
        <v>0</v>
      </c>
      <c r="F67" s="408">
        <v>31838</v>
      </c>
      <c r="G67" s="404">
        <v>8415537</v>
      </c>
      <c r="H67" s="406">
        <v>74815</v>
      </c>
      <c r="I67" s="407">
        <v>0</v>
      </c>
      <c r="J67" s="408">
        <v>74815</v>
      </c>
      <c r="K67" s="404">
        <v>7868946</v>
      </c>
      <c r="L67" s="406">
        <v>106653</v>
      </c>
      <c r="M67" s="407">
        <v>0</v>
      </c>
      <c r="N67" s="408">
        <v>106653</v>
      </c>
      <c r="O67" s="404">
        <v>16284483</v>
      </c>
    </row>
    <row r="68" spans="1:15" ht="14.4" x14ac:dyDescent="0.3">
      <c r="E68" s="334"/>
    </row>
  </sheetData>
  <mergeCells count="4">
    <mergeCell ref="L3:O3"/>
    <mergeCell ref="H3:K3"/>
    <mergeCell ref="D3:G3"/>
    <mergeCell ref="B2:O2"/>
  </mergeCells>
  <phoneticPr fontId="8" type="noConversion"/>
  <pageMargins left="0.75" right="0.75" top="1" bottom="1" header="0.5" footer="0.5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F722-4DCC-4A9B-B23A-1B912E47F079}">
  <sheetPr>
    <pageSetUpPr fitToPage="1"/>
  </sheetPr>
  <dimension ref="A1:Q68"/>
  <sheetViews>
    <sheetView zoomScale="80" zoomScaleNormal="80" workbookViewId="0">
      <pane xSplit="3" ySplit="5" topLeftCell="D16" activePane="bottomRight" state="frozen"/>
      <selection pane="topRight" activeCell="D1" sqref="D1"/>
      <selection pane="bottomLeft" activeCell="A6" sqref="A6"/>
      <selection pane="bottomRight" activeCell="Q17" sqref="Q17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236" bestFit="1" customWidth="1"/>
    <col min="4" max="4" width="13.33203125" style="96" customWidth="1"/>
    <col min="5" max="5" width="12" style="2" customWidth="1"/>
    <col min="6" max="6" width="13.33203125" style="7" customWidth="1"/>
    <col min="7" max="7" width="13" style="6" customWidth="1"/>
    <col min="8" max="8" width="13.33203125" style="5" customWidth="1"/>
    <col min="9" max="9" width="11.77734375" style="5" bestFit="1" customWidth="1"/>
    <col min="10" max="10" width="11.33203125" style="7" bestFit="1" customWidth="1"/>
    <col min="11" max="11" width="13.77734375" style="6" bestFit="1" customWidth="1"/>
    <col min="12" max="12" width="13.33203125" style="96" customWidth="1"/>
    <col min="13" max="13" width="12.44140625" style="96" customWidth="1"/>
    <col min="14" max="14" width="12.109375" style="7" customWidth="1"/>
    <col min="15" max="15" width="13.109375" style="6" bestFit="1" customWidth="1"/>
    <col min="16" max="16" width="30" style="2" customWidth="1"/>
    <col min="17" max="17" width="30.44140625" style="2" customWidth="1"/>
    <col min="18" max="18" width="12.33203125" style="2" bestFit="1" customWidth="1"/>
    <col min="19" max="19" width="12.109375" style="2" bestFit="1" customWidth="1"/>
    <col min="20" max="20" width="13.109375" style="2" bestFit="1" customWidth="1"/>
    <col min="21" max="21" width="36" style="2" customWidth="1"/>
    <col min="22" max="16384" width="8.77734375" style="2"/>
  </cols>
  <sheetData>
    <row r="1" spans="1:16" ht="13.8" x14ac:dyDescent="0.25">
      <c r="A1" s="27"/>
      <c r="B1" s="27"/>
      <c r="C1" s="234"/>
      <c r="D1" s="94"/>
      <c r="E1" s="27"/>
      <c r="F1" s="28"/>
      <c r="G1" s="29"/>
      <c r="H1" s="93"/>
      <c r="I1" s="94"/>
      <c r="J1" s="28"/>
      <c r="K1" s="29"/>
      <c r="L1" s="94"/>
      <c r="M1" s="94"/>
      <c r="N1" s="28"/>
      <c r="O1" s="29"/>
    </row>
    <row r="2" spans="1:16" ht="24" customHeight="1" thickBot="1" x14ac:dyDescent="0.3">
      <c r="A2" s="27"/>
      <c r="B2" s="529" t="s">
        <v>26</v>
      </c>
      <c r="C2" s="529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16" s="3" customFormat="1" ht="18.600000000000001" thickTop="1" thickBot="1" x14ac:dyDescent="0.35">
      <c r="A3" s="30"/>
      <c r="B3" s="31"/>
      <c r="C3" s="390"/>
      <c r="D3" s="526" t="s">
        <v>27</v>
      </c>
      <c r="E3" s="527"/>
      <c r="F3" s="527"/>
      <c r="G3" s="528"/>
      <c r="H3" s="526" t="s">
        <v>28</v>
      </c>
      <c r="I3" s="527"/>
      <c r="J3" s="527"/>
      <c r="K3" s="528"/>
      <c r="L3" s="526" t="s">
        <v>29</v>
      </c>
      <c r="M3" s="527"/>
      <c r="N3" s="527"/>
      <c r="O3" s="528"/>
    </row>
    <row r="4" spans="1:16" s="1" customFormat="1" ht="29.4" thickBot="1" x14ac:dyDescent="0.3">
      <c r="A4" s="30"/>
      <c r="B4" s="32" t="s">
        <v>30</v>
      </c>
      <c r="C4" s="235" t="s">
        <v>31</v>
      </c>
      <c r="D4" s="409" t="s">
        <v>32</v>
      </c>
      <c r="E4" s="32" t="s">
        <v>33</v>
      </c>
      <c r="F4" s="32" t="s">
        <v>34</v>
      </c>
      <c r="G4" s="397" t="s">
        <v>35</v>
      </c>
      <c r="H4" s="396" t="s">
        <v>32</v>
      </c>
      <c r="I4" s="95" t="s">
        <v>33</v>
      </c>
      <c r="J4" s="32" t="s">
        <v>34</v>
      </c>
      <c r="K4" s="397" t="s">
        <v>35</v>
      </c>
      <c r="L4" s="409" t="s">
        <v>32</v>
      </c>
      <c r="M4" s="95" t="s">
        <v>33</v>
      </c>
      <c r="N4" s="32" t="s">
        <v>34</v>
      </c>
      <c r="O4" s="397" t="s">
        <v>35</v>
      </c>
    </row>
    <row r="5" spans="1:16" s="1" customFormat="1" ht="29.4" thickBot="1" x14ac:dyDescent="0.3">
      <c r="A5" s="30"/>
      <c r="B5" s="32" t="s">
        <v>36</v>
      </c>
      <c r="C5" s="235" t="s">
        <v>37</v>
      </c>
      <c r="D5" s="409" t="s">
        <v>38</v>
      </c>
      <c r="E5" s="32" t="s">
        <v>39</v>
      </c>
      <c r="F5" s="32" t="s">
        <v>40</v>
      </c>
      <c r="G5" s="397" t="s">
        <v>41</v>
      </c>
      <c r="H5" s="396" t="s">
        <v>38</v>
      </c>
      <c r="I5" s="95" t="s">
        <v>39</v>
      </c>
      <c r="J5" s="32" t="s">
        <v>40</v>
      </c>
      <c r="K5" s="397" t="s">
        <v>41</v>
      </c>
      <c r="L5" s="409" t="s">
        <v>38</v>
      </c>
      <c r="M5" s="95" t="s">
        <v>39</v>
      </c>
      <c r="N5" s="32" t="s">
        <v>40</v>
      </c>
      <c r="O5" s="397" t="s">
        <v>41</v>
      </c>
      <c r="P5" s="456"/>
    </row>
    <row r="6" spans="1:16" ht="14.4" hidden="1" x14ac:dyDescent="0.3">
      <c r="A6" s="27">
        <f t="shared" ref="A6:A13" si="0">A5+1</f>
        <v>1</v>
      </c>
      <c r="B6" s="35">
        <v>45</v>
      </c>
      <c r="C6" s="391">
        <v>45359</v>
      </c>
      <c r="D6" s="398">
        <v>21594</v>
      </c>
      <c r="E6" s="226">
        <v>2327</v>
      </c>
      <c r="F6" s="34">
        <f t="shared" ref="F6:F13" si="1">D6+E6</f>
        <v>23921</v>
      </c>
      <c r="G6" s="404">
        <v>8103033</v>
      </c>
      <c r="H6" s="398">
        <v>28410</v>
      </c>
      <c r="I6" s="226">
        <v>326</v>
      </c>
      <c r="J6" s="34">
        <f t="shared" ref="J6:J13" si="2">H6+I6</f>
        <v>28736</v>
      </c>
      <c r="K6" s="399">
        <v>7076932</v>
      </c>
      <c r="L6" s="398">
        <f t="shared" ref="L6:M13" si="3">D6+H6</f>
        <v>50004</v>
      </c>
      <c r="M6" s="226">
        <f t="shared" si="3"/>
        <v>2653</v>
      </c>
      <c r="N6" s="34">
        <f t="shared" ref="N6:N13" si="4">L6+M6</f>
        <v>52657</v>
      </c>
      <c r="O6" s="404">
        <v>15179965</v>
      </c>
    </row>
    <row r="7" spans="1:16" ht="14.4" hidden="1" x14ac:dyDescent="0.3">
      <c r="A7" s="27">
        <f t="shared" si="0"/>
        <v>2</v>
      </c>
      <c r="B7" s="36">
        <v>46</v>
      </c>
      <c r="C7" s="391">
        <f t="shared" ref="C7:C13" si="5">C6+7</f>
        <v>45366</v>
      </c>
      <c r="D7" s="398">
        <v>34438</v>
      </c>
      <c r="E7" s="226">
        <v>-2001</v>
      </c>
      <c r="F7" s="34">
        <f t="shared" si="1"/>
        <v>32437</v>
      </c>
      <c r="G7" s="404">
        <f t="shared" ref="G7:G13" si="6">G6+F7</f>
        <v>8135470</v>
      </c>
      <c r="H7" s="398">
        <v>38907</v>
      </c>
      <c r="I7" s="226">
        <v>283</v>
      </c>
      <c r="J7" s="34">
        <f t="shared" si="2"/>
        <v>39190</v>
      </c>
      <c r="K7" s="399">
        <f t="shared" ref="K7:K13" si="7">K6+J7</f>
        <v>7116122</v>
      </c>
      <c r="L7" s="398">
        <f t="shared" si="3"/>
        <v>73345</v>
      </c>
      <c r="M7" s="226">
        <f t="shared" si="3"/>
        <v>-1718</v>
      </c>
      <c r="N7" s="34">
        <f t="shared" si="4"/>
        <v>71627</v>
      </c>
      <c r="O7" s="404">
        <f t="shared" ref="O7:O13" si="8">O6+N7</f>
        <v>15251592</v>
      </c>
    </row>
    <row r="8" spans="1:16" ht="14.4" hidden="1" x14ac:dyDescent="0.3">
      <c r="A8" s="27">
        <f t="shared" si="0"/>
        <v>3</v>
      </c>
      <c r="B8" s="33">
        <v>47</v>
      </c>
      <c r="C8" s="391">
        <f t="shared" si="5"/>
        <v>45373</v>
      </c>
      <c r="D8" s="398">
        <v>42452</v>
      </c>
      <c r="E8" s="226">
        <v>-3148</v>
      </c>
      <c r="F8" s="34">
        <f t="shared" si="1"/>
        <v>39304</v>
      </c>
      <c r="G8" s="404">
        <f t="shared" si="6"/>
        <v>8174774</v>
      </c>
      <c r="H8" s="398">
        <v>59644</v>
      </c>
      <c r="I8" s="226">
        <v>-1512</v>
      </c>
      <c r="J8" s="34">
        <f t="shared" si="2"/>
        <v>58132</v>
      </c>
      <c r="K8" s="399">
        <f t="shared" si="7"/>
        <v>7174254</v>
      </c>
      <c r="L8" s="398">
        <f t="shared" si="3"/>
        <v>102096</v>
      </c>
      <c r="M8" s="226">
        <f t="shared" si="3"/>
        <v>-4660</v>
      </c>
      <c r="N8" s="34">
        <f t="shared" si="4"/>
        <v>97436</v>
      </c>
      <c r="O8" s="404">
        <f t="shared" si="8"/>
        <v>15349028</v>
      </c>
    </row>
    <row r="9" spans="1:16" ht="14.4" hidden="1" x14ac:dyDescent="0.3">
      <c r="A9" s="27">
        <f t="shared" si="0"/>
        <v>4</v>
      </c>
      <c r="B9" s="35">
        <v>48</v>
      </c>
      <c r="C9" s="391">
        <f t="shared" si="5"/>
        <v>45380</v>
      </c>
      <c r="D9" s="398">
        <v>32343</v>
      </c>
      <c r="E9" s="226">
        <v>4615</v>
      </c>
      <c r="F9" s="34">
        <f t="shared" si="1"/>
        <v>36958</v>
      </c>
      <c r="G9" s="404">
        <f t="shared" si="6"/>
        <v>8211732</v>
      </c>
      <c r="H9" s="398">
        <v>55115</v>
      </c>
      <c r="I9" s="226">
        <v>20146</v>
      </c>
      <c r="J9" s="34">
        <f t="shared" si="2"/>
        <v>75261</v>
      </c>
      <c r="K9" s="399">
        <f t="shared" si="7"/>
        <v>7249515</v>
      </c>
      <c r="L9" s="398">
        <f t="shared" si="3"/>
        <v>87458</v>
      </c>
      <c r="M9" s="226">
        <f t="shared" si="3"/>
        <v>24761</v>
      </c>
      <c r="N9" s="34">
        <f t="shared" si="4"/>
        <v>112219</v>
      </c>
      <c r="O9" s="404">
        <f t="shared" si="8"/>
        <v>15461247</v>
      </c>
    </row>
    <row r="10" spans="1:16" ht="14.4" hidden="1" x14ac:dyDescent="0.3">
      <c r="A10" s="27">
        <f t="shared" si="0"/>
        <v>5</v>
      </c>
      <c r="B10" s="35">
        <v>49</v>
      </c>
      <c r="C10" s="391">
        <f t="shared" si="5"/>
        <v>45387</v>
      </c>
      <c r="D10" s="398">
        <v>36746</v>
      </c>
      <c r="E10" s="226">
        <v>72</v>
      </c>
      <c r="F10" s="34">
        <f t="shared" si="1"/>
        <v>36818</v>
      </c>
      <c r="G10" s="404">
        <f t="shared" si="6"/>
        <v>8248550</v>
      </c>
      <c r="H10" s="398">
        <v>58426</v>
      </c>
      <c r="I10" s="226">
        <v>874</v>
      </c>
      <c r="J10" s="34">
        <f t="shared" si="2"/>
        <v>59300</v>
      </c>
      <c r="K10" s="399">
        <f t="shared" si="7"/>
        <v>7308815</v>
      </c>
      <c r="L10" s="398">
        <f t="shared" si="3"/>
        <v>95172</v>
      </c>
      <c r="M10" s="226">
        <f t="shared" si="3"/>
        <v>946</v>
      </c>
      <c r="N10" s="34">
        <f t="shared" si="4"/>
        <v>96118</v>
      </c>
      <c r="O10" s="404">
        <f t="shared" si="8"/>
        <v>15557365</v>
      </c>
    </row>
    <row r="11" spans="1:16" ht="14.4" hidden="1" x14ac:dyDescent="0.3">
      <c r="A11" s="27">
        <f t="shared" si="0"/>
        <v>6</v>
      </c>
      <c r="B11" s="36">
        <v>50</v>
      </c>
      <c r="C11" s="391">
        <f t="shared" si="5"/>
        <v>45394</v>
      </c>
      <c r="D11" s="398">
        <v>33910</v>
      </c>
      <c r="E11" s="226">
        <v>0</v>
      </c>
      <c r="F11" s="34">
        <f t="shared" si="1"/>
        <v>33910</v>
      </c>
      <c r="G11" s="404">
        <f t="shared" si="6"/>
        <v>8282460</v>
      </c>
      <c r="H11" s="398">
        <v>55801</v>
      </c>
      <c r="I11" s="226">
        <v>435</v>
      </c>
      <c r="J11" s="34">
        <f t="shared" si="2"/>
        <v>56236</v>
      </c>
      <c r="K11" s="399">
        <f t="shared" si="7"/>
        <v>7365051</v>
      </c>
      <c r="L11" s="398">
        <f t="shared" si="3"/>
        <v>89711</v>
      </c>
      <c r="M11" s="226">
        <f t="shared" si="3"/>
        <v>435</v>
      </c>
      <c r="N11" s="34">
        <f t="shared" si="4"/>
        <v>90146</v>
      </c>
      <c r="O11" s="404">
        <f t="shared" si="8"/>
        <v>15647511</v>
      </c>
    </row>
    <row r="12" spans="1:16" ht="14.4" hidden="1" x14ac:dyDescent="0.3">
      <c r="A12" s="27">
        <f t="shared" si="0"/>
        <v>7</v>
      </c>
      <c r="B12" s="33">
        <v>51</v>
      </c>
      <c r="C12" s="391">
        <f t="shared" si="5"/>
        <v>45401</v>
      </c>
      <c r="D12" s="398">
        <v>48072</v>
      </c>
      <c r="E12" s="226">
        <v>477</v>
      </c>
      <c r="F12" s="34">
        <f t="shared" si="1"/>
        <v>48549</v>
      </c>
      <c r="G12" s="404">
        <f t="shared" si="6"/>
        <v>8331009</v>
      </c>
      <c r="H12" s="398">
        <v>94448</v>
      </c>
      <c r="I12" s="226">
        <v>0</v>
      </c>
      <c r="J12" s="34">
        <f t="shared" si="2"/>
        <v>94448</v>
      </c>
      <c r="K12" s="399">
        <f t="shared" si="7"/>
        <v>7459499</v>
      </c>
      <c r="L12" s="398">
        <f t="shared" si="3"/>
        <v>142520</v>
      </c>
      <c r="M12" s="226">
        <f t="shared" si="3"/>
        <v>477</v>
      </c>
      <c r="N12" s="34">
        <f t="shared" si="4"/>
        <v>142997</v>
      </c>
      <c r="O12" s="404">
        <f t="shared" si="8"/>
        <v>15790508</v>
      </c>
    </row>
    <row r="13" spans="1:16" ht="14.4" hidden="1" x14ac:dyDescent="0.3">
      <c r="A13" s="27">
        <f t="shared" si="0"/>
        <v>8</v>
      </c>
      <c r="B13" s="35">
        <v>52</v>
      </c>
      <c r="C13" s="391">
        <f t="shared" si="5"/>
        <v>45408</v>
      </c>
      <c r="D13" s="412">
        <v>85252</v>
      </c>
      <c r="E13" s="226">
        <v>0</v>
      </c>
      <c r="F13" s="34">
        <f t="shared" si="1"/>
        <v>85252</v>
      </c>
      <c r="G13" s="404">
        <f t="shared" si="6"/>
        <v>8416261</v>
      </c>
      <c r="H13" s="398">
        <v>179247</v>
      </c>
      <c r="I13" s="226">
        <v>0</v>
      </c>
      <c r="J13" s="34">
        <f t="shared" si="2"/>
        <v>179247</v>
      </c>
      <c r="K13" s="399">
        <f t="shared" si="7"/>
        <v>7638746</v>
      </c>
      <c r="L13" s="398">
        <f t="shared" si="3"/>
        <v>264499</v>
      </c>
      <c r="M13" s="226"/>
      <c r="N13" s="34">
        <f t="shared" si="4"/>
        <v>264499</v>
      </c>
      <c r="O13" s="404">
        <f t="shared" si="8"/>
        <v>16055007</v>
      </c>
    </row>
    <row r="14" spans="1:16" ht="13.8" hidden="1" x14ac:dyDescent="0.25">
      <c r="A14" s="27"/>
      <c r="B14" s="27"/>
      <c r="C14" s="234"/>
      <c r="D14" s="400">
        <f t="shared" ref="D14:O14" si="9">SUM(D6:D13)</f>
        <v>334807</v>
      </c>
      <c r="E14" s="393">
        <f t="shared" si="9"/>
        <v>2342</v>
      </c>
      <c r="F14" s="393">
        <f t="shared" si="9"/>
        <v>337149</v>
      </c>
      <c r="G14" s="401">
        <f t="shared" si="9"/>
        <v>65903289</v>
      </c>
      <c r="H14" s="400">
        <f t="shared" si="9"/>
        <v>569998</v>
      </c>
      <c r="I14" s="393">
        <f t="shared" si="9"/>
        <v>20552</v>
      </c>
      <c r="J14" s="393">
        <f t="shared" si="9"/>
        <v>590550</v>
      </c>
      <c r="K14" s="401">
        <f t="shared" si="9"/>
        <v>58388934</v>
      </c>
      <c r="L14" s="400">
        <f t="shared" si="9"/>
        <v>904805</v>
      </c>
      <c r="M14" s="393">
        <f t="shared" si="9"/>
        <v>22894</v>
      </c>
      <c r="N14" s="393">
        <f t="shared" si="9"/>
        <v>927699</v>
      </c>
      <c r="O14" s="401">
        <f t="shared" si="9"/>
        <v>124292223</v>
      </c>
    </row>
    <row r="15" spans="1:16" ht="13.8" hidden="1" x14ac:dyDescent="0.25">
      <c r="A15" s="27"/>
      <c r="B15" s="27"/>
      <c r="C15" s="234"/>
      <c r="D15" s="410"/>
      <c r="E15" s="394"/>
      <c r="F15" s="395"/>
      <c r="G15" s="403"/>
      <c r="H15" s="402"/>
      <c r="I15" s="394"/>
      <c r="J15" s="395"/>
      <c r="K15" s="403"/>
      <c r="L15" s="410"/>
      <c r="M15" s="94"/>
      <c r="N15" s="28"/>
      <c r="O15" s="411"/>
    </row>
    <row r="16" spans="1:16" ht="14.4" x14ac:dyDescent="0.3">
      <c r="A16" s="27">
        <v>1</v>
      </c>
      <c r="B16" s="33">
        <v>1</v>
      </c>
      <c r="C16" s="392">
        <v>45779</v>
      </c>
      <c r="D16" s="398">
        <v>28062</v>
      </c>
      <c r="E16" s="226">
        <v>1070</v>
      </c>
      <c r="F16" s="34">
        <v>29132</v>
      </c>
      <c r="G16" s="404">
        <v>29132</v>
      </c>
      <c r="H16" s="398">
        <v>67676</v>
      </c>
      <c r="I16" s="226">
        <v>857</v>
      </c>
      <c r="J16" s="34">
        <v>68533</v>
      </c>
      <c r="K16" s="404">
        <v>68533</v>
      </c>
      <c r="L16" s="398">
        <v>95738</v>
      </c>
      <c r="M16" s="226">
        <v>1927</v>
      </c>
      <c r="N16" s="34">
        <v>97665</v>
      </c>
      <c r="O16" s="404">
        <v>97665</v>
      </c>
    </row>
    <row r="17" spans="1:15" ht="14.4" x14ac:dyDescent="0.3">
      <c r="A17" s="27">
        <f>A16+1</f>
        <v>2</v>
      </c>
      <c r="B17" s="36">
        <v>2</v>
      </c>
      <c r="C17" s="391">
        <f t="shared" ref="C17:C67" si="10">C16+7</f>
        <v>45786</v>
      </c>
      <c r="D17" s="398">
        <v>28999</v>
      </c>
      <c r="E17" s="226">
        <v>96</v>
      </c>
      <c r="F17" s="34">
        <v>29095</v>
      </c>
      <c r="G17" s="404">
        <v>58227</v>
      </c>
      <c r="H17" s="398">
        <v>73014</v>
      </c>
      <c r="I17" s="226">
        <v>111</v>
      </c>
      <c r="J17" s="34">
        <v>73125</v>
      </c>
      <c r="K17" s="404">
        <v>141658</v>
      </c>
      <c r="L17" s="398">
        <v>102013</v>
      </c>
      <c r="M17" s="226">
        <v>207</v>
      </c>
      <c r="N17" s="34">
        <v>102220</v>
      </c>
      <c r="O17" s="404">
        <v>199885</v>
      </c>
    </row>
    <row r="18" spans="1:15" ht="14.4" x14ac:dyDescent="0.3">
      <c r="A18" s="27">
        <f t="shared" ref="A18:A67" si="11">A17+1</f>
        <v>3</v>
      </c>
      <c r="B18" s="33">
        <v>3</v>
      </c>
      <c r="C18" s="391">
        <f t="shared" si="10"/>
        <v>45793</v>
      </c>
      <c r="D18" s="398">
        <v>67674</v>
      </c>
      <c r="E18" s="226">
        <v>0</v>
      </c>
      <c r="F18" s="34">
        <v>67674</v>
      </c>
      <c r="G18" s="404">
        <v>125901</v>
      </c>
      <c r="H18" s="398">
        <v>137597</v>
      </c>
      <c r="I18" s="226">
        <v>0</v>
      </c>
      <c r="J18" s="34">
        <v>137597</v>
      </c>
      <c r="K18" s="404">
        <v>279255</v>
      </c>
      <c r="L18" s="398">
        <v>205271</v>
      </c>
      <c r="M18" s="226">
        <v>0</v>
      </c>
      <c r="N18" s="34">
        <v>205271</v>
      </c>
      <c r="O18" s="404">
        <v>405156</v>
      </c>
    </row>
    <row r="19" spans="1:15" ht="14.4" x14ac:dyDescent="0.3">
      <c r="A19" s="27">
        <f t="shared" si="11"/>
        <v>4</v>
      </c>
      <c r="B19" s="35">
        <v>4</v>
      </c>
      <c r="C19" s="391">
        <f t="shared" si="10"/>
        <v>45800</v>
      </c>
      <c r="D19" s="398"/>
      <c r="E19" s="226"/>
      <c r="F19" s="34"/>
      <c r="G19" s="404"/>
      <c r="H19" s="398"/>
      <c r="I19" s="226"/>
      <c r="J19" s="34"/>
      <c r="K19" s="404"/>
      <c r="L19" s="398"/>
      <c r="M19" s="226"/>
      <c r="N19" s="34"/>
      <c r="O19" s="404"/>
    </row>
    <row r="20" spans="1:15" ht="14.4" x14ac:dyDescent="0.3">
      <c r="A20" s="27">
        <f t="shared" si="11"/>
        <v>5</v>
      </c>
      <c r="B20" s="35">
        <v>5</v>
      </c>
      <c r="C20" s="391">
        <f t="shared" si="10"/>
        <v>45807</v>
      </c>
      <c r="D20" s="398"/>
      <c r="E20" s="226"/>
      <c r="F20" s="34"/>
      <c r="G20" s="404"/>
      <c r="H20" s="398"/>
      <c r="I20" s="226"/>
      <c r="J20" s="34"/>
      <c r="K20" s="404"/>
      <c r="L20" s="398"/>
      <c r="M20" s="226"/>
      <c r="N20" s="34"/>
      <c r="O20" s="404"/>
    </row>
    <row r="21" spans="1:15" ht="14.4" x14ac:dyDescent="0.3">
      <c r="A21" s="27">
        <f t="shared" si="11"/>
        <v>6</v>
      </c>
      <c r="B21" s="36">
        <v>6</v>
      </c>
      <c r="C21" s="391">
        <f t="shared" si="10"/>
        <v>45814</v>
      </c>
      <c r="D21" s="398"/>
      <c r="E21" s="226"/>
      <c r="F21" s="34"/>
      <c r="G21" s="404"/>
      <c r="H21" s="398"/>
      <c r="I21" s="226"/>
      <c r="J21" s="34"/>
      <c r="K21" s="404"/>
      <c r="L21" s="398"/>
      <c r="M21" s="226"/>
      <c r="N21" s="34"/>
      <c r="O21" s="404"/>
    </row>
    <row r="22" spans="1:15" ht="14.4" x14ac:dyDescent="0.3">
      <c r="A22" s="27">
        <f t="shared" si="11"/>
        <v>7</v>
      </c>
      <c r="B22" s="33">
        <v>7</v>
      </c>
      <c r="C22" s="391">
        <f t="shared" si="10"/>
        <v>45821</v>
      </c>
      <c r="D22" s="398"/>
      <c r="E22" s="226"/>
      <c r="F22" s="34"/>
      <c r="G22" s="404"/>
      <c r="H22" s="398"/>
      <c r="I22" s="226"/>
      <c r="J22" s="34"/>
      <c r="K22" s="404"/>
      <c r="L22" s="398"/>
      <c r="M22" s="226"/>
      <c r="N22" s="34"/>
      <c r="O22" s="404"/>
    </row>
    <row r="23" spans="1:15" ht="14.4" x14ac:dyDescent="0.3">
      <c r="A23" s="27">
        <f t="shared" si="11"/>
        <v>8</v>
      </c>
      <c r="B23" s="35">
        <v>8</v>
      </c>
      <c r="C23" s="391">
        <f t="shared" si="10"/>
        <v>45828</v>
      </c>
      <c r="D23" s="398"/>
      <c r="E23" s="226"/>
      <c r="F23" s="34"/>
      <c r="G23" s="404"/>
      <c r="H23" s="398"/>
      <c r="I23" s="226"/>
      <c r="J23" s="34"/>
      <c r="K23" s="404"/>
      <c r="L23" s="398"/>
      <c r="M23" s="226"/>
      <c r="N23" s="34"/>
      <c r="O23" s="404"/>
    </row>
    <row r="24" spans="1:15" ht="14.4" x14ac:dyDescent="0.3">
      <c r="A24" s="27">
        <f t="shared" si="11"/>
        <v>9</v>
      </c>
      <c r="B24" s="35">
        <v>9</v>
      </c>
      <c r="C24" s="391">
        <f t="shared" si="10"/>
        <v>45835</v>
      </c>
      <c r="D24" s="398"/>
      <c r="E24" s="226"/>
      <c r="F24" s="34"/>
      <c r="G24" s="404"/>
      <c r="H24" s="398"/>
      <c r="I24" s="226"/>
      <c r="J24" s="34"/>
      <c r="K24" s="404"/>
      <c r="L24" s="398"/>
      <c r="M24" s="226"/>
      <c r="N24" s="34"/>
      <c r="O24" s="404"/>
    </row>
    <row r="25" spans="1:15" ht="14.4" x14ac:dyDescent="0.3">
      <c r="A25" s="27">
        <f t="shared" si="11"/>
        <v>10</v>
      </c>
      <c r="B25" s="36">
        <v>10</v>
      </c>
      <c r="C25" s="391">
        <f t="shared" si="10"/>
        <v>45842</v>
      </c>
      <c r="D25" s="398"/>
      <c r="E25" s="226"/>
      <c r="F25" s="34"/>
      <c r="G25" s="404"/>
      <c r="H25" s="398"/>
      <c r="I25" s="226"/>
      <c r="J25" s="34"/>
      <c r="K25" s="404"/>
      <c r="L25" s="398"/>
      <c r="M25" s="226"/>
      <c r="N25" s="34"/>
      <c r="O25" s="404"/>
    </row>
    <row r="26" spans="1:15" ht="14.4" x14ac:dyDescent="0.3">
      <c r="A26" s="27">
        <f t="shared" si="11"/>
        <v>11</v>
      </c>
      <c r="B26" s="33">
        <v>11</v>
      </c>
      <c r="C26" s="391">
        <f t="shared" si="10"/>
        <v>45849</v>
      </c>
      <c r="D26" s="398"/>
      <c r="E26" s="226"/>
      <c r="F26" s="34"/>
      <c r="G26" s="404"/>
      <c r="H26" s="398"/>
      <c r="I26" s="226"/>
      <c r="J26" s="34"/>
      <c r="K26" s="404"/>
      <c r="L26" s="398"/>
      <c r="M26" s="226"/>
      <c r="N26" s="34"/>
      <c r="O26" s="404"/>
    </row>
    <row r="27" spans="1:15" ht="14.4" x14ac:dyDescent="0.3">
      <c r="A27" s="27">
        <f t="shared" si="11"/>
        <v>12</v>
      </c>
      <c r="B27" s="35">
        <v>12</v>
      </c>
      <c r="C27" s="391">
        <f t="shared" si="10"/>
        <v>45856</v>
      </c>
      <c r="D27" s="398"/>
      <c r="E27" s="226"/>
      <c r="F27" s="34"/>
      <c r="G27" s="404"/>
      <c r="H27" s="398"/>
      <c r="I27" s="226"/>
      <c r="J27" s="34"/>
      <c r="K27" s="404"/>
      <c r="L27" s="398"/>
      <c r="M27" s="226"/>
      <c r="N27" s="34"/>
      <c r="O27" s="404"/>
    </row>
    <row r="28" spans="1:15" ht="14.4" x14ac:dyDescent="0.3">
      <c r="A28" s="27">
        <f t="shared" si="11"/>
        <v>13</v>
      </c>
      <c r="B28" s="35">
        <v>13</v>
      </c>
      <c r="C28" s="391">
        <f t="shared" si="10"/>
        <v>45863</v>
      </c>
      <c r="D28" s="398"/>
      <c r="E28" s="226"/>
      <c r="F28" s="34"/>
      <c r="G28" s="404"/>
      <c r="H28" s="398"/>
      <c r="I28" s="226"/>
      <c r="J28" s="34"/>
      <c r="K28" s="404"/>
      <c r="L28" s="398"/>
      <c r="M28" s="226"/>
      <c r="N28" s="34"/>
      <c r="O28" s="404"/>
    </row>
    <row r="29" spans="1:15" ht="14.4" x14ac:dyDescent="0.3">
      <c r="A29" s="27">
        <f t="shared" si="11"/>
        <v>14</v>
      </c>
      <c r="B29" s="36">
        <v>14</v>
      </c>
      <c r="C29" s="391">
        <f t="shared" si="10"/>
        <v>45870</v>
      </c>
      <c r="D29" s="398"/>
      <c r="E29" s="226"/>
      <c r="F29" s="34"/>
      <c r="G29" s="404"/>
      <c r="H29" s="398"/>
      <c r="I29" s="226"/>
      <c r="J29" s="34"/>
      <c r="K29" s="404"/>
      <c r="L29" s="398"/>
      <c r="M29" s="226"/>
      <c r="N29" s="34"/>
      <c r="O29" s="404"/>
    </row>
    <row r="30" spans="1:15" ht="14.4" x14ac:dyDescent="0.3">
      <c r="A30" s="27">
        <f t="shared" si="11"/>
        <v>15</v>
      </c>
      <c r="B30" s="33">
        <v>15</v>
      </c>
      <c r="C30" s="391">
        <f t="shared" si="10"/>
        <v>45877</v>
      </c>
      <c r="D30" s="398"/>
      <c r="E30" s="226"/>
      <c r="F30" s="34"/>
      <c r="G30" s="404"/>
      <c r="H30" s="398"/>
      <c r="I30" s="226"/>
      <c r="J30" s="34"/>
      <c r="K30" s="404"/>
      <c r="L30" s="398"/>
      <c r="M30" s="226"/>
      <c r="N30" s="34"/>
      <c r="O30" s="404"/>
    </row>
    <row r="31" spans="1:15" ht="14.4" x14ac:dyDescent="0.3">
      <c r="A31" s="27">
        <f t="shared" si="11"/>
        <v>16</v>
      </c>
      <c r="B31" s="35">
        <v>16</v>
      </c>
      <c r="C31" s="391">
        <f t="shared" si="10"/>
        <v>45884</v>
      </c>
      <c r="D31" s="398"/>
      <c r="E31" s="226"/>
      <c r="F31" s="34"/>
      <c r="G31" s="404"/>
      <c r="H31" s="398"/>
      <c r="I31" s="226"/>
      <c r="J31" s="34"/>
      <c r="K31" s="404"/>
      <c r="L31" s="398"/>
      <c r="M31" s="226"/>
      <c r="N31" s="34"/>
      <c r="O31" s="404"/>
    </row>
    <row r="32" spans="1:15" ht="14.4" x14ac:dyDescent="0.3">
      <c r="A32" s="27">
        <f t="shared" si="11"/>
        <v>17</v>
      </c>
      <c r="B32" s="35">
        <v>17</v>
      </c>
      <c r="C32" s="391">
        <f t="shared" si="10"/>
        <v>45891</v>
      </c>
      <c r="D32" s="398"/>
      <c r="E32" s="226"/>
      <c r="F32" s="34"/>
      <c r="G32" s="404"/>
      <c r="H32" s="398"/>
      <c r="I32" s="226"/>
      <c r="J32" s="34"/>
      <c r="K32" s="404"/>
      <c r="L32" s="398"/>
      <c r="M32" s="226"/>
      <c r="N32" s="34"/>
      <c r="O32" s="404"/>
    </row>
    <row r="33" spans="1:15" ht="14.4" x14ac:dyDescent="0.3">
      <c r="A33" s="27">
        <f t="shared" si="11"/>
        <v>18</v>
      </c>
      <c r="B33" s="36">
        <v>18</v>
      </c>
      <c r="C33" s="391">
        <f t="shared" si="10"/>
        <v>45898</v>
      </c>
      <c r="D33" s="398"/>
      <c r="E33" s="226"/>
      <c r="F33" s="34"/>
      <c r="G33" s="404"/>
      <c r="H33" s="398"/>
      <c r="I33" s="226"/>
      <c r="J33" s="34"/>
      <c r="K33" s="404"/>
      <c r="L33" s="398"/>
      <c r="M33" s="226"/>
      <c r="N33" s="34"/>
      <c r="O33" s="404"/>
    </row>
    <row r="34" spans="1:15" ht="14.4" x14ac:dyDescent="0.3">
      <c r="A34" s="27">
        <f t="shared" si="11"/>
        <v>19</v>
      </c>
      <c r="B34" s="33">
        <v>19</v>
      </c>
      <c r="C34" s="391">
        <f t="shared" si="10"/>
        <v>45905</v>
      </c>
      <c r="D34" s="398"/>
      <c r="E34" s="226"/>
      <c r="F34" s="34"/>
      <c r="G34" s="404"/>
      <c r="H34" s="398"/>
      <c r="I34" s="226"/>
      <c r="J34" s="34"/>
      <c r="K34" s="404"/>
      <c r="L34" s="398"/>
      <c r="M34" s="226"/>
      <c r="N34" s="34"/>
      <c r="O34" s="404"/>
    </row>
    <row r="35" spans="1:15" ht="14.4" x14ac:dyDescent="0.3">
      <c r="A35" s="27">
        <f t="shared" si="11"/>
        <v>20</v>
      </c>
      <c r="B35" s="35">
        <v>20</v>
      </c>
      <c r="C35" s="391">
        <f t="shared" si="10"/>
        <v>45912</v>
      </c>
      <c r="D35" s="398"/>
      <c r="E35" s="226"/>
      <c r="F35" s="34"/>
      <c r="G35" s="404"/>
      <c r="H35" s="398"/>
      <c r="I35" s="226"/>
      <c r="J35" s="34"/>
      <c r="K35" s="404"/>
      <c r="L35" s="398"/>
      <c r="M35" s="226"/>
      <c r="N35" s="34"/>
      <c r="O35" s="404"/>
    </row>
    <row r="36" spans="1:15" ht="14.4" x14ac:dyDescent="0.3">
      <c r="A36" s="27">
        <f t="shared" si="11"/>
        <v>21</v>
      </c>
      <c r="B36" s="35">
        <v>21</v>
      </c>
      <c r="C36" s="391">
        <f t="shared" si="10"/>
        <v>45919</v>
      </c>
      <c r="D36" s="398"/>
      <c r="E36" s="226"/>
      <c r="F36" s="34"/>
      <c r="G36" s="404"/>
      <c r="H36" s="398"/>
      <c r="I36" s="226"/>
      <c r="J36" s="34"/>
      <c r="K36" s="404"/>
      <c r="L36" s="398"/>
      <c r="M36" s="226"/>
      <c r="N36" s="34"/>
      <c r="O36" s="404"/>
    </row>
    <row r="37" spans="1:15" ht="14.4" x14ac:dyDescent="0.3">
      <c r="A37" s="27">
        <f t="shared" si="11"/>
        <v>22</v>
      </c>
      <c r="B37" s="36">
        <v>22</v>
      </c>
      <c r="C37" s="391">
        <f t="shared" si="10"/>
        <v>45926</v>
      </c>
      <c r="D37" s="398"/>
      <c r="E37" s="226"/>
      <c r="F37" s="34"/>
      <c r="G37" s="404"/>
      <c r="H37" s="398"/>
      <c r="I37" s="226"/>
      <c r="J37" s="34"/>
      <c r="K37" s="404"/>
      <c r="L37" s="398"/>
      <c r="M37" s="226"/>
      <c r="N37" s="34"/>
      <c r="O37" s="404"/>
    </row>
    <row r="38" spans="1:15" ht="14.4" x14ac:dyDescent="0.3">
      <c r="A38" s="27">
        <f t="shared" si="11"/>
        <v>23</v>
      </c>
      <c r="B38" s="33">
        <v>23</v>
      </c>
      <c r="C38" s="391">
        <f t="shared" si="10"/>
        <v>45933</v>
      </c>
      <c r="D38" s="398"/>
      <c r="E38" s="226"/>
      <c r="F38" s="34"/>
      <c r="G38" s="404"/>
      <c r="H38" s="398"/>
      <c r="I38" s="226"/>
      <c r="J38" s="34"/>
      <c r="K38" s="404"/>
      <c r="L38" s="398"/>
      <c r="M38" s="226"/>
      <c r="N38" s="34"/>
      <c r="O38" s="404"/>
    </row>
    <row r="39" spans="1:15" ht="14.4" x14ac:dyDescent="0.3">
      <c r="A39" s="27">
        <f t="shared" si="11"/>
        <v>24</v>
      </c>
      <c r="B39" s="35">
        <v>24</v>
      </c>
      <c r="C39" s="391">
        <f t="shared" si="10"/>
        <v>45940</v>
      </c>
      <c r="D39" s="398"/>
      <c r="E39" s="226"/>
      <c r="F39" s="34"/>
      <c r="G39" s="404"/>
      <c r="H39" s="398"/>
      <c r="I39" s="226"/>
      <c r="J39" s="34"/>
      <c r="K39" s="404"/>
      <c r="L39" s="398"/>
      <c r="M39" s="226"/>
      <c r="N39" s="34"/>
      <c r="O39" s="404"/>
    </row>
    <row r="40" spans="1:15" ht="14.4" x14ac:dyDescent="0.3">
      <c r="A40" s="27">
        <f t="shared" si="11"/>
        <v>25</v>
      </c>
      <c r="B40" s="35">
        <v>25</v>
      </c>
      <c r="C40" s="391">
        <f t="shared" si="10"/>
        <v>45947</v>
      </c>
      <c r="D40" s="398"/>
      <c r="E40" s="226"/>
      <c r="F40" s="34"/>
      <c r="G40" s="404"/>
      <c r="H40" s="405"/>
      <c r="I40" s="226"/>
      <c r="J40" s="34"/>
      <c r="K40" s="404"/>
      <c r="L40" s="398"/>
      <c r="M40" s="226"/>
      <c r="N40" s="34"/>
      <c r="O40" s="404"/>
    </row>
    <row r="41" spans="1:15" ht="14.4" x14ac:dyDescent="0.3">
      <c r="A41" s="27">
        <f t="shared" si="11"/>
        <v>26</v>
      </c>
      <c r="B41" s="36">
        <v>26</v>
      </c>
      <c r="C41" s="391">
        <f t="shared" si="10"/>
        <v>45954</v>
      </c>
      <c r="D41" s="398"/>
      <c r="E41" s="226"/>
      <c r="F41" s="34"/>
      <c r="G41" s="404"/>
      <c r="H41" s="405"/>
      <c r="I41" s="226"/>
      <c r="J41" s="34"/>
      <c r="K41" s="404"/>
      <c r="L41" s="398"/>
      <c r="M41" s="226"/>
      <c r="N41" s="34"/>
      <c r="O41" s="404"/>
    </row>
    <row r="42" spans="1:15" ht="14.4" x14ac:dyDescent="0.3">
      <c r="A42" s="27">
        <f t="shared" si="11"/>
        <v>27</v>
      </c>
      <c r="B42" s="33">
        <v>27</v>
      </c>
      <c r="C42" s="391">
        <f t="shared" si="10"/>
        <v>45961</v>
      </c>
      <c r="D42" s="398"/>
      <c r="E42" s="226"/>
      <c r="F42" s="34"/>
      <c r="G42" s="404"/>
      <c r="H42" s="405"/>
      <c r="I42" s="226"/>
      <c r="J42" s="34"/>
      <c r="K42" s="404"/>
      <c r="L42" s="398"/>
      <c r="M42" s="226"/>
      <c r="N42" s="34"/>
      <c r="O42" s="404"/>
    </row>
    <row r="43" spans="1:15" ht="14.4" x14ac:dyDescent="0.3">
      <c r="A43" s="27">
        <f t="shared" si="11"/>
        <v>28</v>
      </c>
      <c r="B43" s="35">
        <v>28</v>
      </c>
      <c r="C43" s="391">
        <f t="shared" si="10"/>
        <v>45968</v>
      </c>
      <c r="D43" s="398"/>
      <c r="E43" s="226"/>
      <c r="F43" s="34"/>
      <c r="G43" s="404"/>
      <c r="H43" s="405"/>
      <c r="I43" s="226"/>
      <c r="J43" s="34"/>
      <c r="K43" s="404"/>
      <c r="L43" s="398"/>
      <c r="M43" s="226"/>
      <c r="N43" s="34"/>
      <c r="O43" s="404"/>
    </row>
    <row r="44" spans="1:15" ht="14.4" x14ac:dyDescent="0.3">
      <c r="A44" s="27">
        <f t="shared" si="11"/>
        <v>29</v>
      </c>
      <c r="B44" s="35">
        <v>29</v>
      </c>
      <c r="C44" s="391">
        <f t="shared" si="10"/>
        <v>45975</v>
      </c>
      <c r="D44" s="398"/>
      <c r="E44" s="226"/>
      <c r="F44" s="34"/>
      <c r="G44" s="404"/>
      <c r="H44" s="405"/>
      <c r="I44" s="226"/>
      <c r="J44" s="34"/>
      <c r="K44" s="404"/>
      <c r="L44" s="398"/>
      <c r="M44" s="226"/>
      <c r="N44" s="34"/>
      <c r="O44" s="404"/>
    </row>
    <row r="45" spans="1:15" ht="14.4" x14ac:dyDescent="0.3">
      <c r="A45" s="27">
        <f t="shared" si="11"/>
        <v>30</v>
      </c>
      <c r="B45" s="36">
        <v>30</v>
      </c>
      <c r="C45" s="391">
        <f t="shared" si="10"/>
        <v>45982</v>
      </c>
      <c r="D45" s="398"/>
      <c r="E45" s="226"/>
      <c r="F45" s="34"/>
      <c r="G45" s="404"/>
      <c r="H45" s="405"/>
      <c r="I45" s="226"/>
      <c r="J45" s="34"/>
      <c r="K45" s="404"/>
      <c r="L45" s="398"/>
      <c r="M45" s="226"/>
      <c r="N45" s="34"/>
      <c r="O45" s="404"/>
    </row>
    <row r="46" spans="1:15" ht="14.4" x14ac:dyDescent="0.3">
      <c r="A46" s="27">
        <f t="shared" si="11"/>
        <v>31</v>
      </c>
      <c r="B46" s="33">
        <v>31</v>
      </c>
      <c r="C46" s="391">
        <f t="shared" si="10"/>
        <v>45989</v>
      </c>
      <c r="D46" s="398"/>
      <c r="E46" s="226"/>
      <c r="F46" s="34"/>
      <c r="G46" s="404"/>
      <c r="H46" s="405"/>
      <c r="I46" s="226"/>
      <c r="J46" s="34"/>
      <c r="K46" s="404"/>
      <c r="L46" s="398"/>
      <c r="M46" s="226"/>
      <c r="N46" s="34"/>
      <c r="O46" s="404"/>
    </row>
    <row r="47" spans="1:15" ht="14.4" x14ac:dyDescent="0.3">
      <c r="A47" s="27">
        <f t="shared" si="11"/>
        <v>32</v>
      </c>
      <c r="B47" s="35">
        <v>32</v>
      </c>
      <c r="C47" s="391">
        <f t="shared" si="10"/>
        <v>45996</v>
      </c>
      <c r="D47" s="398"/>
      <c r="E47" s="226"/>
      <c r="F47" s="34"/>
      <c r="G47" s="404"/>
      <c r="H47" s="398"/>
      <c r="I47" s="226"/>
      <c r="J47" s="34"/>
      <c r="K47" s="404"/>
      <c r="L47" s="398"/>
      <c r="M47" s="226"/>
      <c r="N47" s="34"/>
      <c r="O47" s="404"/>
    </row>
    <row r="48" spans="1:15" ht="14.4" x14ac:dyDescent="0.3">
      <c r="A48" s="27">
        <f t="shared" si="11"/>
        <v>33</v>
      </c>
      <c r="B48" s="35">
        <v>33</v>
      </c>
      <c r="C48" s="391">
        <f t="shared" si="10"/>
        <v>46003</v>
      </c>
      <c r="D48" s="398"/>
      <c r="E48" s="226"/>
      <c r="F48" s="34"/>
      <c r="G48" s="404"/>
      <c r="H48" s="398"/>
      <c r="I48" s="226"/>
      <c r="J48" s="34"/>
      <c r="K48" s="404"/>
      <c r="L48" s="398"/>
      <c r="M48" s="226"/>
      <c r="N48" s="34"/>
      <c r="O48" s="404"/>
    </row>
    <row r="49" spans="1:17" ht="14.4" x14ac:dyDescent="0.3">
      <c r="A49" s="27">
        <f t="shared" si="11"/>
        <v>34</v>
      </c>
      <c r="B49" s="36">
        <v>34</v>
      </c>
      <c r="C49" s="391">
        <f t="shared" si="10"/>
        <v>46010</v>
      </c>
      <c r="D49" s="398"/>
      <c r="E49" s="226"/>
      <c r="F49" s="34"/>
      <c r="G49" s="404"/>
      <c r="H49" s="398"/>
      <c r="I49" s="226"/>
      <c r="J49" s="34"/>
      <c r="K49" s="404"/>
      <c r="L49" s="398"/>
      <c r="M49" s="226"/>
      <c r="N49" s="34"/>
      <c r="O49" s="404"/>
    </row>
    <row r="50" spans="1:17" ht="14.4" x14ac:dyDescent="0.3">
      <c r="A50" s="27">
        <f t="shared" si="11"/>
        <v>35</v>
      </c>
      <c r="B50" s="33">
        <v>35</v>
      </c>
      <c r="C50" s="391">
        <f t="shared" si="10"/>
        <v>46017</v>
      </c>
      <c r="D50" s="398"/>
      <c r="E50" s="226"/>
      <c r="F50" s="34"/>
      <c r="G50" s="404"/>
      <c r="H50" s="398"/>
      <c r="I50" s="226"/>
      <c r="J50" s="34"/>
      <c r="K50" s="404"/>
      <c r="L50" s="398"/>
      <c r="M50" s="226"/>
      <c r="N50" s="34"/>
      <c r="O50" s="404"/>
    </row>
    <row r="51" spans="1:17" ht="14.4" x14ac:dyDescent="0.3">
      <c r="A51" s="27">
        <f t="shared" si="11"/>
        <v>36</v>
      </c>
      <c r="B51" s="35">
        <v>36</v>
      </c>
      <c r="C51" s="391">
        <f t="shared" si="10"/>
        <v>46024</v>
      </c>
      <c r="D51" s="398"/>
      <c r="E51" s="226"/>
      <c r="F51" s="34"/>
      <c r="G51" s="404"/>
      <c r="H51" s="398"/>
      <c r="I51" s="226"/>
      <c r="J51" s="34"/>
      <c r="K51" s="404"/>
      <c r="L51" s="398"/>
      <c r="M51" s="226"/>
      <c r="N51" s="34"/>
      <c r="O51" s="404"/>
    </row>
    <row r="52" spans="1:17" ht="14.4" x14ac:dyDescent="0.3">
      <c r="A52" s="27">
        <f t="shared" si="11"/>
        <v>37</v>
      </c>
      <c r="B52" s="35">
        <v>37</v>
      </c>
      <c r="C52" s="391">
        <f t="shared" si="10"/>
        <v>46031</v>
      </c>
      <c r="D52" s="398"/>
      <c r="E52" s="226"/>
      <c r="F52" s="34"/>
      <c r="G52" s="404"/>
      <c r="H52" s="398"/>
      <c r="I52" s="226"/>
      <c r="J52" s="34"/>
      <c r="K52" s="404"/>
      <c r="L52" s="398"/>
      <c r="M52" s="226"/>
      <c r="N52" s="34"/>
      <c r="O52" s="404"/>
      <c r="Q52" s="231"/>
    </row>
    <row r="53" spans="1:17" ht="14.4" x14ac:dyDescent="0.3">
      <c r="A53" s="27">
        <f t="shared" si="11"/>
        <v>38</v>
      </c>
      <c r="B53" s="36">
        <v>38</v>
      </c>
      <c r="C53" s="391">
        <f t="shared" si="10"/>
        <v>46038</v>
      </c>
      <c r="D53" s="398"/>
      <c r="E53" s="226"/>
      <c r="F53" s="34"/>
      <c r="G53" s="404"/>
      <c r="H53" s="398"/>
      <c r="I53" s="226"/>
      <c r="J53" s="34"/>
      <c r="K53" s="404"/>
      <c r="L53" s="398"/>
      <c r="M53" s="226"/>
      <c r="N53" s="34"/>
      <c r="O53" s="404"/>
    </row>
    <row r="54" spans="1:17" ht="14.4" x14ac:dyDescent="0.3">
      <c r="A54" s="27">
        <f t="shared" si="11"/>
        <v>39</v>
      </c>
      <c r="B54" s="33">
        <v>39</v>
      </c>
      <c r="C54" s="391">
        <f t="shared" si="10"/>
        <v>46045</v>
      </c>
      <c r="D54" s="398"/>
      <c r="E54" s="226"/>
      <c r="F54" s="34"/>
      <c r="G54" s="404"/>
      <c r="H54" s="398"/>
      <c r="I54" s="226"/>
      <c r="J54" s="34"/>
      <c r="K54" s="404"/>
      <c r="L54" s="398"/>
      <c r="M54" s="226"/>
      <c r="N54" s="34"/>
      <c r="O54" s="404"/>
    </row>
    <row r="55" spans="1:17" ht="14.4" x14ac:dyDescent="0.3">
      <c r="A55" s="27">
        <f t="shared" si="11"/>
        <v>40</v>
      </c>
      <c r="B55" s="35">
        <v>40</v>
      </c>
      <c r="C55" s="391">
        <f t="shared" si="10"/>
        <v>46052</v>
      </c>
      <c r="D55" s="398"/>
      <c r="E55" s="226"/>
      <c r="F55" s="34"/>
      <c r="G55" s="404"/>
      <c r="H55" s="398"/>
      <c r="I55" s="226"/>
      <c r="J55" s="34"/>
      <c r="K55" s="404"/>
      <c r="L55" s="398"/>
      <c r="M55" s="226"/>
      <c r="N55" s="34"/>
      <c r="O55" s="404"/>
    </row>
    <row r="56" spans="1:17" ht="14.4" x14ac:dyDescent="0.3">
      <c r="A56" s="27">
        <f t="shared" si="11"/>
        <v>41</v>
      </c>
      <c r="B56" s="35">
        <v>41</v>
      </c>
      <c r="C56" s="391">
        <f t="shared" si="10"/>
        <v>46059</v>
      </c>
      <c r="D56" s="398"/>
      <c r="E56" s="226"/>
      <c r="F56" s="34"/>
      <c r="G56" s="404"/>
      <c r="H56" s="398"/>
      <c r="I56" s="226"/>
      <c r="J56" s="34"/>
      <c r="K56" s="404"/>
      <c r="L56" s="398"/>
      <c r="M56" s="226"/>
      <c r="N56" s="34"/>
      <c r="O56" s="404"/>
    </row>
    <row r="57" spans="1:17" ht="14.4" x14ac:dyDescent="0.3">
      <c r="A57" s="27">
        <f t="shared" si="11"/>
        <v>42</v>
      </c>
      <c r="B57" s="36">
        <v>42</v>
      </c>
      <c r="C57" s="391">
        <f t="shared" si="10"/>
        <v>46066</v>
      </c>
      <c r="D57" s="398"/>
      <c r="E57" s="226"/>
      <c r="F57" s="34"/>
      <c r="G57" s="404"/>
      <c r="H57" s="398"/>
      <c r="I57" s="226"/>
      <c r="J57" s="34"/>
      <c r="K57" s="404"/>
      <c r="L57" s="398"/>
      <c r="M57" s="226"/>
      <c r="N57" s="34"/>
      <c r="O57" s="404"/>
    </row>
    <row r="58" spans="1:17" ht="14.4" x14ac:dyDescent="0.3">
      <c r="A58" s="27">
        <f t="shared" si="11"/>
        <v>43</v>
      </c>
      <c r="B58" s="33">
        <v>43</v>
      </c>
      <c r="C58" s="391">
        <f t="shared" si="10"/>
        <v>46073</v>
      </c>
      <c r="D58" s="398"/>
      <c r="E58" s="226"/>
      <c r="F58" s="34"/>
      <c r="G58" s="404"/>
      <c r="H58" s="398"/>
      <c r="I58" s="226"/>
      <c r="J58" s="34"/>
      <c r="K58" s="404"/>
      <c r="L58" s="398"/>
      <c r="M58" s="226"/>
      <c r="N58" s="34"/>
      <c r="O58" s="404"/>
    </row>
    <row r="59" spans="1:17" ht="14.4" x14ac:dyDescent="0.3">
      <c r="A59" s="27">
        <f t="shared" si="11"/>
        <v>44</v>
      </c>
      <c r="B59" s="35">
        <v>44</v>
      </c>
      <c r="C59" s="391">
        <f t="shared" si="10"/>
        <v>46080</v>
      </c>
      <c r="D59" s="398"/>
      <c r="E59" s="226"/>
      <c r="F59" s="34"/>
      <c r="G59" s="404"/>
      <c r="H59" s="398"/>
      <c r="I59" s="226"/>
      <c r="J59" s="34"/>
      <c r="K59" s="404"/>
      <c r="L59" s="398"/>
      <c r="M59" s="226"/>
      <c r="N59" s="34"/>
      <c r="O59" s="404"/>
    </row>
    <row r="60" spans="1:17" ht="14.4" x14ac:dyDescent="0.3">
      <c r="A60" s="27">
        <f t="shared" si="11"/>
        <v>45</v>
      </c>
      <c r="B60" s="35">
        <v>45</v>
      </c>
      <c r="C60" s="391">
        <f t="shared" si="10"/>
        <v>46087</v>
      </c>
      <c r="D60" s="398"/>
      <c r="E60" s="226"/>
      <c r="F60" s="34"/>
      <c r="G60" s="404"/>
      <c r="H60" s="398"/>
      <c r="I60" s="226"/>
      <c r="J60" s="34"/>
      <c r="K60" s="404"/>
      <c r="L60" s="398"/>
      <c r="M60" s="226"/>
      <c r="N60" s="34"/>
      <c r="O60" s="404"/>
    </row>
    <row r="61" spans="1:17" ht="14.4" x14ac:dyDescent="0.3">
      <c r="A61" s="27">
        <f t="shared" si="11"/>
        <v>46</v>
      </c>
      <c r="B61" s="36">
        <v>46</v>
      </c>
      <c r="C61" s="391">
        <f t="shared" si="10"/>
        <v>46094</v>
      </c>
      <c r="D61" s="398"/>
      <c r="E61" s="226"/>
      <c r="F61" s="34"/>
      <c r="G61" s="404"/>
      <c r="H61" s="398"/>
      <c r="I61" s="226"/>
      <c r="J61" s="34"/>
      <c r="K61" s="404"/>
      <c r="L61" s="398"/>
      <c r="M61" s="226"/>
      <c r="N61" s="34"/>
      <c r="O61" s="404"/>
    </row>
    <row r="62" spans="1:17" ht="14.4" x14ac:dyDescent="0.3">
      <c r="A62" s="27">
        <f t="shared" si="11"/>
        <v>47</v>
      </c>
      <c r="B62" s="33">
        <v>47</v>
      </c>
      <c r="C62" s="391">
        <f t="shared" si="10"/>
        <v>46101</v>
      </c>
      <c r="D62" s="398"/>
      <c r="E62" s="226"/>
      <c r="F62" s="34"/>
      <c r="G62" s="404"/>
      <c r="H62" s="398"/>
      <c r="I62" s="226"/>
      <c r="J62" s="34"/>
      <c r="K62" s="404"/>
      <c r="L62" s="398"/>
      <c r="M62" s="226"/>
      <c r="N62" s="34"/>
      <c r="O62" s="404"/>
    </row>
    <row r="63" spans="1:17" ht="14.4" x14ac:dyDescent="0.3">
      <c r="A63" s="27">
        <f t="shared" si="11"/>
        <v>48</v>
      </c>
      <c r="B63" s="35">
        <v>48</v>
      </c>
      <c r="C63" s="391">
        <f t="shared" si="10"/>
        <v>46108</v>
      </c>
      <c r="D63" s="398"/>
      <c r="E63" s="226"/>
      <c r="F63" s="34"/>
      <c r="G63" s="404"/>
      <c r="H63" s="398"/>
      <c r="I63" s="226"/>
      <c r="J63" s="34"/>
      <c r="K63" s="404"/>
      <c r="L63" s="398"/>
      <c r="M63" s="226"/>
      <c r="N63" s="34"/>
      <c r="O63" s="404"/>
    </row>
    <row r="64" spans="1:17" ht="14.4" x14ac:dyDescent="0.3">
      <c r="A64" s="27">
        <f t="shared" si="11"/>
        <v>49</v>
      </c>
      <c r="B64" s="35">
        <v>49</v>
      </c>
      <c r="C64" s="391">
        <f t="shared" si="10"/>
        <v>46115</v>
      </c>
      <c r="D64" s="398"/>
      <c r="E64" s="226"/>
      <c r="F64" s="34"/>
      <c r="G64" s="404"/>
      <c r="H64" s="398"/>
      <c r="I64" s="226"/>
      <c r="J64" s="34"/>
      <c r="K64" s="404"/>
      <c r="L64" s="398"/>
      <c r="M64" s="226"/>
      <c r="N64" s="34"/>
      <c r="O64" s="404"/>
    </row>
    <row r="65" spans="1:15" ht="14.4" x14ac:dyDescent="0.3">
      <c r="A65" s="27">
        <f t="shared" si="11"/>
        <v>50</v>
      </c>
      <c r="B65" s="36">
        <v>50</v>
      </c>
      <c r="C65" s="391">
        <f t="shared" si="10"/>
        <v>46122</v>
      </c>
      <c r="D65" s="398"/>
      <c r="E65" s="226"/>
      <c r="F65" s="34"/>
      <c r="G65" s="404"/>
      <c r="H65" s="398"/>
      <c r="I65" s="226"/>
      <c r="J65" s="34"/>
      <c r="K65" s="404"/>
      <c r="L65" s="398"/>
      <c r="M65" s="226"/>
      <c r="N65" s="34"/>
      <c r="O65" s="404"/>
    </row>
    <row r="66" spans="1:15" ht="14.4" x14ac:dyDescent="0.3">
      <c r="A66" s="27">
        <f t="shared" si="11"/>
        <v>51</v>
      </c>
      <c r="B66" s="33">
        <v>51</v>
      </c>
      <c r="C66" s="391">
        <f t="shared" si="10"/>
        <v>46129</v>
      </c>
      <c r="D66" s="398"/>
      <c r="E66" s="226"/>
      <c r="F66" s="34"/>
      <c r="G66" s="404"/>
      <c r="H66" s="398"/>
      <c r="I66" s="226"/>
      <c r="J66" s="34"/>
      <c r="K66" s="404"/>
      <c r="L66" s="398"/>
      <c r="M66" s="226"/>
      <c r="N66" s="34"/>
      <c r="O66" s="404"/>
    </row>
    <row r="67" spans="1:15" ht="15" thickBot="1" x14ac:dyDescent="0.35">
      <c r="A67" s="27">
        <f t="shared" si="11"/>
        <v>52</v>
      </c>
      <c r="B67" s="35">
        <v>52</v>
      </c>
      <c r="C67" s="391">
        <f t="shared" si="10"/>
        <v>46136</v>
      </c>
      <c r="D67" s="406"/>
      <c r="E67" s="407"/>
      <c r="F67" s="408"/>
      <c r="G67" s="404"/>
      <c r="H67" s="406"/>
      <c r="I67" s="407"/>
      <c r="J67" s="408"/>
      <c r="K67" s="404"/>
      <c r="L67" s="406"/>
      <c r="M67" s="407"/>
      <c r="N67" s="408"/>
      <c r="O67" s="404"/>
    </row>
    <row r="68" spans="1:15" ht="14.4" x14ac:dyDescent="0.3">
      <c r="C68" s="236" t="s">
        <v>55</v>
      </c>
      <c r="E68" s="334"/>
      <c r="F68" s="492">
        <f>SUM(F16:F67)</f>
        <v>125901</v>
      </c>
      <c r="J68" s="493">
        <f>SUM(J16:J67)</f>
        <v>279255</v>
      </c>
      <c r="N68" s="493">
        <f>SUM(N16:N67)</f>
        <v>405156</v>
      </c>
    </row>
  </sheetData>
  <mergeCells count="4">
    <mergeCell ref="B2:O2"/>
    <mergeCell ref="D3:G3"/>
    <mergeCell ref="H3:K3"/>
    <mergeCell ref="L3:O3"/>
  </mergeCells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C84"/>
  <sheetViews>
    <sheetView showGridLines="0" showWhiteSpace="0" zoomScale="80" zoomScaleNormal="80" workbookViewId="0">
      <pane xSplit="3" ySplit="3" topLeftCell="P12" activePane="bottomRight" state="frozen"/>
      <selection pane="topRight" activeCell="D1" sqref="D1"/>
      <selection pane="bottomLeft" activeCell="A4" sqref="A4"/>
      <selection pane="bottomRight" activeCell="AD47" sqref="AD47"/>
    </sheetView>
  </sheetViews>
  <sheetFormatPr defaultColWidth="9.109375" defaultRowHeight="11.4" x14ac:dyDescent="0.2"/>
  <cols>
    <col min="1" max="1" width="8.77734375" style="2" customWidth="1"/>
    <col min="2" max="2" width="26.6640625" style="439" customWidth="1"/>
    <col min="3" max="3" width="23.77734375" style="4" customWidth="1"/>
    <col min="4" max="4" width="15.33203125" style="4" hidden="1" customWidth="1"/>
    <col min="5" max="5" width="14.44140625" style="4" hidden="1" customWidth="1"/>
    <col min="6" max="6" width="15.109375" style="2" hidden="1" customWidth="1"/>
    <col min="7" max="7" width="14.44140625" style="2" hidden="1" customWidth="1"/>
    <col min="8" max="8" width="14.77734375" style="69" hidden="1" customWidth="1"/>
    <col min="9" max="9" width="14.33203125" style="2" hidden="1" customWidth="1"/>
    <col min="10" max="10" width="15.33203125" style="2" hidden="1" customWidth="1"/>
    <col min="11" max="11" width="15.44140625" style="2" hidden="1" customWidth="1"/>
    <col min="12" max="14" width="17.109375" style="2" hidden="1" customWidth="1"/>
    <col min="15" max="15" width="14.44140625" style="2" customWidth="1"/>
    <col min="16" max="17" width="14.44140625" style="2" bestFit="1" customWidth="1"/>
    <col min="18" max="21" width="14.44140625" style="2" customWidth="1"/>
    <col min="22" max="22" width="13.44140625" style="2" customWidth="1"/>
    <col min="23" max="23" width="16.77734375" style="2" bestFit="1" customWidth="1"/>
    <col min="24" max="24" width="13.33203125" style="375" bestFit="1" customWidth="1"/>
    <col min="25" max="25" width="11.33203125" style="2" bestFit="1" customWidth="1"/>
    <col min="26" max="26" width="19.44140625" style="2" bestFit="1" customWidth="1"/>
    <col min="27" max="27" width="16.109375" style="2" bestFit="1" customWidth="1"/>
    <col min="28" max="16384" width="9.109375" style="2"/>
  </cols>
  <sheetData>
    <row r="1" spans="2:27" ht="12" thickBot="1" x14ac:dyDescent="0.25"/>
    <row r="2" spans="2:27" ht="23.4" thickBot="1" x14ac:dyDescent="0.45">
      <c r="B2" s="506" t="s">
        <v>103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374"/>
    </row>
    <row r="3" spans="2:27" s="1" customFormat="1" ht="17.399999999999999" x14ac:dyDescent="0.35">
      <c r="B3" s="440" t="s">
        <v>30</v>
      </c>
      <c r="C3" s="122" t="s">
        <v>31</v>
      </c>
      <c r="D3" s="173" t="s">
        <v>59</v>
      </c>
      <c r="E3" s="173" t="s">
        <v>60</v>
      </c>
      <c r="F3" s="173" t="s">
        <v>62</v>
      </c>
      <c r="G3" s="183" t="s">
        <v>63</v>
      </c>
      <c r="H3" s="173" t="s">
        <v>64</v>
      </c>
      <c r="I3" s="173" t="s">
        <v>65</v>
      </c>
      <c r="J3" s="184" t="s">
        <v>66</v>
      </c>
      <c r="K3" s="184" t="s">
        <v>67</v>
      </c>
      <c r="L3" s="184" t="s">
        <v>68</v>
      </c>
      <c r="M3" s="290" t="s">
        <v>69</v>
      </c>
      <c r="N3" s="143" t="s">
        <v>70</v>
      </c>
      <c r="O3" s="270" t="s">
        <v>71</v>
      </c>
      <c r="P3" s="270" t="s">
        <v>72</v>
      </c>
      <c r="Q3" s="270" t="s">
        <v>73</v>
      </c>
      <c r="R3" s="270" t="s">
        <v>74</v>
      </c>
      <c r="S3" s="270" t="s">
        <v>117</v>
      </c>
      <c r="T3" s="270" t="s">
        <v>131</v>
      </c>
      <c r="U3" s="457" t="s">
        <v>148</v>
      </c>
      <c r="V3" s="199" t="s">
        <v>76</v>
      </c>
      <c r="W3" s="199" t="s">
        <v>77</v>
      </c>
      <c r="X3" s="389"/>
    </row>
    <row r="4" spans="2:27" ht="14.4" hidden="1" x14ac:dyDescent="0.3">
      <c r="B4" s="441">
        <v>45</v>
      </c>
      <c r="C4" s="113" t="s">
        <v>104</v>
      </c>
      <c r="D4" s="20">
        <v>14000</v>
      </c>
      <c r="E4" s="20">
        <v>9000</v>
      </c>
      <c r="F4" s="41">
        <v>27000</v>
      </c>
      <c r="G4" s="17">
        <v>53181</v>
      </c>
      <c r="H4" s="133">
        <v>17466</v>
      </c>
      <c r="I4" s="128">
        <v>28346</v>
      </c>
      <c r="J4" s="131">
        <v>29898</v>
      </c>
      <c r="K4" s="131">
        <v>36209</v>
      </c>
      <c r="L4" s="131">
        <v>13326</v>
      </c>
      <c r="M4" s="131">
        <v>5160</v>
      </c>
      <c r="N4" s="131">
        <v>7344</v>
      </c>
      <c r="O4" s="287">
        <v>9127</v>
      </c>
      <c r="P4" s="287">
        <v>8444</v>
      </c>
      <c r="Q4" s="287">
        <v>20073</v>
      </c>
      <c r="R4" s="287">
        <v>22481</v>
      </c>
      <c r="S4" s="287">
        <v>23921</v>
      </c>
      <c r="T4" s="287">
        <v>23921</v>
      </c>
      <c r="U4" s="458"/>
      <c r="V4" s="254">
        <f>AVERAGE(M4:R4)</f>
        <v>12104.833333333334</v>
      </c>
      <c r="W4" s="254"/>
    </row>
    <row r="5" spans="2:27" s="1" customFormat="1" ht="14.4" hidden="1" x14ac:dyDescent="0.3">
      <c r="B5" s="441">
        <v>46</v>
      </c>
      <c r="C5" s="113" t="s">
        <v>105</v>
      </c>
      <c r="D5" s="20">
        <v>81000</v>
      </c>
      <c r="E5" s="20">
        <v>3000</v>
      </c>
      <c r="F5" s="41">
        <v>42000</v>
      </c>
      <c r="G5" s="17">
        <v>58073</v>
      </c>
      <c r="H5" s="133">
        <v>16832</v>
      </c>
      <c r="I5" s="128">
        <v>36727</v>
      </c>
      <c r="J5" s="131">
        <v>44640</v>
      </c>
      <c r="K5" s="131">
        <v>77684</v>
      </c>
      <c r="L5" s="131">
        <v>17827</v>
      </c>
      <c r="M5" s="131">
        <v>1635</v>
      </c>
      <c r="N5" s="131">
        <v>4120</v>
      </c>
      <c r="O5" s="287">
        <v>11229</v>
      </c>
      <c r="P5" s="287">
        <v>7408</v>
      </c>
      <c r="Q5" s="287">
        <v>22482</v>
      </c>
      <c r="R5" s="287">
        <v>31801</v>
      </c>
      <c r="S5" s="287">
        <v>32437</v>
      </c>
      <c r="T5" s="287">
        <v>32437</v>
      </c>
      <c r="U5" s="458"/>
      <c r="V5" s="254">
        <f t="shared" ref="V5:V10" si="0">AVERAGE(M5:R5)</f>
        <v>13112.5</v>
      </c>
      <c r="W5" s="254"/>
      <c r="X5" s="389"/>
    </row>
    <row r="6" spans="2:27" s="1" customFormat="1" ht="14.4" hidden="1" x14ac:dyDescent="0.3">
      <c r="B6" s="441">
        <v>47</v>
      </c>
      <c r="C6" s="113" t="s">
        <v>106</v>
      </c>
      <c r="D6" s="113" t="s">
        <v>107</v>
      </c>
      <c r="E6" s="113" t="s">
        <v>108</v>
      </c>
      <c r="F6" s="41">
        <v>40000</v>
      </c>
      <c r="G6" s="17">
        <v>92058</v>
      </c>
      <c r="H6" s="133">
        <v>30836</v>
      </c>
      <c r="I6" s="128">
        <v>34682</v>
      </c>
      <c r="J6" s="131">
        <v>38794</v>
      </c>
      <c r="K6" s="131">
        <v>76354</v>
      </c>
      <c r="L6" s="131">
        <v>8388</v>
      </c>
      <c r="M6" s="131">
        <v>1951</v>
      </c>
      <c r="N6" s="131">
        <v>7498</v>
      </c>
      <c r="O6" s="287">
        <v>10015</v>
      </c>
      <c r="P6" s="287">
        <v>46816</v>
      </c>
      <c r="Q6" s="287">
        <v>15725</v>
      </c>
      <c r="R6" s="287">
        <v>35220</v>
      </c>
      <c r="S6" s="287">
        <v>39304</v>
      </c>
      <c r="T6" s="287">
        <v>39304</v>
      </c>
      <c r="U6" s="458"/>
      <c r="V6" s="254">
        <f t="shared" si="0"/>
        <v>19537.5</v>
      </c>
      <c r="W6" s="254"/>
      <c r="X6" s="389"/>
    </row>
    <row r="7" spans="2:27" s="1" customFormat="1" ht="14.4" hidden="1" x14ac:dyDescent="0.3">
      <c r="B7" s="441">
        <v>48</v>
      </c>
      <c r="C7" s="113" t="s">
        <v>109</v>
      </c>
      <c r="D7" s="20">
        <v>6000</v>
      </c>
      <c r="E7" s="20">
        <v>2000</v>
      </c>
      <c r="F7" s="41">
        <v>52000</v>
      </c>
      <c r="G7" s="17">
        <v>44272</v>
      </c>
      <c r="H7" s="133">
        <v>87845</v>
      </c>
      <c r="I7" s="128">
        <v>100063</v>
      </c>
      <c r="J7" s="131">
        <v>134526</v>
      </c>
      <c r="K7" s="131">
        <v>174620</v>
      </c>
      <c r="L7" s="131">
        <v>58012</v>
      </c>
      <c r="M7" s="131">
        <v>25298</v>
      </c>
      <c r="N7" s="131">
        <v>29514</v>
      </c>
      <c r="O7" s="287">
        <v>57924</v>
      </c>
      <c r="P7" s="287">
        <v>1726</v>
      </c>
      <c r="Q7" s="287">
        <v>28193</v>
      </c>
      <c r="R7" s="287">
        <v>85657</v>
      </c>
      <c r="S7" s="287">
        <v>36958</v>
      </c>
      <c r="T7" s="287">
        <v>36958</v>
      </c>
      <c r="U7" s="458"/>
      <c r="V7" s="254">
        <f t="shared" si="0"/>
        <v>38052</v>
      </c>
      <c r="W7" s="254"/>
      <c r="X7" s="389"/>
    </row>
    <row r="8" spans="2:27" s="1" customFormat="1" ht="14.4" hidden="1" x14ac:dyDescent="0.3">
      <c r="B8" s="441">
        <v>49</v>
      </c>
      <c r="C8" s="113" t="s">
        <v>110</v>
      </c>
      <c r="D8" s="20">
        <v>7000</v>
      </c>
      <c r="E8" s="20">
        <v>3000</v>
      </c>
      <c r="F8" s="41">
        <v>35000</v>
      </c>
      <c r="G8" s="17">
        <v>40598</v>
      </c>
      <c r="H8" s="133">
        <v>34657</v>
      </c>
      <c r="I8" s="128">
        <v>27403</v>
      </c>
      <c r="J8" s="131">
        <v>22890</v>
      </c>
      <c r="K8" s="131">
        <v>90941</v>
      </c>
      <c r="L8" s="131">
        <v>7089</v>
      </c>
      <c r="M8" s="131">
        <v>6254</v>
      </c>
      <c r="N8" s="131">
        <v>3059</v>
      </c>
      <c r="O8" s="287">
        <v>3074</v>
      </c>
      <c r="P8" s="287">
        <v>16362</v>
      </c>
      <c r="Q8" s="287">
        <v>9429</v>
      </c>
      <c r="R8" s="287">
        <v>41051</v>
      </c>
      <c r="S8" s="287">
        <v>36818</v>
      </c>
      <c r="T8" s="287">
        <v>36818</v>
      </c>
      <c r="U8" s="458"/>
      <c r="V8" s="254">
        <f t="shared" si="0"/>
        <v>13204.833333333334</v>
      </c>
      <c r="W8" s="254"/>
      <c r="X8" s="389"/>
    </row>
    <row r="9" spans="2:27" s="1" customFormat="1" ht="14.4" hidden="1" x14ac:dyDescent="0.3">
      <c r="B9" s="441">
        <v>50</v>
      </c>
      <c r="C9" s="113" t="s">
        <v>111</v>
      </c>
      <c r="D9" s="20">
        <v>10000</v>
      </c>
      <c r="E9" s="20">
        <v>38000</v>
      </c>
      <c r="F9" s="41">
        <v>93000</v>
      </c>
      <c r="G9" s="17">
        <v>94097</v>
      </c>
      <c r="H9" s="133">
        <v>51986</v>
      </c>
      <c r="I9" s="128">
        <v>33877</v>
      </c>
      <c r="J9" s="131">
        <v>70188</v>
      </c>
      <c r="K9" s="131">
        <v>46810</v>
      </c>
      <c r="L9" s="131">
        <v>17603</v>
      </c>
      <c r="M9" s="131">
        <v>9992</v>
      </c>
      <c r="N9" s="131">
        <v>5994</v>
      </c>
      <c r="O9" s="287">
        <v>16900</v>
      </c>
      <c r="P9" s="287">
        <v>5462</v>
      </c>
      <c r="Q9" s="287">
        <v>13497</v>
      </c>
      <c r="R9" s="287">
        <v>50927</v>
      </c>
      <c r="S9" s="287">
        <v>33811</v>
      </c>
      <c r="T9" s="287">
        <v>33811</v>
      </c>
      <c r="U9" s="458"/>
      <c r="V9" s="254">
        <f t="shared" si="0"/>
        <v>17128.666666666668</v>
      </c>
      <c r="W9" s="254"/>
      <c r="X9" s="389"/>
    </row>
    <row r="10" spans="2:27" ht="14.4" hidden="1" x14ac:dyDescent="0.3">
      <c r="B10" s="441">
        <v>51</v>
      </c>
      <c r="C10" s="113" t="s">
        <v>112</v>
      </c>
      <c r="D10" s="20">
        <v>0</v>
      </c>
      <c r="E10" s="20">
        <v>33000</v>
      </c>
      <c r="F10" s="41">
        <v>144000</v>
      </c>
      <c r="G10" s="17">
        <v>181300</v>
      </c>
      <c r="H10" s="133">
        <v>47621</v>
      </c>
      <c r="I10" s="128">
        <v>72371</v>
      </c>
      <c r="J10" s="131">
        <v>95688</v>
      </c>
      <c r="K10" s="131">
        <v>89128</v>
      </c>
      <c r="L10" s="131">
        <v>22826</v>
      </c>
      <c r="M10" s="131">
        <v>11219</v>
      </c>
      <c r="N10" s="131">
        <v>10341</v>
      </c>
      <c r="O10" s="287">
        <v>43770</v>
      </c>
      <c r="P10" s="287">
        <v>8259</v>
      </c>
      <c r="Q10" s="287">
        <v>26981</v>
      </c>
      <c r="R10" s="287">
        <v>89194</v>
      </c>
      <c r="S10" s="287">
        <v>47444</v>
      </c>
      <c r="T10" s="287">
        <v>47444</v>
      </c>
      <c r="U10" s="458"/>
      <c r="V10" s="254">
        <f t="shared" si="0"/>
        <v>31627.333333333332</v>
      </c>
      <c r="W10" s="254"/>
    </row>
    <row r="11" spans="2:27" ht="14.4" hidden="1" x14ac:dyDescent="0.3">
      <c r="B11" s="442"/>
      <c r="C11" s="260"/>
      <c r="D11" s="112"/>
      <c r="E11" s="115">
        <v>14000</v>
      </c>
      <c r="F11" s="112">
        <v>50000</v>
      </c>
      <c r="G11" s="115">
        <v>144835</v>
      </c>
      <c r="H11" s="174">
        <v>77847</v>
      </c>
      <c r="I11" s="174">
        <v>19472</v>
      </c>
      <c r="J11" s="174"/>
      <c r="K11" s="190"/>
      <c r="L11" s="174"/>
      <c r="M11" s="249"/>
      <c r="N11" s="249"/>
      <c r="O11" s="289"/>
      <c r="P11" s="288"/>
      <c r="Q11" s="174"/>
      <c r="R11" s="289">
        <v>143557</v>
      </c>
      <c r="S11" s="288">
        <v>143326</v>
      </c>
      <c r="T11" s="288">
        <v>143326</v>
      </c>
      <c r="U11" s="288"/>
      <c r="V11" s="281"/>
      <c r="W11" s="281"/>
    </row>
    <row r="12" spans="2:27" ht="13.8" x14ac:dyDescent="0.25">
      <c r="B12" s="443" t="s">
        <v>113</v>
      </c>
      <c r="C12" s="91"/>
      <c r="D12" s="155"/>
      <c r="E12" s="154"/>
      <c r="F12" s="154"/>
      <c r="G12" s="154"/>
      <c r="H12" s="154"/>
      <c r="I12" s="154"/>
      <c r="J12" s="154"/>
      <c r="K12" s="172"/>
      <c r="L12" s="187"/>
      <c r="M12" s="237"/>
      <c r="N12" s="237">
        <v>0</v>
      </c>
      <c r="O12" s="69"/>
      <c r="P12" s="69"/>
      <c r="Q12" s="69"/>
      <c r="R12" s="69"/>
      <c r="S12" s="69"/>
      <c r="T12" s="69"/>
      <c r="V12" s="251"/>
      <c r="W12" s="251"/>
    </row>
    <row r="13" spans="2:27" ht="12" x14ac:dyDescent="0.25">
      <c r="B13" s="443" t="s">
        <v>87</v>
      </c>
      <c r="C13" s="10"/>
      <c r="D13" s="142">
        <v>80337</v>
      </c>
      <c r="E13" s="126">
        <v>49813</v>
      </c>
      <c r="F13" s="142">
        <f>SUM(F5:F8)</f>
        <v>169000</v>
      </c>
      <c r="G13" s="142">
        <f>SUM(G5:G8)</f>
        <v>235001</v>
      </c>
      <c r="H13" s="142">
        <f>SUM(H5:H8)</f>
        <v>170170</v>
      </c>
      <c r="I13" s="142">
        <f>SUM(I5:I8)</f>
        <v>198875</v>
      </c>
      <c r="J13" s="142">
        <f>SUM(J5:J8)</f>
        <v>240850</v>
      </c>
      <c r="K13" s="142">
        <v>128632</v>
      </c>
      <c r="L13" s="142">
        <v>280641</v>
      </c>
      <c r="M13" s="142">
        <v>49811</v>
      </c>
      <c r="N13" s="257">
        <v>35104</v>
      </c>
      <c r="O13" s="271">
        <v>48476</v>
      </c>
      <c r="P13" s="271">
        <v>88582</v>
      </c>
      <c r="Q13" s="271">
        <v>68189</v>
      </c>
      <c r="R13" s="271">
        <v>97033</v>
      </c>
      <c r="S13" s="271">
        <v>136965</v>
      </c>
      <c r="T13" s="271">
        <v>141957</v>
      </c>
      <c r="U13" s="459">
        <f>SUM('Mielies-Maize 2025'!D60:D63)</f>
        <v>156742</v>
      </c>
      <c r="V13" s="252">
        <f>AVERAGE(O13:S13)</f>
        <v>87849</v>
      </c>
      <c r="W13" s="252"/>
    </row>
    <row r="14" spans="2:27" ht="12" x14ac:dyDescent="0.25">
      <c r="B14" s="443" t="s">
        <v>88</v>
      </c>
      <c r="C14" s="10"/>
      <c r="D14" s="142">
        <v>248004</v>
      </c>
      <c r="E14" s="126">
        <v>65890</v>
      </c>
      <c r="F14" s="142">
        <f>SUM(F9:F10)</f>
        <v>237000</v>
      </c>
      <c r="G14" s="142">
        <f>SUM(G9:G10)</f>
        <v>275397</v>
      </c>
      <c r="H14" s="142">
        <f>SUM(H9:H10)</f>
        <v>99607</v>
      </c>
      <c r="I14" s="142">
        <f>SUM(I9:I10)</f>
        <v>106248</v>
      </c>
      <c r="J14" s="142">
        <f>SUM(J9:J10)</f>
        <v>165876</v>
      </c>
      <c r="K14" s="142">
        <v>159424</v>
      </c>
      <c r="L14" s="142">
        <v>222910</v>
      </c>
      <c r="M14" s="142">
        <v>67558</v>
      </c>
      <c r="N14" s="257">
        <v>50794</v>
      </c>
      <c r="O14" s="271">
        <v>82765</v>
      </c>
      <c r="P14" s="271">
        <v>348454</v>
      </c>
      <c r="Q14" s="271">
        <v>72999</v>
      </c>
      <c r="R14" s="271">
        <v>97172</v>
      </c>
      <c r="S14" s="271">
        <v>261327</v>
      </c>
      <c r="T14" s="271">
        <v>103123</v>
      </c>
      <c r="U14" s="459">
        <f>SUM('Mielies-Maize 2025'!D64:D67)</f>
        <v>155313</v>
      </c>
      <c r="V14" s="252">
        <f>AVERAGE(O14:S14)</f>
        <v>172543.4</v>
      </c>
      <c r="W14" s="252"/>
    </row>
    <row r="15" spans="2:27" ht="15" thickBot="1" x14ac:dyDescent="0.35">
      <c r="B15" s="444" t="s">
        <v>89</v>
      </c>
      <c r="C15" s="108"/>
      <c r="D15" s="144">
        <f t="shared" ref="D15:I15" si="1">SUM(D13:D14)</f>
        <v>328341</v>
      </c>
      <c r="E15" s="127">
        <f t="shared" si="1"/>
        <v>115703</v>
      </c>
      <c r="F15" s="127">
        <f t="shared" si="1"/>
        <v>406000</v>
      </c>
      <c r="G15" s="158">
        <f t="shared" si="1"/>
        <v>510398</v>
      </c>
      <c r="H15" s="127">
        <f t="shared" si="1"/>
        <v>269777</v>
      </c>
      <c r="I15" s="158">
        <f t="shared" si="1"/>
        <v>305123</v>
      </c>
      <c r="J15" s="146">
        <v>174836</v>
      </c>
      <c r="K15" s="144">
        <f>K13+K14</f>
        <v>288056</v>
      </c>
      <c r="L15" s="144">
        <v>610419</v>
      </c>
      <c r="M15" s="238">
        <v>117369</v>
      </c>
      <c r="N15" s="238">
        <v>85898</v>
      </c>
      <c r="O15" s="353">
        <v>131241</v>
      </c>
      <c r="P15" s="353">
        <f>P12+P13+P14</f>
        <v>437036</v>
      </c>
      <c r="Q15" s="353">
        <f>Q12+Q13+Q14</f>
        <v>141188</v>
      </c>
      <c r="R15" s="353">
        <f>SUM(R12:R14)</f>
        <v>194205</v>
      </c>
      <c r="S15" s="353">
        <f>SUM(S12:S14)</f>
        <v>398292</v>
      </c>
      <c r="T15" s="353">
        <f>SUM(T12:T14)</f>
        <v>245080</v>
      </c>
      <c r="U15" s="353">
        <f>SUM(U12:U14)</f>
        <v>312055</v>
      </c>
      <c r="V15" s="252">
        <f>V13+V14</f>
        <v>260392.4</v>
      </c>
      <c r="W15" s="252"/>
    </row>
    <row r="16" spans="2:27" ht="17.399999999999999" x14ac:dyDescent="0.35">
      <c r="B16" s="445" t="s">
        <v>30</v>
      </c>
      <c r="C16" s="104" t="s">
        <v>31</v>
      </c>
      <c r="D16" s="106" t="s">
        <v>59</v>
      </c>
      <c r="E16" s="103" t="s">
        <v>60</v>
      </c>
      <c r="F16" s="103" t="str">
        <f>F3</f>
        <v>2011/12</v>
      </c>
      <c r="G16" s="106" t="str">
        <f>G3</f>
        <v>2012/13</v>
      </c>
      <c r="H16" s="103" t="str">
        <f>H3</f>
        <v>2013/14</v>
      </c>
      <c r="I16" s="132" t="s">
        <v>65</v>
      </c>
      <c r="J16" s="132" t="s">
        <v>66</v>
      </c>
      <c r="K16" s="132" t="s">
        <v>67</v>
      </c>
      <c r="L16" s="106" t="s">
        <v>68</v>
      </c>
      <c r="M16" s="106" t="s">
        <v>69</v>
      </c>
      <c r="N16" s="183" t="str">
        <f t="shared" ref="N16:S16" si="2">N3</f>
        <v>2019/20</v>
      </c>
      <c r="O16" s="183" t="str">
        <f t="shared" si="2"/>
        <v>2020/21</v>
      </c>
      <c r="P16" s="183" t="str">
        <f t="shared" si="2"/>
        <v>2021/22</v>
      </c>
      <c r="Q16" s="183" t="str">
        <f t="shared" si="2"/>
        <v>2022/23</v>
      </c>
      <c r="R16" s="183" t="str">
        <f t="shared" si="2"/>
        <v>2023/24</v>
      </c>
      <c r="S16" s="183" t="str">
        <f t="shared" si="2"/>
        <v>2024/25</v>
      </c>
      <c r="T16" s="183" t="str">
        <f t="shared" ref="T16" si="3">T3</f>
        <v>2025/26</v>
      </c>
      <c r="U16" s="143" t="str">
        <f>U3</f>
        <v>2026/27*</v>
      </c>
      <c r="V16" s="199" t="s">
        <v>76</v>
      </c>
      <c r="W16" s="381" t="s">
        <v>164</v>
      </c>
      <c r="X16" s="494" t="s">
        <v>114</v>
      </c>
      <c r="Y16" s="495" t="s">
        <v>153</v>
      </c>
      <c r="Z16" s="496" t="s">
        <v>161</v>
      </c>
      <c r="AA16" s="496" t="s">
        <v>163</v>
      </c>
    </row>
    <row r="17" spans="2:29" ht="14.4" x14ac:dyDescent="0.3">
      <c r="B17" s="446" t="s">
        <v>90</v>
      </c>
      <c r="C17" s="582" t="s">
        <v>90</v>
      </c>
      <c r="D17" s="583">
        <f t="shared" ref="D17:K17" si="4">D15</f>
        <v>328341</v>
      </c>
      <c r="E17" s="584">
        <f t="shared" si="4"/>
        <v>115703</v>
      </c>
      <c r="F17" s="584">
        <f t="shared" si="4"/>
        <v>406000</v>
      </c>
      <c r="G17" s="584">
        <f t="shared" si="4"/>
        <v>510398</v>
      </c>
      <c r="H17" s="584">
        <f t="shared" si="4"/>
        <v>269777</v>
      </c>
      <c r="I17" s="584">
        <f t="shared" si="4"/>
        <v>305123</v>
      </c>
      <c r="J17" s="584">
        <f t="shared" si="4"/>
        <v>174836</v>
      </c>
      <c r="K17" s="584">
        <f t="shared" si="4"/>
        <v>288056</v>
      </c>
      <c r="L17" s="584">
        <f>L15</f>
        <v>610419</v>
      </c>
      <c r="M17" s="584">
        <f t="shared" ref="M17:R17" si="5">M15</f>
        <v>117369</v>
      </c>
      <c r="N17" s="584">
        <f t="shared" si="5"/>
        <v>85898</v>
      </c>
      <c r="O17" s="584">
        <f t="shared" si="5"/>
        <v>131241</v>
      </c>
      <c r="P17" s="584">
        <f t="shared" si="5"/>
        <v>437036</v>
      </c>
      <c r="Q17" s="584">
        <f t="shared" si="5"/>
        <v>141188</v>
      </c>
      <c r="R17" s="584">
        <f t="shared" si="5"/>
        <v>194205</v>
      </c>
      <c r="S17" s="584">
        <f>S15</f>
        <v>398292</v>
      </c>
      <c r="T17" s="584">
        <v>252386</v>
      </c>
      <c r="U17" s="589">
        <f>U15</f>
        <v>312055</v>
      </c>
      <c r="V17" s="590">
        <f t="shared" ref="V17" si="6">V15</f>
        <v>260392.4</v>
      </c>
      <c r="W17" s="591"/>
      <c r="X17" s="592"/>
      <c r="Y17" s="593"/>
      <c r="Z17" s="594"/>
      <c r="AA17" s="594"/>
    </row>
    <row r="18" spans="2:29" ht="14.4" x14ac:dyDescent="0.3">
      <c r="B18" s="18">
        <v>1</v>
      </c>
      <c r="C18" s="260">
        <v>45779</v>
      </c>
      <c r="D18" s="20">
        <v>117000</v>
      </c>
      <c r="E18" s="20">
        <v>53000</v>
      </c>
      <c r="F18" s="20">
        <v>26000</v>
      </c>
      <c r="G18" s="17">
        <v>178088</v>
      </c>
      <c r="H18" s="133">
        <v>240174</v>
      </c>
      <c r="I18" s="128">
        <v>85572</v>
      </c>
      <c r="J18" s="131">
        <v>23074</v>
      </c>
      <c r="K18" s="131">
        <v>156766</v>
      </c>
      <c r="L18" s="131">
        <v>168068</v>
      </c>
      <c r="M18" s="131">
        <v>14616</v>
      </c>
      <c r="N18" s="131">
        <v>8464</v>
      </c>
      <c r="O18" s="287">
        <v>2437</v>
      </c>
      <c r="P18" s="287">
        <v>208526</v>
      </c>
      <c r="Q18" s="287">
        <v>14497</v>
      </c>
      <c r="R18" s="338">
        <v>71653</v>
      </c>
      <c r="S18" s="338">
        <v>109240</v>
      </c>
      <c r="T18" s="463">
        <f>'Mielies-Maize 2025'!F16</f>
        <v>24287</v>
      </c>
      <c r="U18" s="460">
        <f>'Mielies-Maize 2026'!F16</f>
        <v>29132</v>
      </c>
      <c r="V18" s="630">
        <f>AVERAGE(P18:T18)</f>
        <v>85640.6</v>
      </c>
      <c r="W18" s="631">
        <f>V18</f>
        <v>85640.6</v>
      </c>
      <c r="X18" s="629">
        <f>U18-W18</f>
        <v>-56508.600000000006</v>
      </c>
      <c r="Y18" s="632">
        <v>9084650</v>
      </c>
      <c r="Z18" s="629">
        <f>U18-T18</f>
        <v>4845</v>
      </c>
      <c r="AA18" s="629">
        <f>U18</f>
        <v>29132</v>
      </c>
      <c r="AB18" s="231"/>
      <c r="AC18" s="231"/>
    </row>
    <row r="19" spans="2:29" ht="14.4" x14ac:dyDescent="0.3">
      <c r="B19" s="18">
        <v>2</v>
      </c>
      <c r="C19" s="260">
        <f t="shared" ref="C19:C69" si="7">C18+7</f>
        <v>45786</v>
      </c>
      <c r="D19" s="20">
        <v>204000</v>
      </c>
      <c r="E19" s="20">
        <v>67000</v>
      </c>
      <c r="F19" s="20">
        <v>45000</v>
      </c>
      <c r="G19" s="17">
        <v>408805</v>
      </c>
      <c r="H19" s="133">
        <v>473735</v>
      </c>
      <c r="I19" s="128">
        <v>167878</v>
      </c>
      <c r="J19" s="131">
        <v>214667</v>
      </c>
      <c r="K19" s="131">
        <v>234124</v>
      </c>
      <c r="L19" s="131">
        <v>341357</v>
      </c>
      <c r="M19" s="131">
        <v>52953</v>
      </c>
      <c r="N19" s="131">
        <v>24331</v>
      </c>
      <c r="O19" s="287">
        <v>37574</v>
      </c>
      <c r="P19" s="287">
        <v>379158</v>
      </c>
      <c r="Q19" s="287">
        <v>43617</v>
      </c>
      <c r="R19" s="338">
        <v>86085</v>
      </c>
      <c r="S19" s="338">
        <v>292833</v>
      </c>
      <c r="T19" s="463">
        <f>'Mielies-Maize 2025'!F17</f>
        <v>45380</v>
      </c>
      <c r="U19" s="460">
        <f>'Mielies-Maize 2026'!F17</f>
        <v>29095</v>
      </c>
      <c r="V19" s="630">
        <f t="shared" ref="V19:V69" si="8">AVERAGE(P19:T19)</f>
        <v>169414.6</v>
      </c>
      <c r="W19" s="631">
        <f>W18+V19</f>
        <v>255055.2</v>
      </c>
      <c r="X19" s="629">
        <f t="shared" ref="X19:X74" si="9">U19-W19</f>
        <v>-225960.2</v>
      </c>
      <c r="Y19" s="632">
        <v>9084650</v>
      </c>
      <c r="Z19" s="629">
        <f t="shared" ref="Z19:Z69" si="10">U19-T19</f>
        <v>-16285</v>
      </c>
      <c r="AA19" s="629">
        <f t="shared" ref="AA19:AA20" si="11">U19</f>
        <v>29095</v>
      </c>
      <c r="AB19" s="231"/>
    </row>
    <row r="20" spans="2:29" ht="14.25" customHeight="1" x14ac:dyDescent="0.3">
      <c r="B20" s="18">
        <v>3</v>
      </c>
      <c r="C20" s="260">
        <f t="shared" si="7"/>
        <v>45793</v>
      </c>
      <c r="D20" s="20">
        <v>351000</v>
      </c>
      <c r="E20" s="20">
        <v>160000</v>
      </c>
      <c r="F20" s="20">
        <v>65000</v>
      </c>
      <c r="G20" s="17">
        <v>564639</v>
      </c>
      <c r="H20" s="133">
        <v>420829</v>
      </c>
      <c r="I20" s="128">
        <v>356538</v>
      </c>
      <c r="J20" s="131">
        <v>352169</v>
      </c>
      <c r="K20" s="131">
        <v>185344</v>
      </c>
      <c r="L20" s="131">
        <v>317183</v>
      </c>
      <c r="M20" s="131">
        <v>64090</v>
      </c>
      <c r="N20" s="131">
        <v>52807</v>
      </c>
      <c r="O20" s="287">
        <v>78048</v>
      </c>
      <c r="P20" s="287">
        <v>545824</v>
      </c>
      <c r="Q20" s="287">
        <v>74947</v>
      </c>
      <c r="R20" s="338">
        <v>132544</v>
      </c>
      <c r="S20" s="338">
        <v>366322</v>
      </c>
      <c r="T20" s="463">
        <f>'Mielies-Maize 2025'!F18</f>
        <v>90590</v>
      </c>
      <c r="U20" s="460">
        <f>'Mielies-Maize 2026'!F18</f>
        <v>67674</v>
      </c>
      <c r="V20" s="630">
        <f t="shared" si="8"/>
        <v>242045.4</v>
      </c>
      <c r="W20" s="631">
        <f>W19+V20</f>
        <v>497100.6</v>
      </c>
      <c r="X20" s="629">
        <f t="shared" si="9"/>
        <v>-429426.6</v>
      </c>
      <c r="Y20" s="632">
        <v>9084650</v>
      </c>
      <c r="Z20" s="629">
        <f t="shared" si="10"/>
        <v>-22916</v>
      </c>
      <c r="AA20" s="629">
        <f t="shared" si="11"/>
        <v>67674</v>
      </c>
      <c r="AB20" s="231"/>
    </row>
    <row r="21" spans="2:29" ht="14.4" x14ac:dyDescent="0.3">
      <c r="B21" s="18">
        <v>4</v>
      </c>
      <c r="C21" s="260">
        <f t="shared" si="7"/>
        <v>45800</v>
      </c>
      <c r="D21" s="20">
        <v>190000</v>
      </c>
      <c r="E21" s="20">
        <v>243000</v>
      </c>
      <c r="F21" s="20">
        <v>202000</v>
      </c>
      <c r="G21" s="17">
        <v>762180</v>
      </c>
      <c r="H21" s="133">
        <v>692760</v>
      </c>
      <c r="I21" s="128">
        <v>485417</v>
      </c>
      <c r="J21" s="131">
        <v>624450</v>
      </c>
      <c r="K21" s="131">
        <v>529960</v>
      </c>
      <c r="L21" s="131">
        <v>1582136</v>
      </c>
      <c r="M21" s="131">
        <v>200841</v>
      </c>
      <c r="N21" s="131">
        <v>97674</v>
      </c>
      <c r="O21" s="287">
        <v>136426</v>
      </c>
      <c r="P21" s="287">
        <v>988629</v>
      </c>
      <c r="Q21" s="287">
        <v>177511</v>
      </c>
      <c r="R21" s="338">
        <v>341499</v>
      </c>
      <c r="S21" s="338">
        <v>471686</v>
      </c>
      <c r="T21" s="463">
        <f>'Mielies-Maize 2025'!F19</f>
        <v>194841</v>
      </c>
      <c r="U21" s="460">
        <f>'Mielies-Maize 2026'!F19</f>
        <v>0</v>
      </c>
      <c r="V21" s="630">
        <f t="shared" si="8"/>
        <v>434833.2</v>
      </c>
      <c r="W21" s="631">
        <f t="shared" ref="W21:W24" si="12">W20+V21</f>
        <v>931933.8</v>
      </c>
      <c r="X21" s="629">
        <f t="shared" si="9"/>
        <v>-931933.8</v>
      </c>
      <c r="Y21" s="632">
        <v>9084650</v>
      </c>
      <c r="Z21" s="629">
        <f t="shared" si="10"/>
        <v>-194841</v>
      </c>
      <c r="AA21" s="629"/>
    </row>
    <row r="22" spans="2:29" ht="14.4" x14ac:dyDescent="0.3">
      <c r="B22" s="18">
        <v>5</v>
      </c>
      <c r="C22" s="260">
        <f t="shared" si="7"/>
        <v>45807</v>
      </c>
      <c r="D22" s="20">
        <v>254000</v>
      </c>
      <c r="E22" s="20">
        <v>392000</v>
      </c>
      <c r="F22" s="20">
        <v>361000</v>
      </c>
      <c r="G22" s="17">
        <v>887960</v>
      </c>
      <c r="H22" s="133">
        <v>1075357</v>
      </c>
      <c r="I22" s="128">
        <v>859721</v>
      </c>
      <c r="J22" s="131">
        <v>928449</v>
      </c>
      <c r="K22" s="131">
        <v>353984</v>
      </c>
      <c r="L22" s="131">
        <v>873543</v>
      </c>
      <c r="M22" s="131">
        <v>17570</v>
      </c>
      <c r="N22" s="131">
        <v>202885</v>
      </c>
      <c r="O22" s="287">
        <v>346632</v>
      </c>
      <c r="P22" s="287">
        <v>441451</v>
      </c>
      <c r="Q22" s="287">
        <v>110061</v>
      </c>
      <c r="R22" s="338">
        <v>334868</v>
      </c>
      <c r="S22" s="338">
        <v>441301</v>
      </c>
      <c r="T22" s="463">
        <f>'Mielies-Maize 2025'!F20</f>
        <v>252644</v>
      </c>
      <c r="U22" s="460">
        <f>'Mielies-Maize 2026'!F20</f>
        <v>0</v>
      </c>
      <c r="V22" s="630">
        <f t="shared" si="8"/>
        <v>316065</v>
      </c>
      <c r="W22" s="631">
        <f>W21+V22</f>
        <v>1247998.8</v>
      </c>
      <c r="X22" s="629">
        <f t="shared" si="9"/>
        <v>-1247998.8</v>
      </c>
      <c r="Y22" s="632">
        <v>9084650</v>
      </c>
      <c r="Z22" s="629">
        <f t="shared" si="10"/>
        <v>-252644</v>
      </c>
      <c r="AA22" s="629"/>
    </row>
    <row r="23" spans="2:29" ht="14.4" x14ac:dyDescent="0.3">
      <c r="B23" s="18">
        <v>6</v>
      </c>
      <c r="C23" s="260">
        <f t="shared" si="7"/>
        <v>45814</v>
      </c>
      <c r="D23" s="20">
        <v>340000</v>
      </c>
      <c r="E23" s="20">
        <v>113000</v>
      </c>
      <c r="F23" s="20">
        <v>344000</v>
      </c>
      <c r="G23" s="17">
        <v>902569</v>
      </c>
      <c r="H23" s="133">
        <v>961341</v>
      </c>
      <c r="I23" s="128">
        <v>835609</v>
      </c>
      <c r="J23" s="131">
        <v>739886</v>
      </c>
      <c r="K23" s="131">
        <v>524754</v>
      </c>
      <c r="L23" s="131">
        <v>1028568</v>
      </c>
      <c r="M23" s="131">
        <v>168613</v>
      </c>
      <c r="N23" s="131">
        <v>192390</v>
      </c>
      <c r="O23" s="287">
        <v>246460</v>
      </c>
      <c r="P23" s="287">
        <v>542973</v>
      </c>
      <c r="Q23" s="287">
        <v>272309</v>
      </c>
      <c r="R23" s="338">
        <v>642696</v>
      </c>
      <c r="S23" s="338">
        <v>392831</v>
      </c>
      <c r="T23" s="463">
        <f>'Mielies-Maize 2025'!F21</f>
        <v>395006</v>
      </c>
      <c r="U23" s="460">
        <f>'Mielies-Maize 2026'!F21</f>
        <v>0</v>
      </c>
      <c r="V23" s="630">
        <f t="shared" si="8"/>
        <v>449163</v>
      </c>
      <c r="W23" s="631">
        <f t="shared" si="12"/>
        <v>1697161.8</v>
      </c>
      <c r="X23" s="629">
        <f t="shared" si="9"/>
        <v>-1697161.8</v>
      </c>
      <c r="Y23" s="632">
        <v>9084650</v>
      </c>
      <c r="Z23" s="629">
        <f t="shared" si="10"/>
        <v>-395006</v>
      </c>
      <c r="AA23" s="629"/>
    </row>
    <row r="24" spans="2:29" ht="15" customHeight="1" x14ac:dyDescent="0.3">
      <c r="B24" s="18">
        <v>7</v>
      </c>
      <c r="C24" s="260">
        <f t="shared" si="7"/>
        <v>45821</v>
      </c>
      <c r="D24" s="20">
        <v>504000</v>
      </c>
      <c r="E24" s="20">
        <v>389000</v>
      </c>
      <c r="F24" s="20">
        <v>460000</v>
      </c>
      <c r="G24" s="17">
        <v>939355</v>
      </c>
      <c r="H24" s="133">
        <v>1042900</v>
      </c>
      <c r="I24" s="128">
        <v>1153598</v>
      </c>
      <c r="J24" s="131">
        <v>817476</v>
      </c>
      <c r="K24" s="131">
        <v>279998</v>
      </c>
      <c r="L24" s="131">
        <v>1097136</v>
      </c>
      <c r="M24" s="131">
        <v>265473</v>
      </c>
      <c r="N24" s="131">
        <v>227929</v>
      </c>
      <c r="O24" s="287">
        <v>361369</v>
      </c>
      <c r="P24" s="287">
        <v>626127</v>
      </c>
      <c r="Q24" s="287">
        <v>365759</v>
      </c>
      <c r="R24" s="338">
        <v>779430</v>
      </c>
      <c r="S24" s="338">
        <v>455847</v>
      </c>
      <c r="T24" s="463">
        <f>'Mielies-Maize 2025'!F22</f>
        <v>450628</v>
      </c>
      <c r="U24" s="460">
        <f>'Mielies-Maize 2026'!F22</f>
        <v>0</v>
      </c>
      <c r="V24" s="630">
        <f t="shared" si="8"/>
        <v>535558.19999999995</v>
      </c>
      <c r="W24" s="631">
        <f t="shared" si="12"/>
        <v>2232720</v>
      </c>
      <c r="X24" s="629">
        <f t="shared" si="9"/>
        <v>-2232720</v>
      </c>
      <c r="Y24" s="632">
        <v>9084650</v>
      </c>
      <c r="Z24" s="629">
        <f t="shared" si="10"/>
        <v>-450628</v>
      </c>
      <c r="AA24" s="629"/>
    </row>
    <row r="25" spans="2:29" ht="15" customHeight="1" x14ac:dyDescent="0.3">
      <c r="B25" s="18">
        <v>8</v>
      </c>
      <c r="C25" s="260">
        <f t="shared" si="7"/>
        <v>45828</v>
      </c>
      <c r="D25" s="20">
        <v>562000</v>
      </c>
      <c r="E25" s="20">
        <v>505000</v>
      </c>
      <c r="F25" s="20">
        <v>714000</v>
      </c>
      <c r="G25" s="17">
        <v>890770</v>
      </c>
      <c r="H25" s="133">
        <v>861146</v>
      </c>
      <c r="I25" s="128">
        <v>1152050</v>
      </c>
      <c r="J25" s="131">
        <v>640917</v>
      </c>
      <c r="K25" s="131">
        <v>903668</v>
      </c>
      <c r="L25" s="131">
        <v>1361854</v>
      </c>
      <c r="M25" s="131">
        <v>346775</v>
      </c>
      <c r="N25" s="131">
        <v>216564</v>
      </c>
      <c r="O25" s="287">
        <v>250828</v>
      </c>
      <c r="P25" s="287">
        <v>1439020</v>
      </c>
      <c r="Q25" s="287">
        <v>483246</v>
      </c>
      <c r="R25" s="338">
        <v>904464</v>
      </c>
      <c r="S25" s="338">
        <v>399552</v>
      </c>
      <c r="T25" s="463">
        <f>'Mielies-Maize 2025'!F23</f>
        <v>570712</v>
      </c>
      <c r="U25" s="460">
        <f>'Mielies-Maize 2026'!F23</f>
        <v>0</v>
      </c>
      <c r="V25" s="630">
        <f t="shared" si="8"/>
        <v>759398.8</v>
      </c>
      <c r="W25" s="631">
        <f t="shared" ref="W25:W69" si="13">W24+V25</f>
        <v>2992118.8</v>
      </c>
      <c r="X25" s="629">
        <f t="shared" si="9"/>
        <v>-2992118.8</v>
      </c>
      <c r="Y25" s="632">
        <v>9084650</v>
      </c>
      <c r="Z25" s="629">
        <f t="shared" si="10"/>
        <v>-570712</v>
      </c>
      <c r="AA25" s="629"/>
    </row>
    <row r="26" spans="2:29" ht="15" customHeight="1" x14ac:dyDescent="0.3">
      <c r="B26" s="18">
        <v>9</v>
      </c>
      <c r="C26" s="260">
        <f t="shared" si="7"/>
        <v>45835</v>
      </c>
      <c r="D26" s="20">
        <v>1463000</v>
      </c>
      <c r="E26" s="20">
        <v>610000</v>
      </c>
      <c r="F26" s="20">
        <v>829000</v>
      </c>
      <c r="G26" s="17">
        <v>469630</v>
      </c>
      <c r="H26" s="133">
        <v>1144150</v>
      </c>
      <c r="I26" s="128">
        <v>1816173</v>
      </c>
      <c r="J26" s="131">
        <v>1341444</v>
      </c>
      <c r="K26" s="131">
        <v>371663</v>
      </c>
      <c r="L26" s="131">
        <v>1642548</v>
      </c>
      <c r="M26" s="131">
        <v>524275</v>
      </c>
      <c r="N26" s="131">
        <v>356391</v>
      </c>
      <c r="O26" s="287">
        <v>875139</v>
      </c>
      <c r="P26" s="287">
        <v>147268</v>
      </c>
      <c r="Q26" s="287">
        <v>322437</v>
      </c>
      <c r="R26" s="338">
        <v>932955</v>
      </c>
      <c r="S26" s="338">
        <v>501401</v>
      </c>
      <c r="T26" s="463">
        <f>'Mielies-Maize 2025'!F24</f>
        <v>718070</v>
      </c>
      <c r="U26" s="460">
        <f>'Mielies-Maize 2026'!F24</f>
        <v>0</v>
      </c>
      <c r="V26" s="630">
        <f t="shared" si="8"/>
        <v>524426.19999999995</v>
      </c>
      <c r="W26" s="631">
        <f t="shared" si="13"/>
        <v>3516545</v>
      </c>
      <c r="X26" s="629">
        <f t="shared" si="9"/>
        <v>-3516545</v>
      </c>
      <c r="Y26" s="632">
        <v>9084650</v>
      </c>
      <c r="Z26" s="629">
        <f t="shared" si="10"/>
        <v>-718070</v>
      </c>
      <c r="AA26" s="629"/>
    </row>
    <row r="27" spans="2:29" ht="15" customHeight="1" x14ac:dyDescent="0.3">
      <c r="B27" s="18">
        <v>10</v>
      </c>
      <c r="C27" s="260">
        <f t="shared" si="7"/>
        <v>45842</v>
      </c>
      <c r="D27" s="20">
        <v>635000</v>
      </c>
      <c r="E27" s="20">
        <v>640000</v>
      </c>
      <c r="F27" s="20">
        <v>770000</v>
      </c>
      <c r="G27" s="17">
        <v>758221</v>
      </c>
      <c r="H27" s="133">
        <v>623266</v>
      </c>
      <c r="I27" s="128">
        <v>1139974</v>
      </c>
      <c r="J27" s="131">
        <v>413705</v>
      </c>
      <c r="K27" s="131">
        <v>356246</v>
      </c>
      <c r="L27" s="131">
        <v>1110309</v>
      </c>
      <c r="M27" s="131">
        <v>481953</v>
      </c>
      <c r="N27" s="131">
        <v>193466</v>
      </c>
      <c r="O27" s="287">
        <v>297273</v>
      </c>
      <c r="P27" s="287">
        <v>497494</v>
      </c>
      <c r="Q27" s="287">
        <v>456040</v>
      </c>
      <c r="R27" s="338">
        <v>795904</v>
      </c>
      <c r="S27" s="338">
        <v>365450</v>
      </c>
      <c r="T27" s="463">
        <f>'Mielies-Maize 2025'!F25</f>
        <v>633124</v>
      </c>
      <c r="U27" s="460">
        <f>'Mielies-Maize 2026'!F25</f>
        <v>0</v>
      </c>
      <c r="V27" s="630">
        <f t="shared" si="8"/>
        <v>549602.4</v>
      </c>
      <c r="W27" s="631">
        <f t="shared" si="13"/>
        <v>4066147.4</v>
      </c>
      <c r="X27" s="629">
        <f t="shared" si="9"/>
        <v>-4066147.4</v>
      </c>
      <c r="Y27" s="632">
        <v>9084650</v>
      </c>
      <c r="Z27" s="629">
        <f t="shared" si="10"/>
        <v>-633124</v>
      </c>
      <c r="AA27" s="629"/>
    </row>
    <row r="28" spans="2:29" ht="15" customHeight="1" x14ac:dyDescent="0.3">
      <c r="B28" s="18">
        <v>11</v>
      </c>
      <c r="C28" s="260">
        <f t="shared" si="7"/>
        <v>45849</v>
      </c>
      <c r="D28" s="20">
        <v>726000</v>
      </c>
      <c r="E28" s="20">
        <v>769000</v>
      </c>
      <c r="F28" s="20">
        <v>1102000</v>
      </c>
      <c r="G28" s="17">
        <v>738207</v>
      </c>
      <c r="H28" s="133">
        <v>533619</v>
      </c>
      <c r="I28" s="128">
        <v>1050299</v>
      </c>
      <c r="J28" s="131">
        <v>462585</v>
      </c>
      <c r="K28" s="131">
        <v>398989</v>
      </c>
      <c r="L28" s="131">
        <v>1089664</v>
      </c>
      <c r="M28" s="131">
        <v>439673</v>
      </c>
      <c r="N28" s="131">
        <v>241903</v>
      </c>
      <c r="O28" s="287">
        <v>607351</v>
      </c>
      <c r="P28" s="287">
        <v>404669</v>
      </c>
      <c r="Q28" s="287">
        <v>585518</v>
      </c>
      <c r="R28" s="338">
        <v>690994</v>
      </c>
      <c r="S28" s="338">
        <v>333150</v>
      </c>
      <c r="T28" s="463">
        <f>'Mielies-Maize 2025'!F26</f>
        <v>655967</v>
      </c>
      <c r="U28" s="460">
        <f>'Mielies-Maize 2026'!F26</f>
        <v>0</v>
      </c>
      <c r="V28" s="630">
        <f t="shared" si="8"/>
        <v>534059.6</v>
      </c>
      <c r="W28" s="631">
        <f t="shared" si="13"/>
        <v>4600207</v>
      </c>
      <c r="X28" s="629">
        <f t="shared" si="9"/>
        <v>-4600207</v>
      </c>
      <c r="Y28" s="632">
        <v>9084650</v>
      </c>
      <c r="Z28" s="629">
        <f t="shared" si="10"/>
        <v>-655967</v>
      </c>
      <c r="AA28" s="629"/>
    </row>
    <row r="29" spans="2:29" ht="15" customHeight="1" x14ac:dyDescent="0.3">
      <c r="B29" s="18">
        <v>12</v>
      </c>
      <c r="C29" s="260">
        <f t="shared" si="7"/>
        <v>45856</v>
      </c>
      <c r="D29" s="227">
        <v>172000</v>
      </c>
      <c r="E29" s="227">
        <v>594000</v>
      </c>
      <c r="F29" s="20">
        <v>882000</v>
      </c>
      <c r="G29" s="17">
        <v>826931</v>
      </c>
      <c r="H29" s="133">
        <v>430147</v>
      </c>
      <c r="I29" s="128">
        <v>953879</v>
      </c>
      <c r="J29" s="131">
        <v>468955</v>
      </c>
      <c r="K29" s="131">
        <v>432805</v>
      </c>
      <c r="L29" s="131">
        <v>967142</v>
      </c>
      <c r="M29" s="131">
        <v>478746</v>
      </c>
      <c r="N29" s="131">
        <v>306192</v>
      </c>
      <c r="O29" s="287">
        <v>648824</v>
      </c>
      <c r="P29" s="287">
        <v>316250</v>
      </c>
      <c r="Q29" s="287">
        <v>725676</v>
      </c>
      <c r="R29" s="338">
        <v>572702</v>
      </c>
      <c r="S29" s="338">
        <v>255754</v>
      </c>
      <c r="T29" s="463">
        <f>'Mielies-Maize 2025'!F27</f>
        <v>686008</v>
      </c>
      <c r="U29" s="460">
        <f>'Mielies-Maize 2026'!F27</f>
        <v>0</v>
      </c>
      <c r="V29" s="630">
        <f t="shared" si="8"/>
        <v>511278</v>
      </c>
      <c r="W29" s="631">
        <f t="shared" si="13"/>
        <v>5111485</v>
      </c>
      <c r="X29" s="629">
        <f t="shared" si="9"/>
        <v>-5111485</v>
      </c>
      <c r="Y29" s="632">
        <v>9084650</v>
      </c>
      <c r="Z29" s="629">
        <f t="shared" si="10"/>
        <v>-686008</v>
      </c>
      <c r="AA29" s="629"/>
    </row>
    <row r="30" spans="2:29" ht="15" customHeight="1" x14ac:dyDescent="0.3">
      <c r="B30" s="18">
        <v>13</v>
      </c>
      <c r="C30" s="260">
        <f t="shared" si="7"/>
        <v>45863</v>
      </c>
      <c r="D30" s="227">
        <v>258000</v>
      </c>
      <c r="E30" s="227">
        <v>481000</v>
      </c>
      <c r="F30" s="20">
        <v>687000</v>
      </c>
      <c r="G30" s="17">
        <v>487471</v>
      </c>
      <c r="H30" s="133">
        <v>755689</v>
      </c>
      <c r="I30" s="128">
        <v>1294925</v>
      </c>
      <c r="J30" s="131">
        <v>311891</v>
      </c>
      <c r="K30" s="131">
        <v>211246</v>
      </c>
      <c r="L30" s="131">
        <v>1290753</v>
      </c>
      <c r="M30" s="131">
        <v>880017</v>
      </c>
      <c r="N30" s="131">
        <v>792531</v>
      </c>
      <c r="O30" s="287">
        <v>708707</v>
      </c>
      <c r="P30" s="287">
        <v>576087</v>
      </c>
      <c r="Q30" s="287">
        <v>651105</v>
      </c>
      <c r="R30" s="338">
        <v>423281</v>
      </c>
      <c r="S30" s="338">
        <v>209778</v>
      </c>
      <c r="T30" s="463">
        <f>'Mielies-Maize 2025'!F28</f>
        <v>701423</v>
      </c>
      <c r="U30" s="460">
        <f>'Mielies-Maize 2026'!F28</f>
        <v>0</v>
      </c>
      <c r="V30" s="630">
        <f t="shared" si="8"/>
        <v>512334.8</v>
      </c>
      <c r="W30" s="631">
        <f t="shared" si="13"/>
        <v>5623819.7999999998</v>
      </c>
      <c r="X30" s="629">
        <f t="shared" si="9"/>
        <v>-5623819.7999999998</v>
      </c>
      <c r="Y30" s="632">
        <v>9084650</v>
      </c>
      <c r="Z30" s="629">
        <f t="shared" si="10"/>
        <v>-701423</v>
      </c>
      <c r="AA30" s="629"/>
    </row>
    <row r="31" spans="2:29" ht="15" customHeight="1" x14ac:dyDescent="0.3">
      <c r="B31" s="18">
        <v>14</v>
      </c>
      <c r="C31" s="260">
        <f t="shared" si="7"/>
        <v>45870</v>
      </c>
      <c r="D31" s="20">
        <v>313000</v>
      </c>
      <c r="E31" s="20">
        <v>274000</v>
      </c>
      <c r="F31" s="20">
        <v>591000</v>
      </c>
      <c r="G31" s="17">
        <v>368426</v>
      </c>
      <c r="H31" s="133">
        <v>212992</v>
      </c>
      <c r="I31" s="128">
        <v>504763</v>
      </c>
      <c r="J31" s="131">
        <v>439925</v>
      </c>
      <c r="K31" s="131">
        <v>202635</v>
      </c>
      <c r="L31" s="131">
        <v>424468</v>
      </c>
      <c r="M31" s="131">
        <v>323511</v>
      </c>
      <c r="N31" s="131">
        <v>150209</v>
      </c>
      <c r="O31" s="287">
        <v>1123824</v>
      </c>
      <c r="P31" s="287">
        <v>110022</v>
      </c>
      <c r="Q31" s="287">
        <v>527746</v>
      </c>
      <c r="R31" s="338">
        <v>268695</v>
      </c>
      <c r="S31" s="338">
        <v>94318</v>
      </c>
      <c r="T31" s="463">
        <f>'Mielies-Maize 2025'!F29</f>
        <v>559031</v>
      </c>
      <c r="U31" s="460">
        <f>'Mielies-Maize 2026'!F29</f>
        <v>0</v>
      </c>
      <c r="V31" s="630">
        <f t="shared" si="8"/>
        <v>311962.40000000002</v>
      </c>
      <c r="W31" s="631">
        <f t="shared" si="13"/>
        <v>5935782.2000000002</v>
      </c>
      <c r="X31" s="629">
        <f t="shared" si="9"/>
        <v>-5935782.2000000002</v>
      </c>
      <c r="Y31" s="632">
        <v>9084650</v>
      </c>
      <c r="Z31" s="629">
        <f t="shared" si="10"/>
        <v>-559031</v>
      </c>
      <c r="AA31" s="629"/>
    </row>
    <row r="32" spans="2:29" ht="15" customHeight="1" x14ac:dyDescent="0.3">
      <c r="B32" s="18">
        <v>15</v>
      </c>
      <c r="C32" s="260">
        <f t="shared" si="7"/>
        <v>45877</v>
      </c>
      <c r="D32" s="20">
        <v>219000</v>
      </c>
      <c r="E32" s="20">
        <v>244000</v>
      </c>
      <c r="F32" s="20">
        <v>739000</v>
      </c>
      <c r="G32" s="17">
        <v>234835</v>
      </c>
      <c r="H32" s="133">
        <v>179734</v>
      </c>
      <c r="I32" s="128">
        <v>362593</v>
      </c>
      <c r="J32" s="131">
        <v>168925</v>
      </c>
      <c r="K32" s="131">
        <v>240817</v>
      </c>
      <c r="L32" s="131">
        <v>373057</v>
      </c>
      <c r="M32" s="131">
        <v>454227</v>
      </c>
      <c r="N32" s="131">
        <v>399397</v>
      </c>
      <c r="O32" s="287">
        <v>524045</v>
      </c>
      <c r="P32" s="287">
        <v>65453</v>
      </c>
      <c r="Q32" s="287">
        <v>673300</v>
      </c>
      <c r="R32" s="338">
        <v>215371</v>
      </c>
      <c r="S32" s="338">
        <v>56790</v>
      </c>
      <c r="T32" s="463">
        <f>'Mielies-Maize 2025'!F30</f>
        <v>437992</v>
      </c>
      <c r="U32" s="460">
        <f>'Mielies-Maize 2026'!F30</f>
        <v>0</v>
      </c>
      <c r="V32" s="630">
        <f t="shared" si="8"/>
        <v>289781.2</v>
      </c>
      <c r="W32" s="631">
        <f t="shared" si="13"/>
        <v>6225563.4000000004</v>
      </c>
      <c r="X32" s="629">
        <f t="shared" si="9"/>
        <v>-6225563.4000000004</v>
      </c>
      <c r="Y32" s="632">
        <v>9084650</v>
      </c>
      <c r="Z32" s="629">
        <f t="shared" si="10"/>
        <v>-437992</v>
      </c>
      <c r="AA32" s="629"/>
    </row>
    <row r="33" spans="2:27" ht="15" customHeight="1" x14ac:dyDescent="0.3">
      <c r="B33" s="18">
        <v>16</v>
      </c>
      <c r="C33" s="260">
        <f t="shared" si="7"/>
        <v>45884</v>
      </c>
      <c r="D33" s="20">
        <v>166000</v>
      </c>
      <c r="E33" s="20">
        <v>427000</v>
      </c>
      <c r="F33" s="20">
        <v>370000</v>
      </c>
      <c r="G33" s="17">
        <v>167767</v>
      </c>
      <c r="H33" s="133">
        <v>114233</v>
      </c>
      <c r="I33" s="128">
        <v>255864</v>
      </c>
      <c r="J33" s="131">
        <v>98053</v>
      </c>
      <c r="K33" s="131">
        <v>210093</v>
      </c>
      <c r="L33" s="131">
        <v>267093</v>
      </c>
      <c r="M33" s="131">
        <v>395364</v>
      </c>
      <c r="N33" s="131">
        <v>409560</v>
      </c>
      <c r="O33" s="287">
        <v>407047</v>
      </c>
      <c r="P33" s="287">
        <v>45098</v>
      </c>
      <c r="Q33" s="287">
        <v>574911</v>
      </c>
      <c r="R33" s="338">
        <v>151442</v>
      </c>
      <c r="S33" s="338">
        <v>52108</v>
      </c>
      <c r="T33" s="463">
        <f>'Mielies-Maize 2025'!F31</f>
        <v>385895</v>
      </c>
      <c r="U33" s="460">
        <f>'Mielies-Maize 2026'!F31</f>
        <v>0</v>
      </c>
      <c r="V33" s="630">
        <f t="shared" si="8"/>
        <v>241890.8</v>
      </c>
      <c r="W33" s="631">
        <f t="shared" si="13"/>
        <v>6467454.2000000002</v>
      </c>
      <c r="X33" s="629">
        <f t="shared" si="9"/>
        <v>-6467454.2000000002</v>
      </c>
      <c r="Y33" s="632">
        <v>9084650</v>
      </c>
      <c r="Z33" s="629">
        <f t="shared" si="10"/>
        <v>-385895</v>
      </c>
      <c r="AA33" s="629"/>
    </row>
    <row r="34" spans="2:27" ht="15" customHeight="1" x14ac:dyDescent="0.3">
      <c r="B34" s="18">
        <v>17</v>
      </c>
      <c r="C34" s="260">
        <f t="shared" si="7"/>
        <v>45891</v>
      </c>
      <c r="D34" s="20">
        <v>92000</v>
      </c>
      <c r="E34" s="20">
        <v>113000</v>
      </c>
      <c r="F34" s="20">
        <v>287000</v>
      </c>
      <c r="G34" s="17">
        <v>451116</v>
      </c>
      <c r="H34" s="133">
        <v>82164</v>
      </c>
      <c r="I34" s="128">
        <v>157937</v>
      </c>
      <c r="J34" s="131">
        <v>82483</v>
      </c>
      <c r="K34" s="131">
        <v>341856</v>
      </c>
      <c r="L34" s="131">
        <v>532914</v>
      </c>
      <c r="M34" s="131">
        <v>281975</v>
      </c>
      <c r="N34" s="131">
        <v>325385</v>
      </c>
      <c r="O34" s="287">
        <v>281706</v>
      </c>
      <c r="P34" s="287">
        <v>156418</v>
      </c>
      <c r="Q34" s="287">
        <v>515378</v>
      </c>
      <c r="R34" s="338">
        <v>124539</v>
      </c>
      <c r="S34" s="338">
        <v>38328</v>
      </c>
      <c r="T34" s="463">
        <f>'Mielies-Maize 2025'!F32</f>
        <v>249243</v>
      </c>
      <c r="U34" s="460">
        <f>'Mielies-Maize 2026'!F32</f>
        <v>0</v>
      </c>
      <c r="V34" s="630">
        <f t="shared" si="8"/>
        <v>216781.2</v>
      </c>
      <c r="W34" s="631">
        <f>W33+V34</f>
        <v>6684235.4000000004</v>
      </c>
      <c r="X34" s="629">
        <f t="shared" si="9"/>
        <v>-6684235.4000000004</v>
      </c>
      <c r="Y34" s="632">
        <v>9084650</v>
      </c>
      <c r="Z34" s="629">
        <f t="shared" si="10"/>
        <v>-249243</v>
      </c>
      <c r="AA34" s="629"/>
    </row>
    <row r="35" spans="2:27" ht="15" customHeight="1" x14ac:dyDescent="0.3">
      <c r="B35" s="18">
        <v>18</v>
      </c>
      <c r="C35" s="260">
        <f t="shared" si="7"/>
        <v>45898</v>
      </c>
      <c r="D35" s="20">
        <v>42000</v>
      </c>
      <c r="E35" s="20">
        <v>51000</v>
      </c>
      <c r="F35" s="20">
        <v>195000</v>
      </c>
      <c r="G35" s="17">
        <v>89872</v>
      </c>
      <c r="H35" s="133">
        <v>-71193</v>
      </c>
      <c r="I35" s="128">
        <v>-232246</v>
      </c>
      <c r="J35" s="131">
        <v>122267</v>
      </c>
      <c r="K35" s="131">
        <v>64967</v>
      </c>
      <c r="L35" s="131">
        <v>48381</v>
      </c>
      <c r="M35" s="131">
        <v>326477</v>
      </c>
      <c r="N35" s="131">
        <v>490962</v>
      </c>
      <c r="O35" s="287">
        <v>536989</v>
      </c>
      <c r="P35" s="287">
        <v>11064</v>
      </c>
      <c r="Q35" s="287">
        <v>209949</v>
      </c>
      <c r="R35" s="338">
        <v>51685</v>
      </c>
      <c r="S35" s="338">
        <v>47921</v>
      </c>
      <c r="T35" s="463">
        <f>'Mielies-Maize 2025'!F33</f>
        <v>163396</v>
      </c>
      <c r="U35" s="460">
        <f>'Mielies-Maize 2026'!F33</f>
        <v>0</v>
      </c>
      <c r="V35" s="630">
        <f t="shared" si="8"/>
        <v>96803</v>
      </c>
      <c r="W35" s="631">
        <f t="shared" si="13"/>
        <v>6781038.4000000004</v>
      </c>
      <c r="X35" s="629">
        <f t="shared" si="9"/>
        <v>-6781038.4000000004</v>
      </c>
      <c r="Y35" s="632">
        <v>9084650</v>
      </c>
      <c r="Z35" s="629">
        <f t="shared" si="10"/>
        <v>-163396</v>
      </c>
      <c r="AA35" s="629"/>
    </row>
    <row r="36" spans="2:27" ht="15" customHeight="1" x14ac:dyDescent="0.3">
      <c r="B36" s="18">
        <v>19</v>
      </c>
      <c r="C36" s="260">
        <f t="shared" si="7"/>
        <v>45905</v>
      </c>
      <c r="D36" s="20">
        <v>27000</v>
      </c>
      <c r="E36" s="20">
        <v>32000</v>
      </c>
      <c r="F36" s="20">
        <v>109000</v>
      </c>
      <c r="G36" s="17">
        <v>59131</v>
      </c>
      <c r="H36" s="133">
        <v>39460</v>
      </c>
      <c r="I36" s="128">
        <v>57937</v>
      </c>
      <c r="J36" s="131">
        <v>34177</v>
      </c>
      <c r="K36" s="131">
        <v>69387</v>
      </c>
      <c r="L36" s="131">
        <v>44994</v>
      </c>
      <c r="M36" s="131">
        <v>96902</v>
      </c>
      <c r="N36" s="131">
        <v>126550</v>
      </c>
      <c r="O36" s="287">
        <v>43317</v>
      </c>
      <c r="P36" s="287">
        <v>21477</v>
      </c>
      <c r="Q36" s="287">
        <v>115242</v>
      </c>
      <c r="R36" s="338">
        <v>37560</v>
      </c>
      <c r="S36" s="338">
        <v>34049</v>
      </c>
      <c r="T36" s="463">
        <f>'Mielies-Maize 2025'!F34</f>
        <v>87862</v>
      </c>
      <c r="U36" s="460">
        <f>'Mielies-Maize 2026'!F34</f>
        <v>0</v>
      </c>
      <c r="V36" s="630">
        <f t="shared" si="8"/>
        <v>59238</v>
      </c>
      <c r="W36" s="631">
        <f t="shared" si="13"/>
        <v>6840276.4000000004</v>
      </c>
      <c r="X36" s="629">
        <f t="shared" si="9"/>
        <v>-6840276.4000000004</v>
      </c>
      <c r="Y36" s="632">
        <v>9084650</v>
      </c>
      <c r="Z36" s="629">
        <f t="shared" si="10"/>
        <v>-87862</v>
      </c>
      <c r="AA36" s="629"/>
    </row>
    <row r="37" spans="2:27" ht="15" customHeight="1" x14ac:dyDescent="0.3">
      <c r="B37" s="18">
        <v>20</v>
      </c>
      <c r="C37" s="260">
        <f t="shared" si="7"/>
        <v>45912</v>
      </c>
      <c r="D37" s="20">
        <v>20000</v>
      </c>
      <c r="E37" s="20">
        <v>95000</v>
      </c>
      <c r="F37" s="111">
        <v>392000</v>
      </c>
      <c r="G37" s="17">
        <v>39818</v>
      </c>
      <c r="H37" s="133">
        <v>37537</v>
      </c>
      <c r="I37" s="128">
        <v>41398</v>
      </c>
      <c r="J37" s="131">
        <v>47685</v>
      </c>
      <c r="K37" s="131">
        <v>50479</v>
      </c>
      <c r="L37" s="131">
        <v>51137</v>
      </c>
      <c r="M37" s="131">
        <v>65235</v>
      </c>
      <c r="N37" s="131">
        <v>75557</v>
      </c>
      <c r="O37" s="287">
        <v>79109</v>
      </c>
      <c r="P37" s="287">
        <v>22903</v>
      </c>
      <c r="Q37" s="287">
        <v>78862</v>
      </c>
      <c r="R37" s="338">
        <v>32463</v>
      </c>
      <c r="S37" s="338">
        <v>33514</v>
      </c>
      <c r="T37" s="463">
        <f>'Mielies-Maize 2025'!F35</f>
        <v>62615</v>
      </c>
      <c r="U37" s="460">
        <f>'Mielies-Maize 2026'!F35</f>
        <v>0</v>
      </c>
      <c r="V37" s="630">
        <f t="shared" si="8"/>
        <v>46071.4</v>
      </c>
      <c r="W37" s="631">
        <f t="shared" si="13"/>
        <v>6886347.8000000007</v>
      </c>
      <c r="X37" s="629">
        <f t="shared" si="9"/>
        <v>-6886347.8000000007</v>
      </c>
      <c r="Y37" s="632">
        <v>9084650</v>
      </c>
      <c r="Z37" s="629">
        <f t="shared" si="10"/>
        <v>-62615</v>
      </c>
      <c r="AA37" s="629"/>
    </row>
    <row r="38" spans="2:27" ht="15" customHeight="1" x14ac:dyDescent="0.3">
      <c r="B38" s="18">
        <v>21</v>
      </c>
      <c r="C38" s="260">
        <f t="shared" si="7"/>
        <v>45919</v>
      </c>
      <c r="D38" s="20">
        <v>12000</v>
      </c>
      <c r="E38" s="20">
        <v>15000</v>
      </c>
      <c r="F38" s="111">
        <v>120000</v>
      </c>
      <c r="G38" s="17">
        <v>156902</v>
      </c>
      <c r="H38" s="133">
        <v>30093</v>
      </c>
      <c r="I38" s="128">
        <v>36189</v>
      </c>
      <c r="J38" s="131">
        <v>31184</v>
      </c>
      <c r="K38" s="131">
        <v>39178</v>
      </c>
      <c r="L38" s="131">
        <v>38075</v>
      </c>
      <c r="M38" s="131">
        <v>34947</v>
      </c>
      <c r="N38" s="131">
        <v>36755</v>
      </c>
      <c r="O38" s="287">
        <v>49822</v>
      </c>
      <c r="P38" s="287">
        <v>96972</v>
      </c>
      <c r="Q38" s="287">
        <v>41930</v>
      </c>
      <c r="R38" s="338">
        <v>37423</v>
      </c>
      <c r="S38" s="338">
        <v>33731</v>
      </c>
      <c r="T38" s="463">
        <f>'Mielies-Maize 2025'!F36</f>
        <v>54809</v>
      </c>
      <c r="U38" s="460">
        <f>'Mielies-Maize 2026'!F36</f>
        <v>0</v>
      </c>
      <c r="V38" s="630">
        <f t="shared" si="8"/>
        <v>52973</v>
      </c>
      <c r="W38" s="631">
        <f t="shared" si="13"/>
        <v>6939320.8000000007</v>
      </c>
      <c r="X38" s="629">
        <f t="shared" si="9"/>
        <v>-6939320.8000000007</v>
      </c>
      <c r="Y38" s="632">
        <v>9084650</v>
      </c>
      <c r="Z38" s="629">
        <f t="shared" si="10"/>
        <v>-54809</v>
      </c>
      <c r="AA38" s="629"/>
    </row>
    <row r="39" spans="2:27" ht="15" customHeight="1" x14ac:dyDescent="0.3">
      <c r="B39" s="18">
        <v>22</v>
      </c>
      <c r="C39" s="260">
        <f t="shared" si="7"/>
        <v>45926</v>
      </c>
      <c r="D39" s="20">
        <v>10000</v>
      </c>
      <c r="E39" s="20">
        <v>12000</v>
      </c>
      <c r="F39" s="111">
        <v>36000</v>
      </c>
      <c r="G39" s="17">
        <v>30795</v>
      </c>
      <c r="H39" s="133">
        <v>65360</v>
      </c>
      <c r="I39" s="128">
        <v>89673</v>
      </c>
      <c r="J39" s="131">
        <v>63650</v>
      </c>
      <c r="K39" s="131">
        <v>46687</v>
      </c>
      <c r="L39" s="131">
        <v>116821</v>
      </c>
      <c r="M39" s="131">
        <v>79799</v>
      </c>
      <c r="N39" s="131">
        <v>81290</v>
      </c>
      <c r="O39" s="287">
        <v>188879</v>
      </c>
      <c r="P39" s="287">
        <v>3840</v>
      </c>
      <c r="Q39" s="287">
        <v>66901</v>
      </c>
      <c r="R39" s="338">
        <v>31392</v>
      </c>
      <c r="S39" s="338">
        <v>38622</v>
      </c>
      <c r="T39" s="463">
        <f>'Mielies-Maize 2025'!F37</f>
        <v>43299</v>
      </c>
      <c r="U39" s="460">
        <f>'Mielies-Maize 2026'!F37</f>
        <v>0</v>
      </c>
      <c r="V39" s="630">
        <f t="shared" si="8"/>
        <v>36810.800000000003</v>
      </c>
      <c r="W39" s="631">
        <f t="shared" si="13"/>
        <v>6976131.6000000006</v>
      </c>
      <c r="X39" s="629">
        <f t="shared" si="9"/>
        <v>-6976131.6000000006</v>
      </c>
      <c r="Y39" s="632">
        <v>9084650</v>
      </c>
      <c r="Z39" s="629">
        <f t="shared" si="10"/>
        <v>-43299</v>
      </c>
      <c r="AA39" s="629"/>
    </row>
    <row r="40" spans="2:27" ht="15" customHeight="1" x14ac:dyDescent="0.3">
      <c r="B40" s="18">
        <v>23</v>
      </c>
      <c r="C40" s="260">
        <f t="shared" si="7"/>
        <v>45933</v>
      </c>
      <c r="D40" s="20">
        <v>13000</v>
      </c>
      <c r="E40" s="20">
        <v>13000</v>
      </c>
      <c r="F40" s="111">
        <v>17000</v>
      </c>
      <c r="G40" s="17">
        <v>26612</v>
      </c>
      <c r="H40" s="133">
        <v>23565</v>
      </c>
      <c r="I40" s="128">
        <v>8545</v>
      </c>
      <c r="J40" s="131">
        <v>23462</v>
      </c>
      <c r="K40" s="131">
        <v>18255</v>
      </c>
      <c r="L40" s="131">
        <v>27298</v>
      </c>
      <c r="M40" s="131">
        <v>12605</v>
      </c>
      <c r="N40" s="131">
        <v>15478</v>
      </c>
      <c r="O40" s="287">
        <v>7035</v>
      </c>
      <c r="P40" s="287">
        <v>13913</v>
      </c>
      <c r="Q40" s="287">
        <v>32315</v>
      </c>
      <c r="R40" s="338">
        <v>29181</v>
      </c>
      <c r="S40" s="338">
        <v>31557</v>
      </c>
      <c r="T40" s="463">
        <f>'Mielies-Maize 2025'!F38</f>
        <v>34747</v>
      </c>
      <c r="U40" s="460">
        <f>'Mielies-Maize 2026'!F38</f>
        <v>0</v>
      </c>
      <c r="V40" s="630">
        <f t="shared" si="8"/>
        <v>28342.6</v>
      </c>
      <c r="W40" s="631">
        <f t="shared" si="13"/>
        <v>7004474.2000000002</v>
      </c>
      <c r="X40" s="629">
        <f t="shared" si="9"/>
        <v>-7004474.2000000002</v>
      </c>
      <c r="Y40" s="632">
        <v>9084650</v>
      </c>
      <c r="Z40" s="629">
        <f t="shared" si="10"/>
        <v>-34747</v>
      </c>
      <c r="AA40" s="629"/>
    </row>
    <row r="41" spans="2:27" ht="15" customHeight="1" x14ac:dyDescent="0.3">
      <c r="B41" s="18">
        <v>24</v>
      </c>
      <c r="C41" s="260">
        <f t="shared" si="7"/>
        <v>45940</v>
      </c>
      <c r="D41" s="20">
        <v>17000</v>
      </c>
      <c r="E41" s="20">
        <v>97000</v>
      </c>
      <c r="F41" s="20">
        <v>28000</v>
      </c>
      <c r="G41" s="17">
        <v>26031</v>
      </c>
      <c r="H41" s="133">
        <v>28713</v>
      </c>
      <c r="I41" s="128">
        <v>28007</v>
      </c>
      <c r="J41" s="131">
        <v>26319</v>
      </c>
      <c r="K41" s="131">
        <v>18585</v>
      </c>
      <c r="L41" s="131">
        <v>31469</v>
      </c>
      <c r="M41" s="131">
        <v>17419</v>
      </c>
      <c r="N41" s="131">
        <v>15220</v>
      </c>
      <c r="O41" s="287">
        <v>21272</v>
      </c>
      <c r="P41" s="287">
        <v>19297</v>
      </c>
      <c r="Q41" s="287">
        <v>30361</v>
      </c>
      <c r="R41" s="338">
        <v>32072</v>
      </c>
      <c r="S41" s="338">
        <v>36429</v>
      </c>
      <c r="T41" s="463">
        <f>'Mielies-Maize 2025'!F39</f>
        <v>36558</v>
      </c>
      <c r="U41" s="460">
        <f>'Mielies-Maize 2026'!F39</f>
        <v>0</v>
      </c>
      <c r="V41" s="630">
        <f t="shared" si="8"/>
        <v>30943.4</v>
      </c>
      <c r="W41" s="631">
        <f t="shared" si="13"/>
        <v>7035417.6000000006</v>
      </c>
      <c r="X41" s="629">
        <f t="shared" si="9"/>
        <v>-7035417.6000000006</v>
      </c>
      <c r="Y41" s="632">
        <v>9084650</v>
      </c>
      <c r="Z41" s="629">
        <f t="shared" si="10"/>
        <v>-36558</v>
      </c>
      <c r="AA41" s="629"/>
    </row>
    <row r="42" spans="2:27" ht="15" customHeight="1" x14ac:dyDescent="0.3">
      <c r="B42" s="18">
        <v>25</v>
      </c>
      <c r="C42" s="260">
        <f t="shared" si="7"/>
        <v>45947</v>
      </c>
      <c r="D42" s="20">
        <v>161000</v>
      </c>
      <c r="E42" s="20">
        <v>21000</v>
      </c>
      <c r="F42" s="20">
        <v>32000</v>
      </c>
      <c r="G42" s="17">
        <v>54077</v>
      </c>
      <c r="H42" s="133">
        <v>28012</v>
      </c>
      <c r="I42" s="128">
        <v>19090</v>
      </c>
      <c r="J42" s="131">
        <v>29270</v>
      </c>
      <c r="K42" s="131">
        <v>11610</v>
      </c>
      <c r="L42" s="131">
        <v>29200</v>
      </c>
      <c r="M42" s="131">
        <v>14841</v>
      </c>
      <c r="N42" s="131">
        <v>16496</v>
      </c>
      <c r="O42" s="287">
        <v>16799</v>
      </c>
      <c r="P42" s="287">
        <v>14908</v>
      </c>
      <c r="Q42" s="287">
        <v>24609</v>
      </c>
      <c r="R42" s="338">
        <v>28965</v>
      </c>
      <c r="S42" s="338">
        <v>31117</v>
      </c>
      <c r="T42" s="463">
        <f>'Mielies-Maize 2025'!F40</f>
        <v>35297</v>
      </c>
      <c r="U42" s="460">
        <f>'Mielies-Maize 2026'!F40</f>
        <v>0</v>
      </c>
      <c r="V42" s="630">
        <f t="shared" si="8"/>
        <v>26979.200000000001</v>
      </c>
      <c r="W42" s="631">
        <f t="shared" si="13"/>
        <v>7062396.8000000007</v>
      </c>
      <c r="X42" s="629">
        <f t="shared" si="9"/>
        <v>-7062396.8000000007</v>
      </c>
      <c r="Y42" s="632">
        <v>9084650</v>
      </c>
      <c r="Z42" s="629">
        <f t="shared" si="10"/>
        <v>-35297</v>
      </c>
      <c r="AA42" s="629"/>
    </row>
    <row r="43" spans="2:27" ht="15" customHeight="1" x14ac:dyDescent="0.3">
      <c r="B43" s="18">
        <v>26</v>
      </c>
      <c r="C43" s="260">
        <f t="shared" si="7"/>
        <v>45954</v>
      </c>
      <c r="D43" s="20">
        <v>13000</v>
      </c>
      <c r="E43" s="20">
        <v>15000</v>
      </c>
      <c r="F43" s="20">
        <v>29000</v>
      </c>
      <c r="G43" s="17">
        <v>23623</v>
      </c>
      <c r="H43" s="133">
        <v>63648</v>
      </c>
      <c r="I43" s="128">
        <v>18634</v>
      </c>
      <c r="J43" s="131">
        <v>27236</v>
      </c>
      <c r="K43" s="131">
        <v>34106</v>
      </c>
      <c r="L43" s="131">
        <v>106412</v>
      </c>
      <c r="M43" s="131">
        <v>59172</v>
      </c>
      <c r="N43" s="131">
        <v>70549</v>
      </c>
      <c r="O43" s="287">
        <v>13803</v>
      </c>
      <c r="P43" s="287">
        <v>63150</v>
      </c>
      <c r="Q43" s="287">
        <v>25788</v>
      </c>
      <c r="R43" s="338">
        <v>24947</v>
      </c>
      <c r="S43" s="338">
        <v>34045</v>
      </c>
      <c r="T43" s="463">
        <f>'Mielies-Maize 2025'!F41</f>
        <v>34824</v>
      </c>
      <c r="U43" s="460">
        <f>'Mielies-Maize 2026'!F41</f>
        <v>0</v>
      </c>
      <c r="V43" s="630">
        <f t="shared" si="8"/>
        <v>36550.800000000003</v>
      </c>
      <c r="W43" s="631">
        <f t="shared" si="13"/>
        <v>7098947.6000000006</v>
      </c>
      <c r="X43" s="629">
        <f t="shared" si="9"/>
        <v>-7098947.6000000006</v>
      </c>
      <c r="Y43" s="632">
        <v>9084650</v>
      </c>
      <c r="Z43" s="629">
        <f t="shared" si="10"/>
        <v>-34824</v>
      </c>
      <c r="AA43" s="629"/>
    </row>
    <row r="44" spans="2:27" ht="15" customHeight="1" x14ac:dyDescent="0.3">
      <c r="B44" s="18">
        <v>27</v>
      </c>
      <c r="C44" s="260">
        <f t="shared" si="7"/>
        <v>45961</v>
      </c>
      <c r="D44" s="20">
        <v>15000</v>
      </c>
      <c r="E44" s="20">
        <v>10000</v>
      </c>
      <c r="F44" s="41">
        <v>21000</v>
      </c>
      <c r="G44" s="17">
        <v>16866</v>
      </c>
      <c r="H44" s="133">
        <v>22275</v>
      </c>
      <c r="I44" s="128">
        <v>77905</v>
      </c>
      <c r="J44" s="131">
        <v>39533</v>
      </c>
      <c r="K44" s="131">
        <v>7178</v>
      </c>
      <c r="L44" s="131">
        <v>10783</v>
      </c>
      <c r="M44" s="131">
        <v>3633</v>
      </c>
      <c r="N44" s="131">
        <v>2158</v>
      </c>
      <c r="O44" s="287">
        <v>82181</v>
      </c>
      <c r="P44" s="287">
        <v>7407</v>
      </c>
      <c r="Q44" s="287">
        <v>25015</v>
      </c>
      <c r="R44" s="338">
        <v>15885</v>
      </c>
      <c r="S44" s="338">
        <v>21968</v>
      </c>
      <c r="T44" s="463">
        <f>'Mielies-Maize 2025'!F42</f>
        <v>39494</v>
      </c>
      <c r="U44" s="460">
        <f>'Mielies-Maize 2026'!F42</f>
        <v>0</v>
      </c>
      <c r="V44" s="630">
        <f t="shared" si="8"/>
        <v>21953.8</v>
      </c>
      <c r="W44" s="631">
        <f t="shared" si="13"/>
        <v>7120901.4000000004</v>
      </c>
      <c r="X44" s="629">
        <f t="shared" si="9"/>
        <v>-7120901.4000000004</v>
      </c>
      <c r="Y44" s="632">
        <v>9084650</v>
      </c>
      <c r="Z44" s="629">
        <f t="shared" si="10"/>
        <v>-39494</v>
      </c>
      <c r="AA44" s="629"/>
    </row>
    <row r="45" spans="2:27" ht="15" customHeight="1" x14ac:dyDescent="0.3">
      <c r="B45" s="18">
        <v>28</v>
      </c>
      <c r="C45" s="260">
        <f t="shared" si="7"/>
        <v>45968</v>
      </c>
      <c r="D45" s="20">
        <v>8000</v>
      </c>
      <c r="E45" s="20">
        <v>11000</v>
      </c>
      <c r="F45" s="41">
        <v>12000</v>
      </c>
      <c r="G45" s="17">
        <v>21766</v>
      </c>
      <c r="H45" s="133">
        <v>15295</v>
      </c>
      <c r="I45" s="128">
        <v>16901</v>
      </c>
      <c r="J45" s="131">
        <v>19255</v>
      </c>
      <c r="K45" s="131">
        <v>6845</v>
      </c>
      <c r="L45" s="131">
        <v>17414</v>
      </c>
      <c r="M45" s="131">
        <v>8399</v>
      </c>
      <c r="N45" s="131">
        <v>11652</v>
      </c>
      <c r="O45" s="287">
        <v>9087</v>
      </c>
      <c r="P45" s="287">
        <v>9496</v>
      </c>
      <c r="Q45" s="287">
        <v>20335</v>
      </c>
      <c r="R45" s="338">
        <v>16800</v>
      </c>
      <c r="S45" s="338">
        <v>23891</v>
      </c>
      <c r="T45" s="463">
        <f>'Mielies-Maize 2025'!F43</f>
        <v>29280</v>
      </c>
      <c r="U45" s="460">
        <f>'Mielies-Maize 2026'!F43</f>
        <v>0</v>
      </c>
      <c r="V45" s="630">
        <f t="shared" si="8"/>
        <v>19960.400000000001</v>
      </c>
      <c r="W45" s="631">
        <f t="shared" si="13"/>
        <v>7140861.8000000007</v>
      </c>
      <c r="X45" s="629">
        <f t="shared" si="9"/>
        <v>-7140861.8000000007</v>
      </c>
      <c r="Y45" s="632">
        <v>9084650</v>
      </c>
      <c r="Z45" s="629">
        <f t="shared" si="10"/>
        <v>-29280</v>
      </c>
      <c r="AA45" s="629"/>
    </row>
    <row r="46" spans="2:27" ht="15" customHeight="1" x14ac:dyDescent="0.3">
      <c r="B46" s="18">
        <v>29</v>
      </c>
      <c r="C46" s="260">
        <f t="shared" si="7"/>
        <v>45975</v>
      </c>
      <c r="D46" s="20">
        <v>11000</v>
      </c>
      <c r="E46" s="20">
        <v>11000</v>
      </c>
      <c r="F46" s="41">
        <v>28000</v>
      </c>
      <c r="G46" s="17">
        <v>19043</v>
      </c>
      <c r="H46" s="133">
        <v>-4197</v>
      </c>
      <c r="I46" s="128">
        <v>16145</v>
      </c>
      <c r="J46" s="131">
        <v>20508</v>
      </c>
      <c r="K46" s="131">
        <v>9858</v>
      </c>
      <c r="L46" s="131">
        <v>17344</v>
      </c>
      <c r="M46" s="131">
        <v>9140</v>
      </c>
      <c r="N46" s="131">
        <v>9598</v>
      </c>
      <c r="O46" s="287">
        <v>7665</v>
      </c>
      <c r="P46" s="287">
        <v>7032</v>
      </c>
      <c r="Q46" s="287">
        <v>23398</v>
      </c>
      <c r="R46" s="338">
        <v>12207</v>
      </c>
      <c r="S46" s="338">
        <v>17401</v>
      </c>
      <c r="T46" s="463">
        <f>'Mielies-Maize 2025'!F44</f>
        <v>30271</v>
      </c>
      <c r="U46" s="460">
        <f>'Mielies-Maize 2026'!F44</f>
        <v>0</v>
      </c>
      <c r="V46" s="630">
        <f t="shared" si="8"/>
        <v>18061.8</v>
      </c>
      <c r="W46" s="631">
        <f t="shared" si="13"/>
        <v>7158923.6000000006</v>
      </c>
      <c r="X46" s="629">
        <f t="shared" si="9"/>
        <v>-7158923.6000000006</v>
      </c>
      <c r="Y46" s="632">
        <v>9084650</v>
      </c>
      <c r="Z46" s="629">
        <f t="shared" si="10"/>
        <v>-30271</v>
      </c>
      <c r="AA46" s="629"/>
    </row>
    <row r="47" spans="2:27" ht="15" customHeight="1" x14ac:dyDescent="0.3">
      <c r="B47" s="18">
        <v>30</v>
      </c>
      <c r="C47" s="260">
        <f t="shared" si="7"/>
        <v>45982</v>
      </c>
      <c r="D47" s="20">
        <v>8000</v>
      </c>
      <c r="E47" s="20">
        <v>11000</v>
      </c>
      <c r="F47" s="41">
        <v>48000</v>
      </c>
      <c r="G47" s="17">
        <v>57876</v>
      </c>
      <c r="H47" s="133">
        <v>15132</v>
      </c>
      <c r="I47" s="128">
        <v>16187</v>
      </c>
      <c r="J47" s="131">
        <v>11077</v>
      </c>
      <c r="K47" s="131">
        <v>58749</v>
      </c>
      <c r="L47" s="131">
        <v>107653</v>
      </c>
      <c r="M47" s="131">
        <v>7591</v>
      </c>
      <c r="N47" s="131">
        <v>5910</v>
      </c>
      <c r="O47" s="287">
        <v>7429</v>
      </c>
      <c r="P47" s="287">
        <v>44652</v>
      </c>
      <c r="Q47" s="287">
        <v>33268</v>
      </c>
      <c r="R47" s="338">
        <v>32350</v>
      </c>
      <c r="S47" s="338">
        <v>16566</v>
      </c>
      <c r="T47" s="463">
        <f>'Mielies-Maize 2025'!F45</f>
        <v>25903</v>
      </c>
      <c r="U47" s="460">
        <f>'Mielies-Maize 2026'!F45</f>
        <v>0</v>
      </c>
      <c r="V47" s="630">
        <f t="shared" si="8"/>
        <v>30547.8</v>
      </c>
      <c r="W47" s="631">
        <f t="shared" si="13"/>
        <v>7189471.4000000004</v>
      </c>
      <c r="X47" s="629">
        <f t="shared" si="9"/>
        <v>-7189471.4000000004</v>
      </c>
      <c r="Y47" s="632">
        <v>9084650</v>
      </c>
      <c r="Z47" s="629">
        <f t="shared" si="10"/>
        <v>-25903</v>
      </c>
      <c r="AA47" s="629"/>
    </row>
    <row r="48" spans="2:27" ht="15" customHeight="1" x14ac:dyDescent="0.3">
      <c r="B48" s="18">
        <v>31</v>
      </c>
      <c r="C48" s="260">
        <f t="shared" si="7"/>
        <v>45989</v>
      </c>
      <c r="D48" s="20">
        <v>11000</v>
      </c>
      <c r="E48" s="20">
        <v>5000</v>
      </c>
      <c r="F48" s="41">
        <v>15000</v>
      </c>
      <c r="G48" s="17">
        <v>23769</v>
      </c>
      <c r="H48" s="133">
        <v>43649</v>
      </c>
      <c r="I48" s="128">
        <v>53618</v>
      </c>
      <c r="J48" s="131">
        <v>43075</v>
      </c>
      <c r="K48" s="131">
        <v>6854</v>
      </c>
      <c r="L48" s="131">
        <v>10642</v>
      </c>
      <c r="M48" s="131">
        <v>32389</v>
      </c>
      <c r="N48" s="131">
        <v>38201</v>
      </c>
      <c r="O48" s="287">
        <v>36065</v>
      </c>
      <c r="P48" s="287">
        <v>4654</v>
      </c>
      <c r="Q48" s="287">
        <v>9108</v>
      </c>
      <c r="R48" s="338">
        <v>15451</v>
      </c>
      <c r="S48" s="338">
        <v>26971</v>
      </c>
      <c r="T48" s="463">
        <f>'Mielies-Maize 2025'!F46</f>
        <v>26529</v>
      </c>
      <c r="U48" s="460">
        <f>'Mielies-Maize 2026'!F46</f>
        <v>0</v>
      </c>
      <c r="V48" s="630">
        <f t="shared" si="8"/>
        <v>16542.599999999999</v>
      </c>
      <c r="W48" s="631">
        <f t="shared" si="13"/>
        <v>7206014</v>
      </c>
      <c r="X48" s="629">
        <f t="shared" si="9"/>
        <v>-7206014</v>
      </c>
      <c r="Y48" s="632">
        <v>9084650</v>
      </c>
      <c r="Z48" s="629">
        <f t="shared" si="10"/>
        <v>-26529</v>
      </c>
      <c r="AA48" s="629"/>
    </row>
    <row r="49" spans="2:27" ht="15" customHeight="1" x14ac:dyDescent="0.3">
      <c r="B49" s="18">
        <v>32</v>
      </c>
      <c r="C49" s="260">
        <f t="shared" si="7"/>
        <v>45996</v>
      </c>
      <c r="D49" s="20">
        <v>23000</v>
      </c>
      <c r="E49" s="20">
        <v>11000</v>
      </c>
      <c r="F49" s="41">
        <v>30000</v>
      </c>
      <c r="G49" s="17">
        <v>20991</v>
      </c>
      <c r="H49" s="133">
        <v>13905</v>
      </c>
      <c r="I49" s="128">
        <v>16735</v>
      </c>
      <c r="J49" s="131">
        <v>12352</v>
      </c>
      <c r="K49" s="131">
        <v>0</v>
      </c>
      <c r="L49" s="131">
        <v>9794</v>
      </c>
      <c r="M49" s="131">
        <v>3944</v>
      </c>
      <c r="N49" s="131">
        <v>3259</v>
      </c>
      <c r="O49" s="287">
        <v>4505</v>
      </c>
      <c r="P49" s="287">
        <v>7313</v>
      </c>
      <c r="Q49" s="287">
        <v>14534</v>
      </c>
      <c r="R49" s="338">
        <v>18470</v>
      </c>
      <c r="S49" s="338">
        <v>24027</v>
      </c>
      <c r="T49" s="463">
        <f>'Mielies-Maize 2025'!F47</f>
        <v>20949</v>
      </c>
      <c r="U49" s="460">
        <f>'Mielies-Maize 2026'!F47</f>
        <v>0</v>
      </c>
      <c r="V49" s="630">
        <f t="shared" si="8"/>
        <v>17058.599999999999</v>
      </c>
      <c r="W49" s="631">
        <f t="shared" si="13"/>
        <v>7223072.5999999996</v>
      </c>
      <c r="X49" s="629">
        <f t="shared" si="9"/>
        <v>-7223072.5999999996</v>
      </c>
      <c r="Y49" s="632">
        <v>9084650</v>
      </c>
      <c r="Z49" s="629">
        <f t="shared" si="10"/>
        <v>-20949</v>
      </c>
      <c r="AA49" s="629"/>
    </row>
    <row r="50" spans="2:27" ht="15" customHeight="1" x14ac:dyDescent="0.3">
      <c r="B50" s="18">
        <v>33</v>
      </c>
      <c r="C50" s="260">
        <f t="shared" si="7"/>
        <v>46003</v>
      </c>
      <c r="D50" s="20">
        <v>0</v>
      </c>
      <c r="E50" s="20">
        <v>33000</v>
      </c>
      <c r="F50" s="41">
        <v>0</v>
      </c>
      <c r="G50" s="17">
        <v>0</v>
      </c>
      <c r="H50" s="133">
        <v>0</v>
      </c>
      <c r="I50" s="128">
        <v>0</v>
      </c>
      <c r="J50" s="131">
        <v>0</v>
      </c>
      <c r="K50" s="131">
        <v>0</v>
      </c>
      <c r="L50" s="131">
        <v>0</v>
      </c>
      <c r="M50" s="131">
        <v>4144</v>
      </c>
      <c r="N50" s="131">
        <v>1457</v>
      </c>
      <c r="O50" s="287">
        <v>5803</v>
      </c>
      <c r="P50" s="287">
        <v>5887</v>
      </c>
      <c r="Q50" s="287">
        <v>8452</v>
      </c>
      <c r="R50" s="338">
        <v>11520</v>
      </c>
      <c r="S50" s="338">
        <v>17536</v>
      </c>
      <c r="T50" s="463">
        <f>'Mielies-Maize 2025'!F48</f>
        <v>20179</v>
      </c>
      <c r="U50" s="460">
        <f>'Mielies-Maize 2026'!F48</f>
        <v>0</v>
      </c>
      <c r="V50" s="630">
        <f t="shared" si="8"/>
        <v>12714.8</v>
      </c>
      <c r="W50" s="631">
        <f t="shared" si="13"/>
        <v>7235787.3999999994</v>
      </c>
      <c r="X50" s="629">
        <f t="shared" si="9"/>
        <v>-7235787.3999999994</v>
      </c>
      <c r="Y50" s="632">
        <v>9084650</v>
      </c>
      <c r="Z50" s="629">
        <f t="shared" si="10"/>
        <v>-20179</v>
      </c>
      <c r="AA50" s="629"/>
    </row>
    <row r="51" spans="2:27" ht="15" customHeight="1" x14ac:dyDescent="0.3">
      <c r="B51" s="18">
        <v>34</v>
      </c>
      <c r="C51" s="260">
        <f t="shared" si="7"/>
        <v>46010</v>
      </c>
      <c r="D51" s="20">
        <v>0</v>
      </c>
      <c r="E51" s="20">
        <v>0</v>
      </c>
      <c r="F51" s="41">
        <v>0</v>
      </c>
      <c r="G51" s="17">
        <v>0</v>
      </c>
      <c r="H51" s="133">
        <v>0</v>
      </c>
      <c r="I51" s="128">
        <v>0</v>
      </c>
      <c r="J51" s="131">
        <v>0</v>
      </c>
      <c r="K51" s="131">
        <v>0</v>
      </c>
      <c r="L51" s="131">
        <v>0</v>
      </c>
      <c r="M51" s="131">
        <v>2931</v>
      </c>
      <c r="N51" s="131">
        <v>2369</v>
      </c>
      <c r="O51" s="287">
        <v>3668</v>
      </c>
      <c r="P51" s="287">
        <v>4338</v>
      </c>
      <c r="Q51" s="287">
        <v>7816</v>
      </c>
      <c r="R51" s="338">
        <v>8778</v>
      </c>
      <c r="S51" s="338">
        <v>12717</v>
      </c>
      <c r="T51" s="463">
        <f>'Mielies-Maize 2025'!F49</f>
        <v>11757</v>
      </c>
      <c r="U51" s="460">
        <f>'Mielies-Maize 2026'!F49</f>
        <v>0</v>
      </c>
      <c r="V51" s="630">
        <f t="shared" si="8"/>
        <v>9081.2000000000007</v>
      </c>
      <c r="W51" s="631">
        <f t="shared" si="13"/>
        <v>7244868.5999999996</v>
      </c>
      <c r="X51" s="629">
        <f t="shared" si="9"/>
        <v>-7244868.5999999996</v>
      </c>
      <c r="Y51" s="632">
        <v>9084650</v>
      </c>
      <c r="Z51" s="629">
        <f t="shared" si="10"/>
        <v>-11757</v>
      </c>
      <c r="AA51" s="629"/>
    </row>
    <row r="52" spans="2:27" ht="15" customHeight="1" x14ac:dyDescent="0.3">
      <c r="B52" s="18">
        <v>35</v>
      </c>
      <c r="C52" s="260">
        <f t="shared" si="7"/>
        <v>46017</v>
      </c>
      <c r="D52" s="20">
        <v>5000</v>
      </c>
      <c r="E52" s="20">
        <v>0</v>
      </c>
      <c r="F52" s="41">
        <v>15000</v>
      </c>
      <c r="G52" s="17">
        <v>75763</v>
      </c>
      <c r="H52" s="133">
        <v>46907</v>
      </c>
      <c r="I52" s="128">
        <v>68533</v>
      </c>
      <c r="J52" s="131">
        <v>57507</v>
      </c>
      <c r="K52" s="131">
        <v>40486</v>
      </c>
      <c r="L52" s="131">
        <v>61431</v>
      </c>
      <c r="M52" s="131">
        <v>9201</v>
      </c>
      <c r="N52" s="131">
        <v>15225</v>
      </c>
      <c r="O52" s="287">
        <v>20941</v>
      </c>
      <c r="P52" s="287">
        <v>24475</v>
      </c>
      <c r="Q52" s="287">
        <v>14301</v>
      </c>
      <c r="R52" s="338">
        <v>11283</v>
      </c>
      <c r="S52" s="338">
        <v>5023</v>
      </c>
      <c r="T52" s="463">
        <f>'Mielies-Maize 2025'!F50</f>
        <v>10378</v>
      </c>
      <c r="U52" s="460">
        <f>'Mielies-Maize 2026'!F50</f>
        <v>0</v>
      </c>
      <c r="V52" s="630">
        <f t="shared" si="8"/>
        <v>13092</v>
      </c>
      <c r="W52" s="631">
        <f t="shared" si="13"/>
        <v>7257960.5999999996</v>
      </c>
      <c r="X52" s="629">
        <f t="shared" si="9"/>
        <v>-7257960.5999999996</v>
      </c>
      <c r="Y52" s="632">
        <v>9084650</v>
      </c>
      <c r="Z52" s="629">
        <f t="shared" si="10"/>
        <v>-10378</v>
      </c>
      <c r="AA52" s="629"/>
    </row>
    <row r="53" spans="2:27" ht="15" customHeight="1" x14ac:dyDescent="0.3">
      <c r="B53" s="18">
        <v>36</v>
      </c>
      <c r="C53" s="260">
        <f t="shared" si="7"/>
        <v>46024</v>
      </c>
      <c r="D53" s="20">
        <v>26000</v>
      </c>
      <c r="E53" s="20">
        <v>5000</v>
      </c>
      <c r="F53" s="41">
        <v>10000</v>
      </c>
      <c r="G53" s="17">
        <v>4419</v>
      </c>
      <c r="H53" s="133">
        <v>7173</v>
      </c>
      <c r="I53" s="128">
        <v>5394</v>
      </c>
      <c r="J53" s="131">
        <v>3773</v>
      </c>
      <c r="K53" s="131">
        <v>2678</v>
      </c>
      <c r="L53" s="131">
        <v>6295</v>
      </c>
      <c r="M53" s="131">
        <v>605</v>
      </c>
      <c r="N53" s="131">
        <v>247</v>
      </c>
      <c r="O53" s="287">
        <v>164</v>
      </c>
      <c r="P53" s="287">
        <v>3593</v>
      </c>
      <c r="Q53" s="287">
        <v>5068</v>
      </c>
      <c r="R53" s="338">
        <v>7088</v>
      </c>
      <c r="S53" s="338">
        <v>4914</v>
      </c>
      <c r="T53" s="463">
        <f>'Mielies-Maize 2025'!F51</f>
        <v>2107</v>
      </c>
      <c r="U53" s="460">
        <f>'Mielies-Maize 2026'!F51</f>
        <v>0</v>
      </c>
      <c r="V53" s="630">
        <f t="shared" si="8"/>
        <v>4554</v>
      </c>
      <c r="W53" s="631">
        <f t="shared" si="13"/>
        <v>7262514.5999999996</v>
      </c>
      <c r="X53" s="629">
        <f t="shared" si="9"/>
        <v>-7262514.5999999996</v>
      </c>
      <c r="Y53" s="632">
        <v>9084650</v>
      </c>
      <c r="Z53" s="629">
        <f t="shared" si="10"/>
        <v>-2107</v>
      </c>
      <c r="AA53" s="629"/>
    </row>
    <row r="54" spans="2:27" ht="15" customHeight="1" x14ac:dyDescent="0.3">
      <c r="B54" s="18">
        <v>37</v>
      </c>
      <c r="C54" s="260">
        <f t="shared" si="7"/>
        <v>46031</v>
      </c>
      <c r="D54" s="20">
        <v>3000</v>
      </c>
      <c r="E54" s="20">
        <v>8000</v>
      </c>
      <c r="F54" s="41">
        <v>13000</v>
      </c>
      <c r="G54" s="17">
        <v>11178</v>
      </c>
      <c r="H54" s="133">
        <v>11752</v>
      </c>
      <c r="I54" s="128">
        <v>10088</v>
      </c>
      <c r="J54" s="131">
        <v>6980</v>
      </c>
      <c r="K54" s="131">
        <v>10518</v>
      </c>
      <c r="L54" s="131">
        <v>10667</v>
      </c>
      <c r="M54" s="131">
        <v>2895</v>
      </c>
      <c r="N54" s="131">
        <v>2079</v>
      </c>
      <c r="O54" s="287">
        <v>2948</v>
      </c>
      <c r="P54" s="287">
        <v>6261</v>
      </c>
      <c r="Q54" s="287">
        <v>12109</v>
      </c>
      <c r="R54" s="338">
        <v>8503</v>
      </c>
      <c r="S54" s="338">
        <v>13611</v>
      </c>
      <c r="T54" s="463">
        <f>'Mielies-Maize 2025'!F52</f>
        <v>13033</v>
      </c>
      <c r="U54" s="460">
        <f>'Mielies-Maize 2026'!F52</f>
        <v>0</v>
      </c>
      <c r="V54" s="630">
        <f t="shared" si="8"/>
        <v>10703.4</v>
      </c>
      <c r="W54" s="631">
        <f t="shared" si="13"/>
        <v>7273218</v>
      </c>
      <c r="X54" s="629">
        <f t="shared" si="9"/>
        <v>-7273218</v>
      </c>
      <c r="Y54" s="632">
        <v>9084650</v>
      </c>
      <c r="Z54" s="629">
        <f t="shared" si="10"/>
        <v>-13033</v>
      </c>
      <c r="AA54" s="629"/>
    </row>
    <row r="55" spans="2:27" ht="14.25" customHeight="1" x14ac:dyDescent="0.3">
      <c r="B55" s="18">
        <v>38</v>
      </c>
      <c r="C55" s="260">
        <f t="shared" si="7"/>
        <v>46038</v>
      </c>
      <c r="D55" s="20">
        <v>8000</v>
      </c>
      <c r="E55" s="20">
        <v>5000</v>
      </c>
      <c r="F55" s="41">
        <v>14000</v>
      </c>
      <c r="G55" s="17">
        <v>9457</v>
      </c>
      <c r="H55" s="133">
        <v>12500</v>
      </c>
      <c r="I55" s="128">
        <v>16621</v>
      </c>
      <c r="J55" s="131">
        <v>14135</v>
      </c>
      <c r="K55" s="131">
        <v>16958</v>
      </c>
      <c r="L55" s="131">
        <v>9207</v>
      </c>
      <c r="M55" s="131">
        <v>1078</v>
      </c>
      <c r="N55" s="131">
        <v>6752</v>
      </c>
      <c r="O55" s="287">
        <v>5613</v>
      </c>
      <c r="P55" s="287">
        <v>7804</v>
      </c>
      <c r="Q55" s="287">
        <v>13215</v>
      </c>
      <c r="R55" s="338">
        <v>14459</v>
      </c>
      <c r="S55" s="338">
        <v>16190</v>
      </c>
      <c r="T55" s="463">
        <f>'Mielies-Maize 2025'!F53</f>
        <v>21081</v>
      </c>
      <c r="U55" s="460">
        <f>'Mielies-Maize 2026'!F53</f>
        <v>0</v>
      </c>
      <c r="V55" s="630">
        <f t="shared" si="8"/>
        <v>14549.8</v>
      </c>
      <c r="W55" s="631">
        <f t="shared" si="13"/>
        <v>7287767.7999999998</v>
      </c>
      <c r="X55" s="629">
        <f t="shared" si="9"/>
        <v>-7287767.7999999998</v>
      </c>
      <c r="Y55" s="632">
        <v>9084650</v>
      </c>
      <c r="Z55" s="629">
        <f t="shared" si="10"/>
        <v>-21081</v>
      </c>
      <c r="AA55" s="629"/>
    </row>
    <row r="56" spans="2:27" ht="14.25" customHeight="1" x14ac:dyDescent="0.3">
      <c r="B56" s="18">
        <v>39</v>
      </c>
      <c r="C56" s="260">
        <f t="shared" si="7"/>
        <v>46045</v>
      </c>
      <c r="D56" s="20">
        <v>6000</v>
      </c>
      <c r="E56" s="20">
        <v>9000</v>
      </c>
      <c r="F56" s="41">
        <v>14000</v>
      </c>
      <c r="G56" s="17">
        <v>31329</v>
      </c>
      <c r="H56" s="133">
        <v>28954</v>
      </c>
      <c r="I56" s="128">
        <v>18997</v>
      </c>
      <c r="J56" s="131">
        <v>21957</v>
      </c>
      <c r="K56" s="131">
        <v>55917</v>
      </c>
      <c r="L56" s="131">
        <v>67194</v>
      </c>
      <c r="M56" s="131">
        <v>13637</v>
      </c>
      <c r="N56" s="131">
        <v>9442</v>
      </c>
      <c r="O56" s="287">
        <v>7152</v>
      </c>
      <c r="P56" s="287">
        <v>51784</v>
      </c>
      <c r="Q56" s="287">
        <v>27961</v>
      </c>
      <c r="R56" s="338">
        <v>24477</v>
      </c>
      <c r="S56" s="338">
        <v>12929</v>
      </c>
      <c r="T56" s="463">
        <f>'Mielies-Maize 2025'!F54</f>
        <v>26974</v>
      </c>
      <c r="U56" s="460">
        <f>'Mielies-Maize 2026'!F54</f>
        <v>0</v>
      </c>
      <c r="V56" s="630">
        <f t="shared" si="8"/>
        <v>28825</v>
      </c>
      <c r="W56" s="631">
        <f t="shared" si="13"/>
        <v>7316592.7999999998</v>
      </c>
      <c r="X56" s="629">
        <f t="shared" si="9"/>
        <v>-7316592.7999999998</v>
      </c>
      <c r="Y56" s="632">
        <v>9084650</v>
      </c>
      <c r="Z56" s="629">
        <f t="shared" si="10"/>
        <v>-26974</v>
      </c>
      <c r="AA56" s="629"/>
    </row>
    <row r="57" spans="2:27" ht="14.25" customHeight="1" x14ac:dyDescent="0.3">
      <c r="B57" s="18">
        <v>40</v>
      </c>
      <c r="C57" s="260">
        <f t="shared" si="7"/>
        <v>46052</v>
      </c>
      <c r="D57" s="20">
        <v>10000</v>
      </c>
      <c r="E57" s="20">
        <v>5000</v>
      </c>
      <c r="F57" s="41">
        <v>8000</v>
      </c>
      <c r="G57" s="17">
        <v>14541</v>
      </c>
      <c r="H57" s="133">
        <v>44177</v>
      </c>
      <c r="I57" s="128">
        <v>73924</v>
      </c>
      <c r="J57" s="131">
        <v>70882</v>
      </c>
      <c r="K57" s="131">
        <v>8794</v>
      </c>
      <c r="L57" s="131">
        <v>2672</v>
      </c>
      <c r="M57" s="131">
        <v>91</v>
      </c>
      <c r="N57" s="131">
        <v>24062</v>
      </c>
      <c r="O57" s="287">
        <v>31061</v>
      </c>
      <c r="P57" s="287">
        <v>4869</v>
      </c>
      <c r="Q57" s="287">
        <v>24603</v>
      </c>
      <c r="R57" s="338">
        <v>18483</v>
      </c>
      <c r="S57" s="338">
        <v>16687</v>
      </c>
      <c r="T57" s="463">
        <f>'Mielies-Maize 2025'!F55</f>
        <v>38093</v>
      </c>
      <c r="U57" s="460">
        <f>'Mielies-Maize 2026'!F55</f>
        <v>0</v>
      </c>
      <c r="V57" s="630">
        <f t="shared" si="8"/>
        <v>20547</v>
      </c>
      <c r="W57" s="631">
        <f t="shared" si="13"/>
        <v>7337139.7999999998</v>
      </c>
      <c r="X57" s="629">
        <f t="shared" si="9"/>
        <v>-7337139.7999999998</v>
      </c>
      <c r="Y57" s="632">
        <v>9084650</v>
      </c>
      <c r="Z57" s="629">
        <f t="shared" si="10"/>
        <v>-38093</v>
      </c>
      <c r="AA57" s="629"/>
    </row>
    <row r="58" spans="2:27" ht="14.25" customHeight="1" x14ac:dyDescent="0.3">
      <c r="B58" s="18">
        <v>41</v>
      </c>
      <c r="C58" s="260">
        <f t="shared" si="7"/>
        <v>46059</v>
      </c>
      <c r="D58" s="20">
        <v>9000</v>
      </c>
      <c r="E58" s="20">
        <v>9000</v>
      </c>
      <c r="F58" s="41">
        <v>6000</v>
      </c>
      <c r="G58" s="17">
        <v>18083</v>
      </c>
      <c r="H58" s="133">
        <v>24623</v>
      </c>
      <c r="I58" s="128">
        <v>24978</v>
      </c>
      <c r="J58" s="131">
        <v>33366</v>
      </c>
      <c r="K58" s="131">
        <v>27581</v>
      </c>
      <c r="L58" s="131">
        <v>11706</v>
      </c>
      <c r="M58" s="131">
        <v>2095</v>
      </c>
      <c r="N58" s="131">
        <v>7466</v>
      </c>
      <c r="O58" s="287">
        <v>5936</v>
      </c>
      <c r="P58" s="287">
        <v>10413</v>
      </c>
      <c r="Q58" s="287">
        <v>26466</v>
      </c>
      <c r="R58" s="338">
        <v>17202</v>
      </c>
      <c r="S58" s="338">
        <v>18618</v>
      </c>
      <c r="T58" s="463">
        <f>'Mielies-Maize 2025'!F56</f>
        <v>35887</v>
      </c>
      <c r="U58" s="460">
        <f>'Mielies-Maize 2026'!F56</f>
        <v>0</v>
      </c>
      <c r="V58" s="630">
        <f t="shared" si="8"/>
        <v>21717.200000000001</v>
      </c>
      <c r="W58" s="631">
        <f t="shared" si="13"/>
        <v>7358857</v>
      </c>
      <c r="X58" s="629">
        <f t="shared" si="9"/>
        <v>-7358857</v>
      </c>
      <c r="Y58" s="632">
        <v>9084650</v>
      </c>
      <c r="Z58" s="629">
        <f t="shared" si="10"/>
        <v>-35887</v>
      </c>
      <c r="AA58" s="629"/>
    </row>
    <row r="59" spans="2:27" ht="14.25" customHeight="1" x14ac:dyDescent="0.3">
      <c r="B59" s="18">
        <v>42</v>
      </c>
      <c r="C59" s="260">
        <f t="shared" si="7"/>
        <v>46066</v>
      </c>
      <c r="D59" s="20">
        <v>9000</v>
      </c>
      <c r="E59" s="20">
        <v>21000</v>
      </c>
      <c r="F59" s="41">
        <v>33000</v>
      </c>
      <c r="G59" s="17">
        <v>24607</v>
      </c>
      <c r="H59" s="133">
        <v>29549</v>
      </c>
      <c r="I59" s="128">
        <v>32476</v>
      </c>
      <c r="J59" s="131">
        <v>45464</v>
      </c>
      <c r="K59" s="131">
        <v>46977</v>
      </c>
      <c r="L59" s="131">
        <v>9435</v>
      </c>
      <c r="M59" s="131">
        <v>1001</v>
      </c>
      <c r="N59" s="131">
        <v>11480</v>
      </c>
      <c r="O59" s="287">
        <v>10507</v>
      </c>
      <c r="P59" s="287">
        <v>5984</v>
      </c>
      <c r="Q59" s="287">
        <v>25662</v>
      </c>
      <c r="R59" s="338">
        <v>23555</v>
      </c>
      <c r="S59" s="338">
        <v>13946</v>
      </c>
      <c r="T59" s="463">
        <f>'Mielies-Maize 2025'!F57</f>
        <v>38121</v>
      </c>
      <c r="U59" s="460">
        <f>'Mielies-Maize 2026'!F57</f>
        <v>0</v>
      </c>
      <c r="V59" s="630">
        <f t="shared" si="8"/>
        <v>21453.599999999999</v>
      </c>
      <c r="W59" s="631">
        <f t="shared" si="13"/>
        <v>7380310.5999999996</v>
      </c>
      <c r="X59" s="629">
        <f t="shared" si="9"/>
        <v>-7380310.5999999996</v>
      </c>
      <c r="Y59" s="632">
        <v>9084650</v>
      </c>
      <c r="Z59" s="629">
        <f t="shared" si="10"/>
        <v>-38121</v>
      </c>
      <c r="AA59" s="629"/>
    </row>
    <row r="60" spans="2:27" ht="14.25" customHeight="1" x14ac:dyDescent="0.3">
      <c r="B60" s="18">
        <v>43</v>
      </c>
      <c r="C60" s="260">
        <f t="shared" si="7"/>
        <v>46073</v>
      </c>
      <c r="D60" s="20">
        <v>6000</v>
      </c>
      <c r="E60" s="20">
        <v>6000</v>
      </c>
      <c r="F60" s="41">
        <v>18000</v>
      </c>
      <c r="G60" s="17">
        <v>74611</v>
      </c>
      <c r="H60" s="133">
        <v>37777</v>
      </c>
      <c r="I60" s="128">
        <v>35813</v>
      </c>
      <c r="J60" s="131">
        <v>34233</v>
      </c>
      <c r="K60" s="131">
        <v>75833</v>
      </c>
      <c r="L60" s="131">
        <v>68018</v>
      </c>
      <c r="M60" s="131">
        <v>22200</v>
      </c>
      <c r="N60" s="131">
        <v>9084</v>
      </c>
      <c r="O60" s="287">
        <v>8705</v>
      </c>
      <c r="P60" s="287">
        <v>30251</v>
      </c>
      <c r="Q60" s="287">
        <v>30709</v>
      </c>
      <c r="R60" s="338">
        <v>29986</v>
      </c>
      <c r="S60" s="338">
        <v>6081</v>
      </c>
      <c r="T60" s="463">
        <f>'Mielies-Maize 2025'!F58</f>
        <v>33973</v>
      </c>
      <c r="U60" s="460">
        <f>'Mielies-Maize 2026'!F58</f>
        <v>0</v>
      </c>
      <c r="V60" s="630">
        <f t="shared" si="8"/>
        <v>26200</v>
      </c>
      <c r="W60" s="631">
        <f t="shared" si="13"/>
        <v>7406510.5999999996</v>
      </c>
      <c r="X60" s="629">
        <f t="shared" si="9"/>
        <v>-7406510.5999999996</v>
      </c>
      <c r="Y60" s="632">
        <v>9084650</v>
      </c>
      <c r="Z60" s="629">
        <f t="shared" si="10"/>
        <v>-33973</v>
      </c>
      <c r="AA60" s="629"/>
    </row>
    <row r="61" spans="2:27" ht="14.25" customHeight="1" x14ac:dyDescent="0.3">
      <c r="B61" s="18">
        <v>44</v>
      </c>
      <c r="C61" s="260">
        <f t="shared" si="7"/>
        <v>46080</v>
      </c>
      <c r="D61" s="20">
        <v>8000</v>
      </c>
      <c r="E61" s="20">
        <v>9000</v>
      </c>
      <c r="F61" s="141">
        <v>14000</v>
      </c>
      <c r="G61" s="140">
        <v>48477</v>
      </c>
      <c r="H61" s="133">
        <v>56253</v>
      </c>
      <c r="I61" s="128">
        <v>91654</v>
      </c>
      <c r="J61" s="131">
        <v>89529</v>
      </c>
      <c r="K61" s="131">
        <v>12553</v>
      </c>
      <c r="L61" s="131">
        <v>3373</v>
      </c>
      <c r="M61" s="131">
        <v>1060</v>
      </c>
      <c r="N61" s="131">
        <v>23857</v>
      </c>
      <c r="O61" s="287">
        <v>29153</v>
      </c>
      <c r="P61" s="287">
        <v>5521</v>
      </c>
      <c r="Q61" s="287">
        <v>19551</v>
      </c>
      <c r="R61" s="338">
        <v>18024</v>
      </c>
      <c r="S61" s="338">
        <v>13025</v>
      </c>
      <c r="T61" s="463">
        <f>'Mielies-Maize 2025'!F59</f>
        <v>48104</v>
      </c>
      <c r="U61" s="460">
        <f>'Mielies-Maize 2026'!F59</f>
        <v>0</v>
      </c>
      <c r="V61" s="630">
        <f t="shared" si="8"/>
        <v>20845</v>
      </c>
      <c r="W61" s="631">
        <f t="shared" si="13"/>
        <v>7427355.5999999996</v>
      </c>
      <c r="X61" s="629">
        <f t="shared" si="9"/>
        <v>-7427355.5999999996</v>
      </c>
      <c r="Y61" s="632">
        <v>9084650</v>
      </c>
      <c r="Z61" s="629">
        <f t="shared" si="10"/>
        <v>-48104</v>
      </c>
      <c r="AA61" s="629"/>
    </row>
    <row r="62" spans="2:27" ht="14.25" customHeight="1" x14ac:dyDescent="0.3">
      <c r="B62" s="18">
        <v>45</v>
      </c>
      <c r="C62" s="260">
        <f t="shared" si="7"/>
        <v>46087</v>
      </c>
      <c r="D62" s="20">
        <v>14000</v>
      </c>
      <c r="E62" s="20">
        <v>9000</v>
      </c>
      <c r="F62" s="41">
        <v>27000</v>
      </c>
      <c r="G62" s="17">
        <v>53181</v>
      </c>
      <c r="H62" s="133">
        <v>17466</v>
      </c>
      <c r="I62" s="128">
        <v>28346</v>
      </c>
      <c r="J62" s="131">
        <v>29898</v>
      </c>
      <c r="K62" s="131">
        <v>36209</v>
      </c>
      <c r="L62" s="131">
        <v>13326</v>
      </c>
      <c r="M62" s="131">
        <v>5160</v>
      </c>
      <c r="N62" s="131">
        <v>7344</v>
      </c>
      <c r="O62" s="287">
        <v>9127</v>
      </c>
      <c r="P62" s="287">
        <v>8444</v>
      </c>
      <c r="Q62" s="287">
        <v>20073</v>
      </c>
      <c r="R62" s="338">
        <v>23921</v>
      </c>
      <c r="S62" s="338">
        <v>13630</v>
      </c>
      <c r="T62" s="463">
        <f>'Mielies-Maize 2025'!F60</f>
        <v>29851</v>
      </c>
      <c r="U62" s="460">
        <f>'Mielies-Maize 2026'!F60</f>
        <v>0</v>
      </c>
      <c r="V62" s="630">
        <f t="shared" si="8"/>
        <v>19183.8</v>
      </c>
      <c r="W62" s="631">
        <f t="shared" si="13"/>
        <v>7446539.3999999994</v>
      </c>
      <c r="X62" s="629">
        <f t="shared" si="9"/>
        <v>-7446539.3999999994</v>
      </c>
      <c r="Y62" s="632">
        <v>9084650</v>
      </c>
      <c r="Z62" s="629">
        <f t="shared" si="10"/>
        <v>-29851</v>
      </c>
      <c r="AA62" s="629"/>
    </row>
    <row r="63" spans="2:27" ht="14.25" customHeight="1" x14ac:dyDescent="0.3">
      <c r="B63" s="18">
        <v>46</v>
      </c>
      <c r="C63" s="260">
        <f t="shared" si="7"/>
        <v>46094</v>
      </c>
      <c r="D63" s="20">
        <v>81000</v>
      </c>
      <c r="E63" s="20">
        <v>3000</v>
      </c>
      <c r="F63" s="41">
        <v>42000</v>
      </c>
      <c r="G63" s="17">
        <v>58073</v>
      </c>
      <c r="H63" s="133">
        <v>16832</v>
      </c>
      <c r="I63" s="128">
        <v>36727</v>
      </c>
      <c r="J63" s="131">
        <v>44640</v>
      </c>
      <c r="K63" s="131">
        <v>77684</v>
      </c>
      <c r="L63" s="131">
        <v>17827</v>
      </c>
      <c r="M63" s="131">
        <v>1635</v>
      </c>
      <c r="N63" s="131">
        <v>4120</v>
      </c>
      <c r="O63" s="287">
        <v>11229</v>
      </c>
      <c r="P63" s="287">
        <v>7408</v>
      </c>
      <c r="Q63" s="287">
        <v>22482</v>
      </c>
      <c r="R63" s="338">
        <v>32437</v>
      </c>
      <c r="S63" s="338">
        <v>43163</v>
      </c>
      <c r="T63" s="463">
        <f>'Mielies-Maize 2025'!F61</f>
        <v>45747</v>
      </c>
      <c r="U63" s="460">
        <f>'Mielies-Maize 2026'!F61</f>
        <v>0</v>
      </c>
      <c r="V63" s="630">
        <f t="shared" si="8"/>
        <v>30247.4</v>
      </c>
      <c r="W63" s="631">
        <f t="shared" si="13"/>
        <v>7476786.7999999998</v>
      </c>
      <c r="X63" s="629">
        <f t="shared" si="9"/>
        <v>-7476786.7999999998</v>
      </c>
      <c r="Y63" s="632">
        <v>9084650</v>
      </c>
      <c r="Z63" s="629">
        <f t="shared" si="10"/>
        <v>-45747</v>
      </c>
      <c r="AA63" s="629"/>
    </row>
    <row r="64" spans="2:27" ht="14.25" customHeight="1" x14ac:dyDescent="0.3">
      <c r="B64" s="18">
        <v>47</v>
      </c>
      <c r="C64" s="260">
        <f t="shared" si="7"/>
        <v>46101</v>
      </c>
      <c r="D64" s="373">
        <v>10000</v>
      </c>
      <c r="E64" s="20">
        <v>6000</v>
      </c>
      <c r="F64" s="41">
        <v>40000</v>
      </c>
      <c r="G64" s="17">
        <v>92058</v>
      </c>
      <c r="H64" s="133">
        <v>30836</v>
      </c>
      <c r="I64" s="128">
        <v>34682</v>
      </c>
      <c r="J64" s="131">
        <v>38794</v>
      </c>
      <c r="K64" s="131">
        <v>76354</v>
      </c>
      <c r="L64" s="131">
        <v>8388</v>
      </c>
      <c r="M64" s="131">
        <v>1951</v>
      </c>
      <c r="N64" s="131">
        <v>7498</v>
      </c>
      <c r="O64" s="287">
        <v>10015</v>
      </c>
      <c r="P64" s="287">
        <v>46816</v>
      </c>
      <c r="Q64" s="287">
        <v>15725</v>
      </c>
      <c r="R64" s="338">
        <v>39304</v>
      </c>
      <c r="S64" s="338">
        <v>41496</v>
      </c>
      <c r="T64" s="463">
        <f>'Mielies-Maize 2025'!F62</f>
        <v>55865</v>
      </c>
      <c r="U64" s="460">
        <f>'Mielies-Maize 2026'!F62</f>
        <v>0</v>
      </c>
      <c r="V64" s="630">
        <f t="shared" si="8"/>
        <v>39841.199999999997</v>
      </c>
      <c r="W64" s="631">
        <f t="shared" si="13"/>
        <v>7516628</v>
      </c>
      <c r="X64" s="629">
        <f t="shared" si="9"/>
        <v>-7516628</v>
      </c>
      <c r="Y64" s="632">
        <v>9084650</v>
      </c>
      <c r="Z64" s="629">
        <f t="shared" si="10"/>
        <v>-55865</v>
      </c>
      <c r="AA64" s="629"/>
    </row>
    <row r="65" spans="2:27" ht="14.25" customHeight="1" x14ac:dyDescent="0.3">
      <c r="B65" s="18">
        <v>48</v>
      </c>
      <c r="C65" s="260">
        <f t="shared" si="7"/>
        <v>46108</v>
      </c>
      <c r="D65" s="20">
        <v>6000</v>
      </c>
      <c r="E65" s="20">
        <v>2000</v>
      </c>
      <c r="F65" s="41">
        <v>52000</v>
      </c>
      <c r="G65" s="17">
        <v>44272</v>
      </c>
      <c r="H65" s="133">
        <v>87845</v>
      </c>
      <c r="I65" s="128">
        <v>100063</v>
      </c>
      <c r="J65" s="131">
        <v>134526</v>
      </c>
      <c r="K65" s="131">
        <v>174620</v>
      </c>
      <c r="L65" s="131">
        <v>58012</v>
      </c>
      <c r="M65" s="131">
        <v>25298</v>
      </c>
      <c r="N65" s="131">
        <v>29514</v>
      </c>
      <c r="O65" s="287">
        <v>57924</v>
      </c>
      <c r="P65" s="287">
        <v>1726</v>
      </c>
      <c r="Q65" s="287">
        <v>28193</v>
      </c>
      <c r="R65" s="338">
        <v>36958</v>
      </c>
      <c r="S65" s="338">
        <v>43408</v>
      </c>
      <c r="T65" s="463">
        <f>'Mielies-Maize 2025'!F63</f>
        <v>48313</v>
      </c>
      <c r="U65" s="460">
        <f>'Mielies-Maize 2026'!F63</f>
        <v>0</v>
      </c>
      <c r="V65" s="630">
        <f t="shared" si="8"/>
        <v>31719.599999999999</v>
      </c>
      <c r="W65" s="631">
        <f t="shared" si="13"/>
        <v>7548347.5999999996</v>
      </c>
      <c r="X65" s="629">
        <f t="shared" si="9"/>
        <v>-7548347.5999999996</v>
      </c>
      <c r="Y65" s="632">
        <v>9084650</v>
      </c>
      <c r="Z65" s="629">
        <f t="shared" si="10"/>
        <v>-48313</v>
      </c>
      <c r="AA65" s="629"/>
    </row>
    <row r="66" spans="2:27" ht="14.25" customHeight="1" x14ac:dyDescent="0.3">
      <c r="B66" s="18">
        <v>49</v>
      </c>
      <c r="C66" s="260">
        <f t="shared" si="7"/>
        <v>46115</v>
      </c>
      <c r="D66" s="20">
        <v>7000</v>
      </c>
      <c r="E66" s="20">
        <v>3000</v>
      </c>
      <c r="F66" s="41">
        <v>35000</v>
      </c>
      <c r="G66" s="17">
        <v>40598</v>
      </c>
      <c r="H66" s="133">
        <v>34657</v>
      </c>
      <c r="I66" s="128">
        <v>27403</v>
      </c>
      <c r="J66" s="131">
        <v>22890</v>
      </c>
      <c r="K66" s="131">
        <v>90941</v>
      </c>
      <c r="L66" s="131">
        <v>7089</v>
      </c>
      <c r="M66" s="131">
        <v>6254</v>
      </c>
      <c r="N66" s="131">
        <v>3059</v>
      </c>
      <c r="O66" s="287">
        <v>3074</v>
      </c>
      <c r="P66" s="287">
        <v>16362</v>
      </c>
      <c r="Q66" s="287">
        <v>9429</v>
      </c>
      <c r="R66" s="338">
        <v>36818</v>
      </c>
      <c r="S66" s="338">
        <v>18079</v>
      </c>
      <c r="T66" s="463">
        <f>'Mielies-Maize 2025'!F64</f>
        <v>29072</v>
      </c>
      <c r="U66" s="460">
        <f>'Mielies-Maize 2026'!F64</f>
        <v>0</v>
      </c>
      <c r="V66" s="630">
        <f t="shared" si="8"/>
        <v>21952</v>
      </c>
      <c r="W66" s="631">
        <f t="shared" si="13"/>
        <v>7570299.5999999996</v>
      </c>
      <c r="X66" s="629">
        <f t="shared" si="9"/>
        <v>-7570299.5999999996</v>
      </c>
      <c r="Y66" s="632">
        <v>9084650</v>
      </c>
      <c r="Z66" s="629">
        <f t="shared" si="10"/>
        <v>-29072</v>
      </c>
      <c r="AA66" s="629"/>
    </row>
    <row r="67" spans="2:27" ht="14.25" customHeight="1" x14ac:dyDescent="0.3">
      <c r="B67" s="18">
        <v>50</v>
      </c>
      <c r="C67" s="260">
        <f t="shared" si="7"/>
        <v>46122</v>
      </c>
      <c r="D67" s="20">
        <v>10000</v>
      </c>
      <c r="E67" s="20">
        <v>38000</v>
      </c>
      <c r="F67" s="41">
        <v>93000</v>
      </c>
      <c r="G67" s="17">
        <v>94097</v>
      </c>
      <c r="H67" s="133">
        <v>51986</v>
      </c>
      <c r="I67" s="128">
        <v>33877</v>
      </c>
      <c r="J67" s="131">
        <v>70188</v>
      </c>
      <c r="K67" s="131">
        <v>46810</v>
      </c>
      <c r="L67" s="131">
        <v>17603</v>
      </c>
      <c r="M67" s="131">
        <v>9992</v>
      </c>
      <c r="N67" s="131">
        <v>5994</v>
      </c>
      <c r="O67" s="287">
        <v>16900</v>
      </c>
      <c r="P67" s="287">
        <v>5462</v>
      </c>
      <c r="Q67" s="287">
        <v>13497</v>
      </c>
      <c r="R67" s="338">
        <v>33811</v>
      </c>
      <c r="S67" s="338">
        <v>14695</v>
      </c>
      <c r="T67" s="463">
        <f>'Mielies-Maize 2025'!F65</f>
        <v>44391</v>
      </c>
      <c r="U67" s="460">
        <f>'Mielies-Maize 2026'!F65</f>
        <v>0</v>
      </c>
      <c r="V67" s="630">
        <f t="shared" si="8"/>
        <v>22371.200000000001</v>
      </c>
      <c r="W67" s="631">
        <f t="shared" si="13"/>
        <v>7592670.7999999998</v>
      </c>
      <c r="X67" s="629">
        <f t="shared" si="9"/>
        <v>-7592670.7999999998</v>
      </c>
      <c r="Y67" s="632">
        <v>9084650</v>
      </c>
      <c r="Z67" s="629">
        <f t="shared" si="10"/>
        <v>-44391</v>
      </c>
      <c r="AA67" s="629"/>
    </row>
    <row r="68" spans="2:27" ht="14.25" customHeight="1" x14ac:dyDescent="0.3">
      <c r="B68" s="18">
        <v>51</v>
      </c>
      <c r="C68" s="260">
        <f t="shared" si="7"/>
        <v>46129</v>
      </c>
      <c r="D68" s="20">
        <v>0</v>
      </c>
      <c r="E68" s="20">
        <v>33000</v>
      </c>
      <c r="F68" s="41">
        <v>144000</v>
      </c>
      <c r="G68" s="17">
        <v>181300</v>
      </c>
      <c r="H68" s="133">
        <v>47621</v>
      </c>
      <c r="I68" s="128">
        <v>72371</v>
      </c>
      <c r="J68" s="131">
        <v>95688</v>
      </c>
      <c r="K68" s="131">
        <v>89128</v>
      </c>
      <c r="L68" s="131">
        <v>22826</v>
      </c>
      <c r="M68" s="131">
        <v>11219</v>
      </c>
      <c r="N68" s="131">
        <v>10341</v>
      </c>
      <c r="O68" s="287">
        <v>43770</v>
      </c>
      <c r="P68" s="287">
        <v>8259</v>
      </c>
      <c r="Q68" s="287">
        <v>26981</v>
      </c>
      <c r="R68" s="338">
        <v>47444</v>
      </c>
      <c r="S68" s="338">
        <v>29699</v>
      </c>
      <c r="T68" s="463">
        <f>'Mielies-Maize 2025'!F66</f>
        <v>54099</v>
      </c>
      <c r="U68" s="460">
        <f>'Mielies-Maize 2026'!F66</f>
        <v>0</v>
      </c>
      <c r="V68" s="630">
        <f t="shared" si="8"/>
        <v>33296.400000000001</v>
      </c>
      <c r="W68" s="631">
        <f t="shared" si="13"/>
        <v>7625967.2000000002</v>
      </c>
      <c r="X68" s="629">
        <f t="shared" si="9"/>
        <v>-7625967.2000000002</v>
      </c>
      <c r="Y68" s="632">
        <v>9084650</v>
      </c>
      <c r="Z68" s="629">
        <f t="shared" si="10"/>
        <v>-54099</v>
      </c>
      <c r="AA68" s="629"/>
    </row>
    <row r="69" spans="2:27" ht="14.25" customHeight="1" x14ac:dyDescent="0.3">
      <c r="B69" s="18">
        <v>52</v>
      </c>
      <c r="C69" s="260">
        <f t="shared" si="7"/>
        <v>46136</v>
      </c>
      <c r="D69" s="20">
        <v>14000</v>
      </c>
      <c r="E69" s="20">
        <v>49000</v>
      </c>
      <c r="F69" s="41">
        <v>92000</v>
      </c>
      <c r="G69" s="17">
        <v>349127</v>
      </c>
      <c r="H69" s="133">
        <v>209597</v>
      </c>
      <c r="I69" s="128">
        <v>76631</v>
      </c>
      <c r="J69" s="131">
        <v>98505</v>
      </c>
      <c r="K69" s="131">
        <v>129651</v>
      </c>
      <c r="L69" s="131">
        <v>24557</v>
      </c>
      <c r="M69" s="131">
        <v>23329</v>
      </c>
      <c r="N69" s="131">
        <v>63371</v>
      </c>
      <c r="O69" s="287">
        <v>91574</v>
      </c>
      <c r="P69" s="287">
        <v>41190</v>
      </c>
      <c r="Q69" s="287">
        <v>45674</v>
      </c>
      <c r="R69" s="338">
        <v>143326</v>
      </c>
      <c r="S69" s="338">
        <v>34240</v>
      </c>
      <c r="T69" s="463">
        <f>'Mielies-Maize 2025'!F67</f>
        <v>31838</v>
      </c>
      <c r="U69" s="460">
        <f>'Mielies-Maize 2026'!F67</f>
        <v>0</v>
      </c>
      <c r="V69" s="630">
        <f t="shared" si="8"/>
        <v>59253.599999999999</v>
      </c>
      <c r="W69" s="631">
        <f t="shared" si="13"/>
        <v>7685220.7999999998</v>
      </c>
      <c r="X69" s="629">
        <f t="shared" si="9"/>
        <v>-7685220.7999999998</v>
      </c>
      <c r="Y69" s="632">
        <v>9084650</v>
      </c>
      <c r="Z69" s="629">
        <f t="shared" si="10"/>
        <v>-31838</v>
      </c>
      <c r="AA69" s="629"/>
    </row>
    <row r="70" spans="2:27" ht="14.25" customHeight="1" x14ac:dyDescent="0.3">
      <c r="B70" s="455">
        <v>53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464"/>
      <c r="U70" s="460" t="e">
        <f>'Mielies-Maize 2026'!#REF!</f>
        <v>#REF!</v>
      </c>
      <c r="V70" s="254"/>
      <c r="W70" s="382"/>
      <c r="X70" s="380" t="e">
        <f t="shared" si="9"/>
        <v>#REF!</v>
      </c>
      <c r="Y70" s="16"/>
      <c r="Z70" s="256"/>
      <c r="AA70" s="474"/>
    </row>
    <row r="71" spans="2:27" ht="14.25" customHeight="1" x14ac:dyDescent="0.3">
      <c r="B71" s="455">
        <v>54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460">
        <f>'Mielies-Maize 2026'!F69</f>
        <v>0</v>
      </c>
      <c r="V71" s="254"/>
      <c r="W71" s="382"/>
      <c r="X71" s="380">
        <f t="shared" si="9"/>
        <v>0</v>
      </c>
      <c r="Y71" s="16"/>
      <c r="Z71" s="256"/>
      <c r="AA71" s="474"/>
    </row>
    <row r="72" spans="2:27" ht="14.25" customHeight="1" x14ac:dyDescent="0.3">
      <c r="B72" s="448" t="s">
        <v>91</v>
      </c>
      <c r="C72" s="182"/>
      <c r="D72" s="100">
        <v>7480000</v>
      </c>
      <c r="E72" s="99">
        <v>6775000</v>
      </c>
      <c r="F72" s="98">
        <v>6052000</v>
      </c>
      <c r="G72" s="70">
        <v>6903656</v>
      </c>
      <c r="H72" s="70">
        <v>5606800</v>
      </c>
      <c r="I72" s="97">
        <v>7710000</v>
      </c>
      <c r="J72" s="70">
        <v>4735000</v>
      </c>
      <c r="K72" s="70">
        <v>3408500</v>
      </c>
      <c r="L72" s="192">
        <v>9916000</v>
      </c>
      <c r="M72" s="220">
        <v>6801560</v>
      </c>
      <c r="N72" s="220">
        <v>5545000</v>
      </c>
      <c r="O72" s="272">
        <v>8666310</v>
      </c>
      <c r="P72" s="272">
        <v>8600000</v>
      </c>
      <c r="Q72" s="272">
        <v>7850000</v>
      </c>
      <c r="R72" s="272">
        <v>8499965</v>
      </c>
      <c r="S72" s="272">
        <v>6055000</v>
      </c>
      <c r="T72" s="272">
        <f>'Table-SAGIS deliver vs CEC est'!C8</f>
        <v>9084650</v>
      </c>
      <c r="U72" s="460">
        <f>'Mielies-Maize 2026'!F70</f>
        <v>0</v>
      </c>
      <c r="V72" s="282">
        <f>AVERAGE(O72:S72)</f>
        <v>7934255</v>
      </c>
      <c r="W72" s="383"/>
      <c r="X72" s="380">
        <f t="shared" si="9"/>
        <v>0</v>
      </c>
      <c r="Y72" s="16"/>
      <c r="Z72" s="256"/>
      <c r="AA72" s="474"/>
    </row>
    <row r="73" spans="2:27" ht="14.25" customHeight="1" x14ac:dyDescent="0.3">
      <c r="B73" s="449" t="s">
        <v>93</v>
      </c>
      <c r="C73" s="134"/>
      <c r="D73" s="76">
        <v>119893</v>
      </c>
      <c r="E73" s="78">
        <v>114890</v>
      </c>
      <c r="F73" s="78">
        <v>100312</v>
      </c>
      <c r="G73" s="78">
        <v>114097</v>
      </c>
      <c r="H73" s="78">
        <v>110942</v>
      </c>
      <c r="I73" s="78">
        <v>137247</v>
      </c>
      <c r="J73" s="78">
        <v>94200</v>
      </c>
      <c r="K73" s="78">
        <v>41052</v>
      </c>
      <c r="L73" s="188">
        <f>212100+16900</f>
        <v>229000</v>
      </c>
      <c r="M73" s="221">
        <v>200000</v>
      </c>
      <c r="N73" s="221">
        <v>160000</v>
      </c>
      <c r="O73" s="273">
        <v>255000</v>
      </c>
      <c r="P73" s="273">
        <v>202000</v>
      </c>
      <c r="Q73" s="273">
        <v>177000</v>
      </c>
      <c r="R73" s="273">
        <v>215000</v>
      </c>
      <c r="S73" s="273">
        <v>170000</v>
      </c>
      <c r="T73" s="273">
        <v>185000</v>
      </c>
      <c r="U73" s="460">
        <f>'Mielies-Maize 2026'!F71</f>
        <v>0</v>
      </c>
      <c r="V73" s="282">
        <f>AVERAGE(O73:S73)</f>
        <v>203800</v>
      </c>
      <c r="W73" s="383"/>
      <c r="X73" s="380">
        <f t="shared" si="9"/>
        <v>0</v>
      </c>
      <c r="Y73" s="16"/>
      <c r="Z73" s="256"/>
      <c r="AA73" s="474"/>
    </row>
    <row r="74" spans="2:27" ht="14.25" customHeight="1" thickBot="1" x14ac:dyDescent="0.35">
      <c r="B74" s="450" t="s">
        <v>94</v>
      </c>
      <c r="C74" s="137"/>
      <c r="D74" s="79">
        <f t="shared" ref="D74:I74" si="14">D72-D73</f>
        <v>7360107</v>
      </c>
      <c r="E74" s="79">
        <f t="shared" si="14"/>
        <v>6660110</v>
      </c>
      <c r="F74" s="79">
        <f t="shared" si="14"/>
        <v>5951688</v>
      </c>
      <c r="G74" s="79">
        <f t="shared" si="14"/>
        <v>6789559</v>
      </c>
      <c r="H74" s="79">
        <f t="shared" si="14"/>
        <v>5495858</v>
      </c>
      <c r="I74" s="79">
        <f t="shared" si="14"/>
        <v>7572753</v>
      </c>
      <c r="J74" s="79">
        <v>4624890</v>
      </c>
      <c r="K74" s="79">
        <v>3367448</v>
      </c>
      <c r="L74" s="79">
        <f>L72-L73</f>
        <v>9687000</v>
      </c>
      <c r="M74" s="222">
        <f>M72-M73</f>
        <v>6601560</v>
      </c>
      <c r="N74" s="222">
        <f>N72-N73</f>
        <v>5385000</v>
      </c>
      <c r="O74" s="222">
        <f t="shared" ref="O74:Q74" si="15">O72-O73</f>
        <v>8411310</v>
      </c>
      <c r="P74" s="222">
        <f t="shared" si="15"/>
        <v>8398000</v>
      </c>
      <c r="Q74" s="222">
        <f t="shared" si="15"/>
        <v>7673000</v>
      </c>
      <c r="R74" s="222">
        <f>R72-R73</f>
        <v>8284965</v>
      </c>
      <c r="S74" s="222">
        <f>S72-S73</f>
        <v>5885000</v>
      </c>
      <c r="T74" s="222">
        <f>T72-T73</f>
        <v>8899650</v>
      </c>
      <c r="U74" s="460">
        <f>'Mielies-Maize 2026'!F72</f>
        <v>0</v>
      </c>
      <c r="V74" s="282">
        <f>AVERAGE(O74:S74)</f>
        <v>7730455</v>
      </c>
      <c r="W74" s="383"/>
      <c r="X74" s="380">
        <f t="shared" si="9"/>
        <v>0</v>
      </c>
      <c r="Y74" s="16"/>
      <c r="Z74" s="497"/>
      <c r="AA74" s="477"/>
    </row>
    <row r="75" spans="2:27" ht="12" x14ac:dyDescent="0.25">
      <c r="B75" s="447"/>
      <c r="D75" s="77"/>
      <c r="E75" s="72"/>
      <c r="F75" s="72"/>
      <c r="G75" s="73"/>
      <c r="H75" s="74"/>
      <c r="I75" s="73"/>
      <c r="J75" s="147"/>
      <c r="K75" s="147"/>
      <c r="L75" s="164"/>
      <c r="M75" s="223"/>
      <c r="N75" s="223"/>
      <c r="O75" s="275"/>
      <c r="P75" s="275"/>
      <c r="Q75" s="275"/>
      <c r="R75" s="275"/>
      <c r="S75" s="275"/>
      <c r="T75" s="275"/>
      <c r="U75" s="275"/>
      <c r="V75" s="284"/>
      <c r="W75" s="384"/>
      <c r="X75" s="378"/>
      <c r="Y75" s="16"/>
    </row>
    <row r="76" spans="2:27" ht="18" thickBot="1" x14ac:dyDescent="0.4">
      <c r="B76" s="451" t="s">
        <v>95</v>
      </c>
      <c r="C76" s="116"/>
      <c r="D76" s="117" t="s">
        <v>59</v>
      </c>
      <c r="E76" s="217" t="s">
        <v>60</v>
      </c>
      <c r="F76" s="209" t="s">
        <v>62</v>
      </c>
      <c r="G76" s="209" t="s">
        <v>63</v>
      </c>
      <c r="H76" s="209" t="s">
        <v>64</v>
      </c>
      <c r="I76" s="209" t="s">
        <v>65</v>
      </c>
      <c r="J76" s="209" t="s">
        <v>66</v>
      </c>
      <c r="K76" s="209" t="s">
        <v>67</v>
      </c>
      <c r="L76" s="210" t="s">
        <v>68</v>
      </c>
      <c r="M76" s="224" t="str">
        <f>M3</f>
        <v>2018/19</v>
      </c>
      <c r="N76" s="258" t="s">
        <v>70</v>
      </c>
      <c r="O76" s="276" t="str">
        <f t="shared" ref="O76:T76" si="16">O3</f>
        <v>2020/21</v>
      </c>
      <c r="P76" s="276" t="str">
        <f t="shared" si="16"/>
        <v>2021/22</v>
      </c>
      <c r="Q76" s="276" t="str">
        <f t="shared" si="16"/>
        <v>2022/23</v>
      </c>
      <c r="R76" s="276" t="str">
        <f t="shared" si="16"/>
        <v>2023/24</v>
      </c>
      <c r="S76" s="276" t="str">
        <f t="shared" si="16"/>
        <v>2024/25</v>
      </c>
      <c r="T76" s="276" t="str">
        <f t="shared" si="16"/>
        <v>2025/26</v>
      </c>
      <c r="U76" s="461"/>
      <c r="V76" s="253" t="s">
        <v>76</v>
      </c>
      <c r="W76" s="145"/>
      <c r="X76" s="378"/>
      <c r="Y76" s="16"/>
    </row>
    <row r="77" spans="2:27" x14ac:dyDescent="0.2">
      <c r="B77" s="447" t="s">
        <v>96</v>
      </c>
      <c r="C77" s="38"/>
      <c r="D77" s="22">
        <f t="shared" ref="D77:I77" si="17">D15</f>
        <v>328341</v>
      </c>
      <c r="E77" s="218">
        <f t="shared" si="17"/>
        <v>115703</v>
      </c>
      <c r="F77" s="202">
        <f t="shared" si="17"/>
        <v>406000</v>
      </c>
      <c r="G77" s="202">
        <f t="shared" si="17"/>
        <v>510398</v>
      </c>
      <c r="H77" s="202">
        <f t="shared" si="17"/>
        <v>269777</v>
      </c>
      <c r="I77" s="202">
        <f t="shared" si="17"/>
        <v>305123</v>
      </c>
      <c r="J77" s="211">
        <f t="shared" ref="J77" si="18">J17</f>
        <v>174836</v>
      </c>
      <c r="K77" s="211">
        <f>K17</f>
        <v>288056</v>
      </c>
      <c r="L77" s="211">
        <f>L17</f>
        <v>610419</v>
      </c>
      <c r="M77" s="225">
        <f t="shared" ref="M77:O77" si="19">M17</f>
        <v>117369</v>
      </c>
      <c r="N77" s="225">
        <f>N17</f>
        <v>85898</v>
      </c>
      <c r="O77" s="277">
        <f t="shared" si="19"/>
        <v>131241</v>
      </c>
      <c r="P77" s="277">
        <f t="shared" ref="P77:V77" si="20">P17</f>
        <v>437036</v>
      </c>
      <c r="Q77" s="277">
        <f t="shared" si="20"/>
        <v>141188</v>
      </c>
      <c r="R77" s="277">
        <f t="shared" si="20"/>
        <v>194205</v>
      </c>
      <c r="S77" s="277">
        <f t="shared" si="20"/>
        <v>398292</v>
      </c>
      <c r="T77" s="277">
        <f>T17</f>
        <v>252386</v>
      </c>
      <c r="U77" s="277"/>
      <c r="V77" s="211">
        <f t="shared" si="20"/>
        <v>260392.4</v>
      </c>
      <c r="W77" s="385"/>
      <c r="X77" s="378"/>
      <c r="Y77" s="16"/>
    </row>
    <row r="78" spans="2:27" ht="12" thickBot="1" x14ac:dyDescent="0.25">
      <c r="B78" s="447" t="s">
        <v>97</v>
      </c>
      <c r="C78" s="40"/>
      <c r="D78" s="278">
        <f t="shared" ref="D78:E78" si="21">SUM(D18:D24)</f>
        <v>1960000</v>
      </c>
      <c r="E78" s="278">
        <f t="shared" si="21"/>
        <v>1417000</v>
      </c>
      <c r="F78" s="278">
        <f t="shared" ref="F78:J78" si="22">SUM(F18:F61)</f>
        <v>9731000</v>
      </c>
      <c r="G78" s="278">
        <f t="shared" si="22"/>
        <v>11016607</v>
      </c>
      <c r="H78" s="278">
        <f t="shared" si="22"/>
        <v>10495155</v>
      </c>
      <c r="I78" s="278">
        <f t="shared" si="22"/>
        <v>13275986</v>
      </c>
      <c r="J78" s="278">
        <f t="shared" si="22"/>
        <v>9057930</v>
      </c>
      <c r="K78" s="278">
        <f t="shared" ref="K78:R78" si="23">SUM(K18:K61)</f>
        <v>6675981</v>
      </c>
      <c r="L78" s="278">
        <f t="shared" si="23"/>
        <v>15385208</v>
      </c>
      <c r="M78" s="278">
        <f t="shared" si="23"/>
        <v>6224103</v>
      </c>
      <c r="N78" s="278">
        <f t="shared" si="23"/>
        <v>5311233</v>
      </c>
      <c r="O78" s="278">
        <f t="shared" si="23"/>
        <v>8169298</v>
      </c>
      <c r="P78" s="278">
        <f t="shared" si="23"/>
        <v>7999725</v>
      </c>
      <c r="Q78" s="278">
        <f t="shared" si="23"/>
        <v>7541586</v>
      </c>
      <c r="R78" s="278">
        <f t="shared" si="23"/>
        <v>8079331</v>
      </c>
      <c r="S78" s="278">
        <f>SUM(S18:S61)</f>
        <v>5439775</v>
      </c>
      <c r="T78" s="278">
        <f>SUM(T18:T69)</f>
        <v>8415537</v>
      </c>
      <c r="U78" s="278"/>
      <c r="V78" s="278">
        <f>SUM(V18:V32)</f>
        <v>6225563.4000000004</v>
      </c>
      <c r="W78" s="278"/>
      <c r="X78" s="378"/>
      <c r="Y78" s="16"/>
    </row>
    <row r="79" spans="2:27" ht="15" thickBot="1" x14ac:dyDescent="0.35">
      <c r="B79" s="452" t="s">
        <v>98</v>
      </c>
      <c r="C79" s="118"/>
      <c r="D79" s="153">
        <f t="shared" ref="D79:K79" si="24">SUM(D77:D78)</f>
        <v>2288341</v>
      </c>
      <c r="E79" s="219">
        <f t="shared" si="24"/>
        <v>1532703</v>
      </c>
      <c r="F79" s="203">
        <f t="shared" si="24"/>
        <v>10137000</v>
      </c>
      <c r="G79" s="203">
        <f t="shared" si="24"/>
        <v>11527005</v>
      </c>
      <c r="H79" s="203">
        <f t="shared" si="24"/>
        <v>10764932</v>
      </c>
      <c r="I79" s="203">
        <f t="shared" si="24"/>
        <v>13581109</v>
      </c>
      <c r="J79" s="203">
        <f t="shared" si="24"/>
        <v>9232766</v>
      </c>
      <c r="K79" s="203">
        <f t="shared" si="24"/>
        <v>6964037</v>
      </c>
      <c r="L79" s="203">
        <f t="shared" ref="L79:V79" si="25">SUM(L77:L78)</f>
        <v>15995627</v>
      </c>
      <c r="M79" s="178">
        <f t="shared" si="25"/>
        <v>6341472</v>
      </c>
      <c r="N79" s="178">
        <f>SUM(N77:N78)</f>
        <v>5397131</v>
      </c>
      <c r="O79" s="219">
        <f t="shared" si="25"/>
        <v>8300539</v>
      </c>
      <c r="P79" s="219">
        <f>SUM(P77:P78)</f>
        <v>8436761</v>
      </c>
      <c r="Q79" s="219">
        <f>SUM(Q77:Q78)</f>
        <v>7682774</v>
      </c>
      <c r="R79" s="219">
        <f>SUM(R77:R78)</f>
        <v>8273536</v>
      </c>
      <c r="S79" s="219">
        <f>SUM(S77:S78)</f>
        <v>5838067</v>
      </c>
      <c r="T79" s="219">
        <f>SUM(T77:T78)</f>
        <v>8667923</v>
      </c>
      <c r="U79" s="219"/>
      <c r="V79" s="203">
        <f t="shared" si="25"/>
        <v>6485955.8000000007</v>
      </c>
      <c r="W79" s="386"/>
      <c r="X79" s="378"/>
      <c r="Y79" s="16"/>
    </row>
    <row r="80" spans="2:27" ht="15" thickTop="1" x14ac:dyDescent="0.3">
      <c r="B80" s="453" t="s">
        <v>115</v>
      </c>
      <c r="C80" s="228"/>
      <c r="D80" s="229">
        <f t="shared" ref="D80:K80" si="26">SUM(D17:D61)</f>
        <v>7375341</v>
      </c>
      <c r="E80" s="229">
        <f t="shared" si="26"/>
        <v>6709703</v>
      </c>
      <c r="F80" s="229">
        <f t="shared" si="26"/>
        <v>10137000</v>
      </c>
      <c r="G80" s="229">
        <f t="shared" si="26"/>
        <v>11527005</v>
      </c>
      <c r="H80" s="229">
        <f t="shared" si="26"/>
        <v>10764932</v>
      </c>
      <c r="I80" s="229">
        <f t="shared" si="26"/>
        <v>13581109</v>
      </c>
      <c r="J80" s="229">
        <f t="shared" si="26"/>
        <v>9232766</v>
      </c>
      <c r="K80" s="229">
        <f t="shared" si="26"/>
        <v>6964037</v>
      </c>
      <c r="L80" s="229">
        <f>SUM(L17:L61)</f>
        <v>15995627</v>
      </c>
      <c r="M80" s="229"/>
      <c r="N80" s="229"/>
      <c r="O80" s="279"/>
      <c r="P80" s="279"/>
      <c r="Q80" s="279"/>
      <c r="R80" s="279"/>
      <c r="S80" s="279"/>
      <c r="T80" s="279"/>
      <c r="U80" s="279"/>
      <c r="V80" s="229"/>
      <c r="W80" s="279"/>
      <c r="X80" s="378"/>
      <c r="Y80" s="16"/>
    </row>
    <row r="81" spans="2:25" ht="15" thickBot="1" x14ac:dyDescent="0.35">
      <c r="B81" s="448" t="s">
        <v>99</v>
      </c>
      <c r="C81" s="138"/>
      <c r="D81" s="212">
        <f>D79/D80</f>
        <v>0.31026917941828047</v>
      </c>
      <c r="E81" s="212">
        <f>E79/E80</f>
        <v>0.22843082622285965</v>
      </c>
      <c r="F81" s="250">
        <f>F79/F74</f>
        <v>1.7032142813937827</v>
      </c>
      <c r="G81" s="250">
        <f t="shared" ref="G81:M81" si="27">G79/G74</f>
        <v>1.6977545964325518</v>
      </c>
      <c r="H81" s="250">
        <f t="shared" si="27"/>
        <v>1.9587354695117669</v>
      </c>
      <c r="I81" s="250">
        <f t="shared" si="27"/>
        <v>1.7934176646194588</v>
      </c>
      <c r="J81" s="268">
        <f>J79/J74</f>
        <v>1.9963212098017467</v>
      </c>
      <c r="K81" s="268">
        <f t="shared" si="27"/>
        <v>2.0680458911318005</v>
      </c>
      <c r="L81" s="268">
        <f>L79/L74</f>
        <v>1.6512467224114793</v>
      </c>
      <c r="M81" s="268">
        <f t="shared" si="27"/>
        <v>0.9606020395179321</v>
      </c>
      <c r="N81" s="268">
        <f t="shared" ref="N81:P81" si="28">N79/N74</f>
        <v>1.0022527390900651</v>
      </c>
      <c r="O81" s="280">
        <f t="shared" si="28"/>
        <v>0.98683070770189185</v>
      </c>
      <c r="P81" s="291">
        <f t="shared" si="28"/>
        <v>1.0046155036913551</v>
      </c>
      <c r="Q81" s="291">
        <f>Q79/Q74</f>
        <v>1.0012738172813762</v>
      </c>
      <c r="R81" s="291">
        <f>R79/R74</f>
        <v>0.99862051318261458</v>
      </c>
      <c r="S81" s="291">
        <f>S79/S74</f>
        <v>0.9920249787595582</v>
      </c>
      <c r="T81" s="291">
        <f>T79/T74</f>
        <v>0.97396223446989494</v>
      </c>
      <c r="U81" s="462"/>
      <c r="V81" s="306">
        <f>V79/V74</f>
        <v>0.83901346039786806</v>
      </c>
      <c r="W81" s="387"/>
      <c r="X81" s="378"/>
      <c r="Y81" s="16"/>
    </row>
    <row r="82" spans="2:25" ht="15" customHeight="1" x14ac:dyDescent="0.3">
      <c r="B82" s="454" t="s">
        <v>100</v>
      </c>
      <c r="C82" s="168"/>
      <c r="D82" s="168"/>
      <c r="E82" s="168"/>
      <c r="F82" s="168"/>
      <c r="G82" s="168"/>
      <c r="H82" s="168"/>
      <c r="I82" s="168"/>
      <c r="J82" s="89"/>
      <c r="K82" s="89"/>
      <c r="L82" s="89"/>
      <c r="M82" s="239"/>
      <c r="N82" s="239"/>
      <c r="O82" s="189"/>
      <c r="P82" s="189"/>
      <c r="Q82" s="189"/>
      <c r="R82" s="189"/>
      <c r="S82" s="189"/>
      <c r="T82" s="189"/>
      <c r="U82" s="189"/>
      <c r="V82" s="285"/>
      <c r="W82" s="388"/>
      <c r="X82" s="378"/>
      <c r="Y82" s="16"/>
    </row>
    <row r="83" spans="2:25" ht="15" customHeight="1" x14ac:dyDescent="0.3">
      <c r="B83" s="437" t="s">
        <v>101</v>
      </c>
      <c r="C83" s="185"/>
      <c r="D83" s="185"/>
      <c r="E83" s="185"/>
      <c r="F83" s="185"/>
      <c r="G83" s="185"/>
      <c r="H83" s="185"/>
      <c r="I83" s="185"/>
      <c r="O83" s="16"/>
      <c r="P83" s="16"/>
      <c r="Q83" s="16"/>
      <c r="R83" s="16"/>
      <c r="S83" s="16"/>
      <c r="T83" s="16"/>
      <c r="U83" s="16"/>
      <c r="V83" s="16"/>
      <c r="X83" s="378"/>
      <c r="Y83" s="16"/>
    </row>
    <row r="84" spans="2:25" ht="15.75" customHeight="1" thickBot="1" x14ac:dyDescent="0.35">
      <c r="B84" s="438" t="s">
        <v>102</v>
      </c>
      <c r="C84" s="186"/>
      <c r="D84" s="186"/>
      <c r="E84" s="186"/>
      <c r="F84" s="186"/>
      <c r="G84" s="186"/>
      <c r="H84" s="186"/>
      <c r="I84" s="186"/>
      <c r="J84" s="90"/>
      <c r="K84" s="90"/>
      <c r="L84" s="90"/>
      <c r="M84" s="90"/>
      <c r="N84" s="90"/>
      <c r="O84" s="85"/>
      <c r="P84" s="85"/>
      <c r="Q84" s="85"/>
      <c r="R84" s="85"/>
      <c r="S84" s="85"/>
      <c r="T84" s="85"/>
      <c r="U84" s="85"/>
      <c r="V84" s="85"/>
      <c r="W84" s="90"/>
      <c r="X84" s="478"/>
      <c r="Y84" s="85"/>
    </row>
  </sheetData>
  <mergeCells count="1">
    <mergeCell ref="B2:V2"/>
  </mergeCells>
  <phoneticPr fontId="21" type="noConversion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B92"/>
  <sheetViews>
    <sheetView showGridLines="0" showWhiteSpace="0" zoomScaleNormal="100" workbookViewId="0">
      <pane xSplit="3" ySplit="3" topLeftCell="N14" activePane="bottomRight" state="frozen"/>
      <selection pane="topRight" activeCell="D1" sqref="D1"/>
      <selection pane="bottomLeft" activeCell="A4" sqref="A4"/>
      <selection pane="bottomRight" activeCell="Z3" sqref="Z3"/>
    </sheetView>
  </sheetViews>
  <sheetFormatPr defaultColWidth="9.109375" defaultRowHeight="11.4" x14ac:dyDescent="0.2"/>
  <cols>
    <col min="1" max="1" width="8.88671875" style="2" customWidth="1"/>
    <col min="2" max="2" width="27.33203125" style="2" customWidth="1"/>
    <col min="3" max="3" width="16" style="4" bestFit="1" customWidth="1"/>
    <col min="4" max="6" width="14.44140625" style="4" hidden="1" customWidth="1"/>
    <col min="7" max="18" width="9.6640625" style="2" bestFit="1" customWidth="1"/>
    <col min="19" max="19" width="11.44140625" style="2" customWidth="1"/>
    <col min="20" max="20" width="10.6640625" style="2" bestFit="1" customWidth="1"/>
    <col min="21" max="22" width="13.77734375" style="2" customWidth="1"/>
    <col min="23" max="23" width="10.6640625" style="375" bestFit="1" customWidth="1"/>
    <col min="24" max="24" width="10.6640625" style="375" customWidth="1"/>
    <col min="25" max="26" width="11" style="2" bestFit="1" customWidth="1"/>
    <col min="27" max="27" width="13.88671875" style="2" bestFit="1" customWidth="1"/>
    <col min="28" max="28" width="12.109375" style="2" bestFit="1" customWidth="1"/>
    <col min="29" max="16384" width="9.109375" style="2"/>
  </cols>
  <sheetData>
    <row r="1" spans="2:24" ht="12" thickBot="1" x14ac:dyDescent="0.25"/>
    <row r="2" spans="2:24" ht="22.8" x14ac:dyDescent="0.4">
      <c r="B2" s="531" t="s">
        <v>58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3"/>
      <c r="X2" s="498"/>
    </row>
    <row r="3" spans="2:24" s="1" customFormat="1" ht="17.399999999999999" x14ac:dyDescent="0.35">
      <c r="B3" s="121" t="s">
        <v>30</v>
      </c>
      <c r="C3" s="122" t="s">
        <v>31</v>
      </c>
      <c r="D3" s="173" t="s">
        <v>59</v>
      </c>
      <c r="E3" s="173" t="s">
        <v>60</v>
      </c>
      <c r="F3" s="173" t="s">
        <v>61</v>
      </c>
      <c r="G3" s="173" t="s">
        <v>62</v>
      </c>
      <c r="H3" s="173" t="s">
        <v>63</v>
      </c>
      <c r="I3" s="173" t="s">
        <v>64</v>
      </c>
      <c r="J3" s="173" t="s">
        <v>65</v>
      </c>
      <c r="K3" s="173" t="s">
        <v>66</v>
      </c>
      <c r="L3" s="176" t="s">
        <v>67</v>
      </c>
      <c r="M3" s="130" t="s">
        <v>68</v>
      </c>
      <c r="N3" s="183" t="s">
        <v>69</v>
      </c>
      <c r="O3" s="259" t="s">
        <v>70</v>
      </c>
      <c r="P3" s="130" t="s">
        <v>71</v>
      </c>
      <c r="Q3" s="130" t="s">
        <v>72</v>
      </c>
      <c r="R3" s="130" t="s">
        <v>73</v>
      </c>
      <c r="S3" s="191" t="s">
        <v>74</v>
      </c>
      <c r="T3" s="191" t="s">
        <v>75</v>
      </c>
      <c r="U3" s="191" t="s">
        <v>131</v>
      </c>
      <c r="V3" s="259" t="s">
        <v>148</v>
      </c>
      <c r="W3" s="255" t="s">
        <v>76</v>
      </c>
      <c r="X3" s="259"/>
    </row>
    <row r="4" spans="2:24" ht="14.4" hidden="1" x14ac:dyDescent="0.3">
      <c r="B4" s="24">
        <v>45</v>
      </c>
      <c r="C4" s="113" t="s">
        <v>78</v>
      </c>
      <c r="D4" s="20">
        <v>12000</v>
      </c>
      <c r="E4" s="20">
        <v>8000</v>
      </c>
      <c r="F4" s="20">
        <v>34000</v>
      </c>
      <c r="G4" s="20">
        <v>19000</v>
      </c>
      <c r="H4" s="37">
        <v>36840</v>
      </c>
      <c r="I4" s="129">
        <v>9892</v>
      </c>
      <c r="J4" s="131">
        <v>20915</v>
      </c>
      <c r="K4" s="131">
        <v>12600</v>
      </c>
      <c r="L4" s="131">
        <v>10424</v>
      </c>
      <c r="M4" s="131">
        <v>7988</v>
      </c>
      <c r="N4" s="248">
        <v>0</v>
      </c>
      <c r="O4" s="248"/>
      <c r="P4" s="286">
        <v>7876</v>
      </c>
      <c r="Q4" s="286">
        <v>18346</v>
      </c>
      <c r="R4" s="286">
        <v>21904</v>
      </c>
      <c r="S4" s="335"/>
      <c r="T4" s="334"/>
      <c r="U4" s="334"/>
      <c r="V4" s="334"/>
      <c r="W4" s="376">
        <f t="shared" ref="W4:W11" si="0">AVERAGE(N4:R4)</f>
        <v>12031.5</v>
      </c>
      <c r="X4" s="499"/>
    </row>
    <row r="5" spans="2:24" s="1" customFormat="1" ht="14.4" hidden="1" x14ac:dyDescent="0.3">
      <c r="B5" s="24">
        <v>46</v>
      </c>
      <c r="C5" s="113" t="s">
        <v>79</v>
      </c>
      <c r="D5" s="20">
        <v>29000</v>
      </c>
      <c r="E5" s="20">
        <v>14000</v>
      </c>
      <c r="F5" s="20">
        <v>9000</v>
      </c>
      <c r="G5" s="20">
        <v>33000</v>
      </c>
      <c r="H5" s="37">
        <v>35391</v>
      </c>
      <c r="I5" s="129">
        <v>11779</v>
      </c>
      <c r="J5" s="131">
        <v>29975</v>
      </c>
      <c r="K5" s="131">
        <v>21498</v>
      </c>
      <c r="L5" s="131">
        <v>17466</v>
      </c>
      <c r="M5" s="131">
        <v>9412</v>
      </c>
      <c r="N5" s="248">
        <v>0</v>
      </c>
      <c r="O5" s="248"/>
      <c r="P5" s="286">
        <v>16682</v>
      </c>
      <c r="Q5" s="286">
        <v>14757</v>
      </c>
      <c r="R5" s="286">
        <v>32455</v>
      </c>
      <c r="S5" s="335"/>
      <c r="T5" s="334"/>
      <c r="U5" s="334"/>
      <c r="V5" s="334"/>
      <c r="W5" s="376">
        <f t="shared" si="0"/>
        <v>15973.5</v>
      </c>
      <c r="X5" s="499"/>
    </row>
    <row r="6" spans="2:24" s="1" customFormat="1" ht="14.4" hidden="1" x14ac:dyDescent="0.3">
      <c r="B6" s="24">
        <v>47</v>
      </c>
      <c r="C6" s="113" t="s">
        <v>80</v>
      </c>
      <c r="D6" s="20">
        <v>22000</v>
      </c>
      <c r="E6" s="20">
        <v>10000</v>
      </c>
      <c r="F6" s="20">
        <v>8000</v>
      </c>
      <c r="G6" s="20">
        <v>24000</v>
      </c>
      <c r="H6" s="37">
        <v>56654</v>
      </c>
      <c r="I6" s="129">
        <v>23253</v>
      </c>
      <c r="J6" s="131">
        <v>28053</v>
      </c>
      <c r="K6" s="131">
        <v>18258</v>
      </c>
      <c r="L6" s="131">
        <v>15982</v>
      </c>
      <c r="M6" s="131">
        <v>4102</v>
      </c>
      <c r="N6" s="248">
        <v>0</v>
      </c>
      <c r="O6" s="248"/>
      <c r="P6" s="286">
        <v>18448</v>
      </c>
      <c r="Q6" s="286">
        <v>74380</v>
      </c>
      <c r="R6" s="286">
        <v>35509</v>
      </c>
      <c r="S6" s="335"/>
      <c r="T6" s="334"/>
      <c r="U6" s="334"/>
      <c r="V6" s="334"/>
      <c r="W6" s="376">
        <f t="shared" si="0"/>
        <v>32084.25</v>
      </c>
      <c r="X6" s="499"/>
    </row>
    <row r="7" spans="2:24" s="1" customFormat="1" ht="14.4" hidden="1" x14ac:dyDescent="0.3">
      <c r="B7" s="24">
        <v>48</v>
      </c>
      <c r="C7" s="113" t="s">
        <v>81</v>
      </c>
      <c r="D7" s="20">
        <v>21000</v>
      </c>
      <c r="E7" s="20">
        <v>6000</v>
      </c>
      <c r="F7" s="20">
        <v>11000</v>
      </c>
      <c r="G7" s="20">
        <v>32000</v>
      </c>
      <c r="H7" s="37">
        <v>30445</v>
      </c>
      <c r="I7" s="129">
        <v>50319</v>
      </c>
      <c r="J7" s="131">
        <v>49480</v>
      </c>
      <c r="K7" s="131">
        <v>68852</v>
      </c>
      <c r="L7" s="131">
        <v>54677</v>
      </c>
      <c r="M7" s="131">
        <v>30391</v>
      </c>
      <c r="N7" s="248">
        <v>0</v>
      </c>
      <c r="O7" s="248"/>
      <c r="P7" s="286">
        <v>63932</v>
      </c>
      <c r="Q7" s="286">
        <v>4224</v>
      </c>
      <c r="R7" s="286">
        <v>51940</v>
      </c>
      <c r="S7" s="335"/>
      <c r="T7" s="334"/>
      <c r="U7" s="334"/>
      <c r="V7" s="334"/>
      <c r="W7" s="376">
        <f t="shared" si="0"/>
        <v>30024</v>
      </c>
      <c r="X7" s="499"/>
    </row>
    <row r="8" spans="2:24" s="1" customFormat="1" ht="14.4" hidden="1" x14ac:dyDescent="0.3">
      <c r="B8" s="24">
        <v>49</v>
      </c>
      <c r="C8" s="113" t="s">
        <v>82</v>
      </c>
      <c r="D8" s="20">
        <v>-4000</v>
      </c>
      <c r="E8" s="20">
        <v>35000</v>
      </c>
      <c r="F8" s="20">
        <v>7000</v>
      </c>
      <c r="G8" s="20">
        <v>21000</v>
      </c>
      <c r="H8" s="37">
        <v>26404</v>
      </c>
      <c r="I8" s="129">
        <v>24511</v>
      </c>
      <c r="J8" s="131">
        <v>19256</v>
      </c>
      <c r="K8" s="131">
        <v>13097</v>
      </c>
      <c r="L8" s="131">
        <v>39179</v>
      </c>
      <c r="M8" s="131">
        <v>4779</v>
      </c>
      <c r="N8" s="248">
        <v>0</v>
      </c>
      <c r="O8" s="248"/>
      <c r="P8" s="286">
        <v>3552</v>
      </c>
      <c r="Q8" s="286">
        <v>30131</v>
      </c>
      <c r="R8" s="286">
        <v>38828</v>
      </c>
      <c r="S8" s="335"/>
      <c r="T8" s="334"/>
      <c r="U8" s="334"/>
      <c r="V8" s="334"/>
      <c r="W8" s="376">
        <f t="shared" si="0"/>
        <v>18127.75</v>
      </c>
      <c r="X8" s="499"/>
    </row>
    <row r="9" spans="2:24" s="1" customFormat="1" ht="14.4" hidden="1" x14ac:dyDescent="0.3">
      <c r="B9" s="24">
        <v>50</v>
      </c>
      <c r="C9" s="113" t="s">
        <v>83</v>
      </c>
      <c r="D9" s="20">
        <v>33000</v>
      </c>
      <c r="E9" s="20">
        <v>18000</v>
      </c>
      <c r="F9" s="20">
        <v>22500</v>
      </c>
      <c r="G9" s="20">
        <v>53000</v>
      </c>
      <c r="H9" s="37">
        <v>57311</v>
      </c>
      <c r="I9" s="129">
        <v>36503</v>
      </c>
      <c r="J9" s="131">
        <v>25982</v>
      </c>
      <c r="K9" s="131">
        <v>47363</v>
      </c>
      <c r="L9" s="131">
        <v>24428</v>
      </c>
      <c r="M9" s="131">
        <v>10763</v>
      </c>
      <c r="N9" s="248">
        <v>0</v>
      </c>
      <c r="O9" s="248">
        <v>0</v>
      </c>
      <c r="P9" s="286">
        <v>27872</v>
      </c>
      <c r="Q9" s="286">
        <v>13966</v>
      </c>
      <c r="R9" s="286">
        <v>52148</v>
      </c>
      <c r="S9" s="335"/>
      <c r="T9" s="334"/>
      <c r="U9" s="334"/>
      <c r="V9" s="334"/>
      <c r="W9" s="376">
        <f t="shared" si="0"/>
        <v>18797.2</v>
      </c>
      <c r="X9" s="499"/>
    </row>
    <row r="10" spans="2:24" ht="14.4" hidden="1" x14ac:dyDescent="0.3">
      <c r="B10" s="24">
        <v>51</v>
      </c>
      <c r="C10" s="113" t="s">
        <v>84</v>
      </c>
      <c r="D10" s="20">
        <v>44000</v>
      </c>
      <c r="E10" s="20">
        <v>22000</v>
      </c>
      <c r="F10" s="20">
        <v>18000</v>
      </c>
      <c r="G10" s="20">
        <v>83000</v>
      </c>
      <c r="H10" s="37">
        <v>121210</v>
      </c>
      <c r="I10" s="129">
        <v>32842</v>
      </c>
      <c r="J10" s="131">
        <v>51132</v>
      </c>
      <c r="K10" s="131">
        <v>65527</v>
      </c>
      <c r="L10" s="131">
        <v>36667</v>
      </c>
      <c r="M10" s="131">
        <v>14403</v>
      </c>
      <c r="N10" s="248">
        <v>0</v>
      </c>
      <c r="O10" s="248">
        <v>0</v>
      </c>
      <c r="P10" s="286">
        <v>50254</v>
      </c>
      <c r="Q10" s="286">
        <v>16527</v>
      </c>
      <c r="R10" s="286">
        <v>88355</v>
      </c>
      <c r="S10" s="335"/>
      <c r="T10" s="334"/>
      <c r="U10" s="334"/>
      <c r="V10" s="334"/>
      <c r="W10" s="376">
        <f t="shared" si="0"/>
        <v>31027.200000000001</v>
      </c>
      <c r="X10" s="499"/>
    </row>
    <row r="11" spans="2:24" ht="14.4" hidden="1" x14ac:dyDescent="0.3">
      <c r="B11" s="24">
        <v>52</v>
      </c>
      <c r="C11" s="113" t="s">
        <v>85</v>
      </c>
      <c r="D11" s="20"/>
      <c r="E11" s="20">
        <v>16000</v>
      </c>
      <c r="F11" s="20">
        <v>6500</v>
      </c>
      <c r="G11" s="20">
        <v>60000</v>
      </c>
      <c r="H11" s="37">
        <v>74145</v>
      </c>
      <c r="I11" s="131">
        <v>131750</v>
      </c>
      <c r="J11" s="131">
        <v>57159</v>
      </c>
      <c r="K11" s="131">
        <v>66227</v>
      </c>
      <c r="L11" s="131">
        <v>61905</v>
      </c>
      <c r="M11" s="131">
        <v>12156</v>
      </c>
      <c r="N11" s="248">
        <v>0</v>
      </c>
      <c r="O11" s="248">
        <v>0</v>
      </c>
      <c r="P11" s="286">
        <v>96502</v>
      </c>
      <c r="Q11" s="286">
        <v>31423</v>
      </c>
      <c r="R11" s="286">
        <v>103266</v>
      </c>
      <c r="S11" s="335"/>
      <c r="T11" s="334"/>
      <c r="U11" s="334"/>
      <c r="V11" s="334"/>
      <c r="W11" s="376">
        <f t="shared" si="0"/>
        <v>46238.2</v>
      </c>
      <c r="X11" s="499"/>
    </row>
    <row r="12" spans="2:24" ht="14.4" hidden="1" x14ac:dyDescent="0.3">
      <c r="B12" s="25"/>
      <c r="C12" s="260"/>
      <c r="D12" s="26"/>
      <c r="E12" s="26"/>
      <c r="F12" s="112">
        <v>16000</v>
      </c>
      <c r="G12" s="112"/>
      <c r="H12" s="112"/>
      <c r="I12" s="115"/>
      <c r="J12" s="174"/>
      <c r="K12" s="174"/>
      <c r="L12" s="174"/>
      <c r="M12" s="174"/>
      <c r="N12" s="174"/>
      <c r="O12" s="190"/>
      <c r="P12" s="190"/>
      <c r="Q12" s="190"/>
      <c r="R12" s="318"/>
      <c r="S12" s="336"/>
      <c r="T12" s="288"/>
      <c r="U12" s="288"/>
      <c r="V12" s="288"/>
      <c r="W12" s="377"/>
      <c r="X12" s="500"/>
    </row>
    <row r="13" spans="2:24" ht="13.8" hidden="1" x14ac:dyDescent="0.25">
      <c r="B13" s="161" t="s">
        <v>86</v>
      </c>
      <c r="C13" s="91"/>
      <c r="D13" s="12"/>
      <c r="E13" s="12"/>
      <c r="F13" s="12"/>
      <c r="G13" s="12"/>
      <c r="H13" s="12"/>
      <c r="I13" s="9"/>
      <c r="J13" s="12"/>
      <c r="K13" s="12"/>
      <c r="L13" s="12"/>
      <c r="M13" s="12"/>
      <c r="N13" s="12"/>
      <c r="O13" s="12"/>
      <c r="P13" s="12"/>
      <c r="Q13" s="319"/>
      <c r="W13" s="378"/>
    </row>
    <row r="14" spans="2:24" ht="12" x14ac:dyDescent="0.25">
      <c r="B14" s="161" t="s">
        <v>87</v>
      </c>
      <c r="C14" s="10"/>
      <c r="D14" s="68">
        <v>103095</v>
      </c>
      <c r="E14" s="68">
        <v>75732</v>
      </c>
      <c r="F14" s="68">
        <f>SUM(F4:F8)</f>
        <v>69000</v>
      </c>
      <c r="G14" s="68">
        <f>SUM(G4:G8)</f>
        <v>129000</v>
      </c>
      <c r="H14" s="68">
        <f>SUM(H4:H8)</f>
        <v>185734</v>
      </c>
      <c r="I14" s="68">
        <f>SUM(I4:I8)</f>
        <v>119754</v>
      </c>
      <c r="J14" s="68">
        <f>SUM(J4:J8)</f>
        <v>147679</v>
      </c>
      <c r="K14" s="68">
        <v>132693</v>
      </c>
      <c r="L14" s="68">
        <v>121129</v>
      </c>
      <c r="M14" s="68">
        <v>104061</v>
      </c>
      <c r="N14" s="68">
        <v>53582</v>
      </c>
      <c r="O14" s="68">
        <v>64402</v>
      </c>
      <c r="P14" s="68">
        <v>82264</v>
      </c>
      <c r="Q14" s="68">
        <v>109521</v>
      </c>
      <c r="R14" s="68">
        <v>116718</v>
      </c>
      <c r="S14" s="68">
        <v>182443</v>
      </c>
      <c r="T14" s="68">
        <v>207738</v>
      </c>
      <c r="U14" s="68">
        <v>144941</v>
      </c>
      <c r="V14" s="68">
        <f>SUM('Mielies-Maize 2025'!H60:H63)</f>
        <v>145061</v>
      </c>
      <c r="W14" s="376">
        <f>AVERAGE(Q14:U14)</f>
        <v>152272.20000000001</v>
      </c>
      <c r="X14" s="499"/>
    </row>
    <row r="15" spans="2:24" ht="12" x14ac:dyDescent="0.25">
      <c r="B15" s="413" t="s">
        <v>88</v>
      </c>
      <c r="C15" s="414"/>
      <c r="D15" s="415">
        <v>237597</v>
      </c>
      <c r="E15" s="415">
        <v>160284</v>
      </c>
      <c r="F15" s="415">
        <f>F9</f>
        <v>22500</v>
      </c>
      <c r="G15" s="415">
        <f>G9</f>
        <v>53000</v>
      </c>
      <c r="H15" s="415">
        <f>H9</f>
        <v>57311</v>
      </c>
      <c r="I15" s="415">
        <f>I9</f>
        <v>36503</v>
      </c>
      <c r="J15" s="415">
        <f>J9</f>
        <v>25982</v>
      </c>
      <c r="K15" s="415">
        <v>234427</v>
      </c>
      <c r="L15" s="415">
        <v>328826</v>
      </c>
      <c r="M15" s="415">
        <v>196581</v>
      </c>
      <c r="N15" s="415">
        <v>68966</v>
      </c>
      <c r="O15" s="415">
        <v>116643</v>
      </c>
      <c r="P15" s="415">
        <v>134227</v>
      </c>
      <c r="Q15" s="415">
        <v>410750</v>
      </c>
      <c r="R15" s="415">
        <v>156142</v>
      </c>
      <c r="S15" s="415">
        <v>326851</v>
      </c>
      <c r="T15" s="415">
        <v>501628</v>
      </c>
      <c r="U15" s="415">
        <v>240432</v>
      </c>
      <c r="V15" s="415">
        <f>SUM('Mielies-Maize 2025'!H64:H67)</f>
        <v>253396</v>
      </c>
      <c r="W15" s="416">
        <f>AVERAGE(Q15:U15)</f>
        <v>327160.59999999998</v>
      </c>
      <c r="X15" s="499"/>
    </row>
    <row r="16" spans="2:24" s="320" customFormat="1" ht="24.45" customHeight="1" x14ac:dyDescent="0.3">
      <c r="B16" s="349" t="s">
        <v>89</v>
      </c>
      <c r="C16" s="350"/>
      <c r="D16" s="351">
        <f>SUM(D14:D15)</f>
        <v>340692</v>
      </c>
      <c r="E16" s="351">
        <f>SUM(E14:E15)</f>
        <v>236016</v>
      </c>
      <c r="F16" s="351">
        <f>SUM(F14:F15)</f>
        <v>91500</v>
      </c>
      <c r="G16" s="351">
        <f t="shared" ref="G16:N16" si="1">SUM(G14:G15)</f>
        <v>182000</v>
      </c>
      <c r="H16" s="351">
        <f t="shared" si="1"/>
        <v>243045</v>
      </c>
      <c r="I16" s="352">
        <f t="shared" si="1"/>
        <v>156257</v>
      </c>
      <c r="J16" s="352">
        <f t="shared" si="1"/>
        <v>173661</v>
      </c>
      <c r="K16" s="352">
        <f t="shared" si="1"/>
        <v>367120</v>
      </c>
      <c r="L16" s="352">
        <f t="shared" si="1"/>
        <v>449955</v>
      </c>
      <c r="M16" s="352">
        <f t="shared" si="1"/>
        <v>300642</v>
      </c>
      <c r="N16" s="467">
        <f t="shared" si="1"/>
        <v>122548</v>
      </c>
      <c r="O16" s="468">
        <v>181045</v>
      </c>
      <c r="P16" s="468">
        <f t="shared" ref="P16:T16" si="2">P13+P14+P15</f>
        <v>216491</v>
      </c>
      <c r="Q16" s="468">
        <f t="shared" si="2"/>
        <v>520271</v>
      </c>
      <c r="R16" s="469">
        <f t="shared" si="2"/>
        <v>272860</v>
      </c>
      <c r="S16" s="469">
        <f t="shared" si="2"/>
        <v>509294</v>
      </c>
      <c r="T16" s="469">
        <f t="shared" si="2"/>
        <v>709366</v>
      </c>
      <c r="U16" s="469">
        <v>386162</v>
      </c>
      <c r="V16" s="544">
        <v>386162</v>
      </c>
      <c r="W16" s="379">
        <f>AVERAGE(Q16:U16)</f>
        <v>479590.6</v>
      </c>
      <c r="X16" s="501"/>
    </row>
    <row r="17" spans="2:28" ht="18" thickBot="1" x14ac:dyDescent="0.4">
      <c r="B17" s="119" t="s">
        <v>30</v>
      </c>
      <c r="C17" s="104" t="s">
        <v>31</v>
      </c>
      <c r="D17" s="106" t="s">
        <v>59</v>
      </c>
      <c r="E17" s="103" t="s">
        <v>60</v>
      </c>
      <c r="F17" s="107" t="s">
        <v>61</v>
      </c>
      <c r="G17" s="103" t="str">
        <f>G3</f>
        <v>2011/12</v>
      </c>
      <c r="H17" s="107" t="str">
        <f>H3</f>
        <v>2012/13</v>
      </c>
      <c r="I17" s="103" t="str">
        <f>I3</f>
        <v>2013/14</v>
      </c>
      <c r="J17" s="132" t="s">
        <v>65</v>
      </c>
      <c r="K17" s="132" t="s">
        <v>66</v>
      </c>
      <c r="L17" s="132" t="s">
        <v>67</v>
      </c>
      <c r="M17" s="132" t="s">
        <v>68</v>
      </c>
      <c r="N17" s="106" t="str">
        <f t="shared" ref="N17:S17" si="3">N3</f>
        <v>2018/19</v>
      </c>
      <c r="O17" s="106" t="str">
        <f t="shared" si="3"/>
        <v>2019/20</v>
      </c>
      <c r="P17" s="106" t="str">
        <f t="shared" si="3"/>
        <v>2020/21</v>
      </c>
      <c r="Q17" s="106" t="str">
        <f t="shared" si="3"/>
        <v>2021/22</v>
      </c>
      <c r="R17" s="106" t="str">
        <f t="shared" si="3"/>
        <v>2022/23</v>
      </c>
      <c r="S17" s="106" t="str">
        <f t="shared" si="3"/>
        <v>2023/24</v>
      </c>
      <c r="T17" s="191" t="s">
        <v>75</v>
      </c>
      <c r="U17" s="191" t="str">
        <f>U3</f>
        <v>2025/26</v>
      </c>
      <c r="V17" s="103" t="str">
        <f>V3</f>
        <v>2026/27*</v>
      </c>
      <c r="W17" s="103" t="s">
        <v>76</v>
      </c>
      <c r="X17" s="103" t="s">
        <v>164</v>
      </c>
      <c r="Y17" s="545" t="s">
        <v>153</v>
      </c>
      <c r="Z17" s="546" t="s">
        <v>156</v>
      </c>
      <c r="AA17" s="546" t="s">
        <v>162</v>
      </c>
      <c r="AB17" s="546" t="s">
        <v>163</v>
      </c>
    </row>
    <row r="18" spans="2:28" x14ac:dyDescent="0.2">
      <c r="B18" s="67" t="s">
        <v>90</v>
      </c>
      <c r="C18" s="572" t="s">
        <v>90</v>
      </c>
      <c r="D18" s="573">
        <f t="shared" ref="D18:I18" si="4">D16</f>
        <v>340692</v>
      </c>
      <c r="E18" s="574">
        <f t="shared" si="4"/>
        <v>236016</v>
      </c>
      <c r="F18" s="573">
        <f t="shared" si="4"/>
        <v>91500</v>
      </c>
      <c r="G18" s="574">
        <f t="shared" si="4"/>
        <v>182000</v>
      </c>
      <c r="H18" s="575">
        <f t="shared" si="4"/>
        <v>243045</v>
      </c>
      <c r="I18" s="573">
        <f t="shared" si="4"/>
        <v>156257</v>
      </c>
      <c r="J18" s="576">
        <f>J78</f>
        <v>173661</v>
      </c>
      <c r="K18" s="577">
        <f>K16</f>
        <v>367120</v>
      </c>
      <c r="L18" s="577">
        <f>L16</f>
        <v>449955</v>
      </c>
      <c r="M18" s="577">
        <f>M16</f>
        <v>300642</v>
      </c>
      <c r="N18" s="577">
        <f>N16</f>
        <v>122548</v>
      </c>
      <c r="O18" s="577">
        <f t="shared" ref="O18:T18" si="5">O16</f>
        <v>181045</v>
      </c>
      <c r="P18" s="577">
        <f t="shared" si="5"/>
        <v>216491</v>
      </c>
      <c r="Q18" s="577">
        <f t="shared" si="5"/>
        <v>520271</v>
      </c>
      <c r="R18" s="577">
        <f t="shared" si="5"/>
        <v>272860</v>
      </c>
      <c r="S18" s="577">
        <f t="shared" si="5"/>
        <v>509294</v>
      </c>
      <c r="T18" s="577">
        <f t="shared" si="5"/>
        <v>709366</v>
      </c>
      <c r="U18" s="577">
        <f>U16</f>
        <v>386162</v>
      </c>
      <c r="V18" s="578">
        <f>V16</f>
        <v>386162</v>
      </c>
      <c r="W18" s="579">
        <f>W16</f>
        <v>479590.6</v>
      </c>
      <c r="X18" s="579">
        <f>W18</f>
        <v>479590.6</v>
      </c>
      <c r="Y18" s="580"/>
      <c r="Z18" s="581"/>
      <c r="AA18" s="581"/>
      <c r="AB18" s="581"/>
    </row>
    <row r="19" spans="2:28" ht="14.4" x14ac:dyDescent="0.3">
      <c r="B19" s="18">
        <v>1</v>
      </c>
      <c r="C19" s="260">
        <v>45779</v>
      </c>
      <c r="D19" s="20">
        <v>66000</v>
      </c>
      <c r="E19" s="20">
        <v>61000</v>
      </c>
      <c r="F19" s="20">
        <v>23000</v>
      </c>
      <c r="G19" s="20">
        <v>17000</v>
      </c>
      <c r="H19" s="20">
        <v>100148</v>
      </c>
      <c r="I19" s="20">
        <v>135443</v>
      </c>
      <c r="J19" s="20">
        <v>59679</v>
      </c>
      <c r="K19" s="20">
        <v>19931</v>
      </c>
      <c r="L19" s="20">
        <v>103657</v>
      </c>
      <c r="M19" s="20">
        <v>79839</v>
      </c>
      <c r="N19" s="20">
        <v>19709</v>
      </c>
      <c r="O19" s="20">
        <v>27232</v>
      </c>
      <c r="P19" s="20">
        <v>3807</v>
      </c>
      <c r="Q19" s="20">
        <v>258229</v>
      </c>
      <c r="R19" s="20">
        <v>45954</v>
      </c>
      <c r="S19" s="339">
        <v>148131</v>
      </c>
      <c r="T19" s="339">
        <v>204611</v>
      </c>
      <c r="U19" s="334">
        <f>'Mielies-Maize 2025'!J16</f>
        <v>54098</v>
      </c>
      <c r="V19" s="307">
        <f>'Mielies-Maize 2026'!J16</f>
        <v>68533</v>
      </c>
      <c r="W19" s="487">
        <f>AVERAGE(Q19:U19)</f>
        <v>142204.6</v>
      </c>
      <c r="X19" s="628">
        <f>W19</f>
        <v>142204.6</v>
      </c>
      <c r="Y19" s="15">
        <v>7750450</v>
      </c>
      <c r="Z19" s="256">
        <f>V19-X19</f>
        <v>-73671.600000000006</v>
      </c>
      <c r="AA19" s="256">
        <f>V19-U19</f>
        <v>14435</v>
      </c>
      <c r="AB19" s="256">
        <f>V19</f>
        <v>68533</v>
      </c>
    </row>
    <row r="20" spans="2:28" ht="14.4" x14ac:dyDescent="0.3">
      <c r="B20" s="18">
        <v>2</v>
      </c>
      <c r="C20" s="260">
        <f t="shared" ref="C20:C70" si="6">C19+7</f>
        <v>45786</v>
      </c>
      <c r="D20" s="20"/>
      <c r="E20" s="20"/>
      <c r="F20" s="20"/>
      <c r="G20" s="20">
        <v>31000</v>
      </c>
      <c r="H20" s="20">
        <v>238767</v>
      </c>
      <c r="I20" s="20">
        <v>274371</v>
      </c>
      <c r="J20" s="20">
        <v>105949</v>
      </c>
      <c r="K20" s="20">
        <v>139146</v>
      </c>
      <c r="L20" s="20">
        <v>146679</v>
      </c>
      <c r="M20" s="20">
        <v>175743</v>
      </c>
      <c r="N20" s="20">
        <v>73822</v>
      </c>
      <c r="O20" s="20">
        <v>65305</v>
      </c>
      <c r="P20" s="20">
        <v>53600</v>
      </c>
      <c r="Q20" s="20">
        <v>397780</v>
      </c>
      <c r="R20" s="20">
        <v>80912</v>
      </c>
      <c r="S20" s="339">
        <v>139672</v>
      </c>
      <c r="T20" s="339">
        <v>484445</v>
      </c>
      <c r="U20" s="334">
        <f>'Mielies-Maize 2025'!J17</f>
        <v>115280</v>
      </c>
      <c r="V20" s="307">
        <f>'Mielies-Maize 2026'!J17</f>
        <v>73125</v>
      </c>
      <c r="W20" s="487">
        <f t="shared" ref="W20:W70" si="7">AVERAGE(Q20:U20)</f>
        <v>243617.8</v>
      </c>
      <c r="X20" s="628">
        <f>W20+X19</f>
        <v>385822.4</v>
      </c>
      <c r="Y20" s="15">
        <v>7750450</v>
      </c>
      <c r="Z20" s="256">
        <f t="shared" ref="Z20:Z75" si="8">V20-X20</f>
        <v>-312697.40000000002</v>
      </c>
      <c r="AA20" s="256">
        <f t="shared" ref="AA20:AA75" si="9">V20-U20</f>
        <v>-42155</v>
      </c>
      <c r="AB20" s="256">
        <f t="shared" ref="AB20:AB21" si="10">V20</f>
        <v>73125</v>
      </c>
    </row>
    <row r="21" spans="2:28" ht="14.4" x14ac:dyDescent="0.3">
      <c r="B21" s="18">
        <v>3</v>
      </c>
      <c r="C21" s="260">
        <f t="shared" si="6"/>
        <v>45793</v>
      </c>
      <c r="D21" s="20"/>
      <c r="E21" s="20"/>
      <c r="F21" s="20"/>
      <c r="G21" s="20">
        <v>45000</v>
      </c>
      <c r="H21" s="20">
        <v>299202</v>
      </c>
      <c r="I21" s="20">
        <v>245122</v>
      </c>
      <c r="J21" s="20">
        <v>233401</v>
      </c>
      <c r="K21" s="20">
        <v>221680</v>
      </c>
      <c r="L21" s="20">
        <v>122389</v>
      </c>
      <c r="M21" s="20">
        <v>156704</v>
      </c>
      <c r="N21" s="20">
        <v>80705</v>
      </c>
      <c r="O21" s="20">
        <v>164962</v>
      </c>
      <c r="P21" s="20">
        <v>102871</v>
      </c>
      <c r="Q21" s="20">
        <v>554659</v>
      </c>
      <c r="R21" s="20">
        <v>140475</v>
      </c>
      <c r="S21" s="339">
        <v>108358</v>
      </c>
      <c r="T21" s="339">
        <v>629217</v>
      </c>
      <c r="U21" s="334">
        <f>'Mielies-Maize 2025'!J18</f>
        <v>177371</v>
      </c>
      <c r="V21" s="307">
        <f>'Mielies-Maize 2026'!J18</f>
        <v>137597</v>
      </c>
      <c r="W21" s="487">
        <f t="shared" si="7"/>
        <v>322016</v>
      </c>
      <c r="X21" s="628">
        <f t="shared" ref="X21:X75" si="11">W21+X20</f>
        <v>707838.4</v>
      </c>
      <c r="Y21" s="15">
        <v>7750450</v>
      </c>
      <c r="Z21" s="256">
        <f t="shared" si="8"/>
        <v>-570241.4</v>
      </c>
      <c r="AA21" s="256">
        <f t="shared" si="9"/>
        <v>-39774</v>
      </c>
      <c r="AB21" s="256">
        <f t="shared" si="10"/>
        <v>137597</v>
      </c>
    </row>
    <row r="22" spans="2:28" ht="14.4" x14ac:dyDescent="0.3">
      <c r="B22" s="18">
        <v>4</v>
      </c>
      <c r="C22" s="260">
        <f t="shared" si="6"/>
        <v>45800</v>
      </c>
      <c r="D22" s="20"/>
      <c r="E22" s="20"/>
      <c r="F22" s="20"/>
      <c r="G22" s="20">
        <v>136000</v>
      </c>
      <c r="H22" s="20">
        <v>370170</v>
      </c>
      <c r="I22" s="20">
        <v>397425</v>
      </c>
      <c r="J22" s="20">
        <v>277137</v>
      </c>
      <c r="K22" s="20">
        <v>372647</v>
      </c>
      <c r="L22" s="20">
        <v>349672</v>
      </c>
      <c r="M22" s="20">
        <v>811519</v>
      </c>
      <c r="N22" s="20">
        <v>427025</v>
      </c>
      <c r="O22" s="20">
        <v>310494</v>
      </c>
      <c r="P22" s="20">
        <v>209349</v>
      </c>
      <c r="Q22" s="20">
        <v>962674</v>
      </c>
      <c r="R22" s="20">
        <v>348873</v>
      </c>
      <c r="S22" s="339">
        <v>343069</v>
      </c>
      <c r="T22" s="339">
        <v>697419</v>
      </c>
      <c r="U22" s="334">
        <f>'Mielies-Maize 2025'!J19</f>
        <v>262136</v>
      </c>
      <c r="V22" s="307">
        <f>'Mielies-Maize 2026'!J19</f>
        <v>0</v>
      </c>
      <c r="W22" s="487">
        <f t="shared" si="7"/>
        <v>522834.2</v>
      </c>
      <c r="X22" s="628">
        <f t="shared" si="11"/>
        <v>1230672.6000000001</v>
      </c>
      <c r="Y22" s="15">
        <v>7750450</v>
      </c>
      <c r="Z22" s="256">
        <f t="shared" si="8"/>
        <v>-1230672.6000000001</v>
      </c>
      <c r="AA22" s="256">
        <f t="shared" si="9"/>
        <v>-262136</v>
      </c>
      <c r="AB22" s="474"/>
    </row>
    <row r="23" spans="2:28" ht="14.4" x14ac:dyDescent="0.3">
      <c r="B23" s="18">
        <v>5</v>
      </c>
      <c r="C23" s="260">
        <f t="shared" si="6"/>
        <v>45807</v>
      </c>
      <c r="D23" s="20"/>
      <c r="E23" s="20"/>
      <c r="F23" s="20"/>
      <c r="G23" s="20">
        <v>221000</v>
      </c>
      <c r="H23" s="20">
        <v>413276</v>
      </c>
      <c r="I23" s="20">
        <v>624015</v>
      </c>
      <c r="J23" s="20">
        <v>470900</v>
      </c>
      <c r="K23" s="20">
        <v>532195</v>
      </c>
      <c r="L23" s="20">
        <v>241653</v>
      </c>
      <c r="M23" s="20">
        <v>415304</v>
      </c>
      <c r="N23" s="20">
        <v>28600</v>
      </c>
      <c r="O23" s="20">
        <v>483901</v>
      </c>
      <c r="P23" s="20">
        <v>479176</v>
      </c>
      <c r="Q23" s="20">
        <v>352721</v>
      </c>
      <c r="R23" s="20">
        <v>164341</v>
      </c>
      <c r="S23" s="339">
        <v>433857</v>
      </c>
      <c r="T23" s="339">
        <v>572880</v>
      </c>
      <c r="U23" s="334">
        <f>'Mielies-Maize 2025'!J20</f>
        <v>415918</v>
      </c>
      <c r="V23" s="307">
        <f>'Mielies-Maize 2026'!J20</f>
        <v>0</v>
      </c>
      <c r="W23" s="487">
        <f t="shared" si="7"/>
        <v>387943.4</v>
      </c>
      <c r="X23" s="628">
        <f t="shared" si="11"/>
        <v>1618616</v>
      </c>
      <c r="Y23" s="15">
        <v>7750450</v>
      </c>
      <c r="Z23" s="256">
        <f t="shared" si="8"/>
        <v>-1618616</v>
      </c>
      <c r="AA23" s="256">
        <f t="shared" si="9"/>
        <v>-415918</v>
      </c>
      <c r="AB23" s="474"/>
    </row>
    <row r="24" spans="2:28" ht="14.4" x14ac:dyDescent="0.3">
      <c r="B24" s="18">
        <v>6</v>
      </c>
      <c r="C24" s="260">
        <f t="shared" si="6"/>
        <v>45814</v>
      </c>
      <c r="D24" s="20"/>
      <c r="E24" s="20"/>
      <c r="F24" s="20"/>
      <c r="G24" s="20">
        <v>193000</v>
      </c>
      <c r="H24" s="20">
        <v>396260</v>
      </c>
      <c r="I24" s="20">
        <v>534434</v>
      </c>
      <c r="J24" s="20">
        <v>419988</v>
      </c>
      <c r="K24" s="20">
        <v>407603</v>
      </c>
      <c r="L24" s="20">
        <v>355275</v>
      </c>
      <c r="M24" s="20">
        <v>501029</v>
      </c>
      <c r="N24" s="20">
        <v>343375</v>
      </c>
      <c r="O24" s="20">
        <v>471181</v>
      </c>
      <c r="P24" s="20">
        <v>378889</v>
      </c>
      <c r="Q24" s="20">
        <v>571147</v>
      </c>
      <c r="R24" s="20">
        <v>451115</v>
      </c>
      <c r="S24" s="339">
        <v>578864</v>
      </c>
      <c r="T24" s="339">
        <v>499581</v>
      </c>
      <c r="U24" s="334">
        <f>'Mielies-Maize 2025'!J21</f>
        <v>484399</v>
      </c>
      <c r="V24" s="307">
        <f>'Mielies-Maize 2026'!J21</f>
        <v>0</v>
      </c>
      <c r="W24" s="487">
        <f t="shared" si="7"/>
        <v>517021.2</v>
      </c>
      <c r="X24" s="628">
        <f t="shared" si="11"/>
        <v>2135637.2000000002</v>
      </c>
      <c r="Y24" s="15">
        <v>7750450</v>
      </c>
      <c r="Z24" s="256">
        <f t="shared" si="8"/>
        <v>-2135637.2000000002</v>
      </c>
      <c r="AA24" s="256">
        <f t="shared" si="9"/>
        <v>-484399</v>
      </c>
      <c r="AB24" s="474"/>
    </row>
    <row r="25" spans="2:28" ht="14.4" x14ac:dyDescent="0.3">
      <c r="B25" s="18">
        <v>7</v>
      </c>
      <c r="C25" s="260">
        <f t="shared" si="6"/>
        <v>45821</v>
      </c>
      <c r="D25" s="20"/>
      <c r="E25" s="20"/>
      <c r="F25" s="20"/>
      <c r="G25" s="20">
        <v>241000</v>
      </c>
      <c r="H25" s="20">
        <v>385661</v>
      </c>
      <c r="I25" s="20">
        <v>544077</v>
      </c>
      <c r="J25" s="20">
        <v>556092</v>
      </c>
      <c r="K25" s="20">
        <v>435684</v>
      </c>
      <c r="L25" s="20">
        <v>187830</v>
      </c>
      <c r="M25" s="20">
        <v>486915</v>
      </c>
      <c r="N25" s="20">
        <v>503047</v>
      </c>
      <c r="O25" s="20">
        <v>513200</v>
      </c>
      <c r="P25" s="20">
        <v>550026</v>
      </c>
      <c r="Q25" s="20">
        <v>597761</v>
      </c>
      <c r="R25" s="20">
        <v>611241</v>
      </c>
      <c r="S25" s="339">
        <v>646244</v>
      </c>
      <c r="T25" s="339">
        <v>482801</v>
      </c>
      <c r="U25" s="334">
        <f>'Mielies-Maize 2025'!J22</f>
        <v>487934</v>
      </c>
      <c r="V25" s="307">
        <f>'Mielies-Maize 2026'!J22</f>
        <v>0</v>
      </c>
      <c r="W25" s="487">
        <f t="shared" si="7"/>
        <v>565196.19999999995</v>
      </c>
      <c r="X25" s="628">
        <f t="shared" si="11"/>
        <v>2700833.4000000004</v>
      </c>
      <c r="Y25" s="15">
        <v>7750450</v>
      </c>
      <c r="Z25" s="256">
        <f t="shared" si="8"/>
        <v>-2700833.4000000004</v>
      </c>
      <c r="AA25" s="256">
        <f t="shared" si="9"/>
        <v>-487934</v>
      </c>
      <c r="AB25" s="474"/>
    </row>
    <row r="26" spans="2:28" ht="14.25" customHeight="1" x14ac:dyDescent="0.3">
      <c r="B26" s="18">
        <v>8</v>
      </c>
      <c r="C26" s="260">
        <f t="shared" si="6"/>
        <v>45828</v>
      </c>
      <c r="D26" s="20"/>
      <c r="E26" s="20"/>
      <c r="F26" s="20"/>
      <c r="G26" s="20">
        <v>337000</v>
      </c>
      <c r="H26" s="20">
        <v>371690</v>
      </c>
      <c r="I26" s="20">
        <v>459158</v>
      </c>
      <c r="J26" s="20">
        <v>556499</v>
      </c>
      <c r="K26" s="20">
        <v>342664</v>
      </c>
      <c r="L26" s="20">
        <v>542348</v>
      </c>
      <c r="M26" s="20">
        <v>546479</v>
      </c>
      <c r="N26" s="20">
        <v>500907</v>
      </c>
      <c r="O26" s="20">
        <v>424683</v>
      </c>
      <c r="P26" s="20">
        <v>392636</v>
      </c>
      <c r="Q26" s="20">
        <v>1099641</v>
      </c>
      <c r="R26" s="20">
        <v>707200</v>
      </c>
      <c r="S26" s="339">
        <v>671146</v>
      </c>
      <c r="T26" s="339">
        <v>328700</v>
      </c>
      <c r="U26" s="334">
        <f>'Mielies-Maize 2025'!J23</f>
        <v>623590</v>
      </c>
      <c r="V26" s="307">
        <f>'Mielies-Maize 2026'!J23</f>
        <v>0</v>
      </c>
      <c r="W26" s="487">
        <f t="shared" si="7"/>
        <v>686055.4</v>
      </c>
      <c r="X26" s="628">
        <f t="shared" si="11"/>
        <v>3386888.8000000003</v>
      </c>
      <c r="Y26" s="15">
        <v>7750450</v>
      </c>
      <c r="Z26" s="256">
        <f t="shared" si="8"/>
        <v>-3386888.8000000003</v>
      </c>
      <c r="AA26" s="256">
        <f t="shared" si="9"/>
        <v>-623590</v>
      </c>
      <c r="AB26" s="474"/>
    </row>
    <row r="27" spans="2:28" ht="15" customHeight="1" x14ac:dyDescent="0.3">
      <c r="B27" s="18">
        <v>9</v>
      </c>
      <c r="C27" s="260">
        <f t="shared" si="6"/>
        <v>45835</v>
      </c>
      <c r="D27" s="20"/>
      <c r="E27" s="20"/>
      <c r="F27" s="20"/>
      <c r="G27" s="20">
        <v>363000</v>
      </c>
      <c r="H27" s="20">
        <v>120273</v>
      </c>
      <c r="I27" s="20">
        <v>516035</v>
      </c>
      <c r="J27" s="20">
        <v>802737</v>
      </c>
      <c r="K27" s="20">
        <v>584925</v>
      </c>
      <c r="L27" s="20">
        <v>209742</v>
      </c>
      <c r="M27" s="20">
        <v>614165</v>
      </c>
      <c r="N27" s="20">
        <v>617790</v>
      </c>
      <c r="O27" s="20">
        <v>570954</v>
      </c>
      <c r="P27" s="20">
        <v>961975</v>
      </c>
      <c r="Q27" s="20">
        <v>79036</v>
      </c>
      <c r="R27" s="20">
        <v>412372</v>
      </c>
      <c r="S27" s="339">
        <v>735502</v>
      </c>
      <c r="T27" s="339">
        <v>352335</v>
      </c>
      <c r="U27" s="334">
        <f>'Mielies-Maize 2025'!J24</f>
        <v>779652</v>
      </c>
      <c r="V27" s="307">
        <f>'Mielies-Maize 2026'!J24</f>
        <v>0</v>
      </c>
      <c r="W27" s="487">
        <f t="shared" si="7"/>
        <v>471779.4</v>
      </c>
      <c r="X27" s="628">
        <f t="shared" si="11"/>
        <v>3858668.2</v>
      </c>
      <c r="Y27" s="15">
        <v>7750450</v>
      </c>
      <c r="Z27" s="256">
        <f t="shared" si="8"/>
        <v>-3858668.2</v>
      </c>
      <c r="AA27" s="256">
        <f t="shared" si="9"/>
        <v>-779652</v>
      </c>
      <c r="AB27" s="474"/>
    </row>
    <row r="28" spans="2:28" ht="15" customHeight="1" x14ac:dyDescent="0.3">
      <c r="B28" s="18">
        <v>10</v>
      </c>
      <c r="C28" s="260">
        <f t="shared" si="6"/>
        <v>45842</v>
      </c>
      <c r="D28" s="20"/>
      <c r="E28" s="20"/>
      <c r="F28" s="20"/>
      <c r="G28" s="20">
        <v>315000</v>
      </c>
      <c r="H28" s="20">
        <v>287818</v>
      </c>
      <c r="I28" s="20">
        <v>279489</v>
      </c>
      <c r="J28" s="20">
        <v>475453</v>
      </c>
      <c r="K28" s="20">
        <v>200197</v>
      </c>
      <c r="L28" s="20">
        <v>203239</v>
      </c>
      <c r="M28" s="20">
        <v>404227</v>
      </c>
      <c r="N28" s="20">
        <v>414749</v>
      </c>
      <c r="O28" s="20">
        <v>297850</v>
      </c>
      <c r="P28" s="20">
        <v>275658</v>
      </c>
      <c r="Q28" s="20">
        <v>381864</v>
      </c>
      <c r="R28" s="20">
        <v>552096</v>
      </c>
      <c r="S28" s="339">
        <v>661817</v>
      </c>
      <c r="T28" s="339">
        <v>176627</v>
      </c>
      <c r="U28" s="334">
        <f>'Mielies-Maize 2025'!J25</f>
        <v>607591</v>
      </c>
      <c r="V28" s="307">
        <f>'Mielies-Maize 2026'!J25</f>
        <v>0</v>
      </c>
      <c r="W28" s="487">
        <f t="shared" si="7"/>
        <v>475999</v>
      </c>
      <c r="X28" s="628">
        <f t="shared" si="11"/>
        <v>4334667.2</v>
      </c>
      <c r="Y28" s="15">
        <v>7750450</v>
      </c>
      <c r="Z28" s="256">
        <f t="shared" si="8"/>
        <v>-4334667.2</v>
      </c>
      <c r="AA28" s="256">
        <f t="shared" si="9"/>
        <v>-607591</v>
      </c>
      <c r="AB28" s="474"/>
    </row>
    <row r="29" spans="2:28" ht="15" customHeight="1" x14ac:dyDescent="0.3">
      <c r="B29" s="18">
        <v>11</v>
      </c>
      <c r="C29" s="260">
        <f t="shared" si="6"/>
        <v>45849</v>
      </c>
      <c r="D29" s="20"/>
      <c r="E29" s="20"/>
      <c r="F29" s="20"/>
      <c r="G29" s="20">
        <v>430000</v>
      </c>
      <c r="H29" s="20">
        <v>255047</v>
      </c>
      <c r="I29" s="20">
        <v>230017</v>
      </c>
      <c r="J29" s="20">
        <v>395147</v>
      </c>
      <c r="K29" s="20">
        <v>243948</v>
      </c>
      <c r="L29" s="20">
        <v>224775</v>
      </c>
      <c r="M29" s="20">
        <v>365268</v>
      </c>
      <c r="N29" s="20">
        <v>341942</v>
      </c>
      <c r="O29" s="20">
        <v>293623</v>
      </c>
      <c r="P29" s="20">
        <v>449351</v>
      </c>
      <c r="Q29" s="20">
        <v>227287</v>
      </c>
      <c r="R29" s="20">
        <v>632317</v>
      </c>
      <c r="S29" s="339">
        <v>505406</v>
      </c>
      <c r="T29" s="339">
        <v>140353</v>
      </c>
      <c r="U29" s="334">
        <f>'Mielies-Maize 2025'!J26</f>
        <v>599391</v>
      </c>
      <c r="V29" s="307">
        <f>'Mielies-Maize 2026'!J26</f>
        <v>0</v>
      </c>
      <c r="W29" s="487">
        <f t="shared" si="7"/>
        <v>420950.8</v>
      </c>
      <c r="X29" s="628">
        <f t="shared" si="11"/>
        <v>4755618</v>
      </c>
      <c r="Y29" s="15">
        <v>7750450</v>
      </c>
      <c r="Z29" s="256">
        <f t="shared" si="8"/>
        <v>-4755618</v>
      </c>
      <c r="AA29" s="256">
        <f t="shared" si="9"/>
        <v>-599391</v>
      </c>
      <c r="AB29" s="474"/>
    </row>
    <row r="30" spans="2:28" ht="15" customHeight="1" x14ac:dyDescent="0.3">
      <c r="B30" s="18">
        <v>12</v>
      </c>
      <c r="C30" s="260">
        <f t="shared" si="6"/>
        <v>45856</v>
      </c>
      <c r="D30" s="20"/>
      <c r="E30" s="20"/>
      <c r="F30" s="114"/>
      <c r="G30" s="20">
        <v>185575</v>
      </c>
      <c r="H30" s="20">
        <v>288620</v>
      </c>
      <c r="I30" s="20">
        <v>185575</v>
      </c>
      <c r="J30" s="20">
        <v>338970</v>
      </c>
      <c r="K30" s="20">
        <v>202698</v>
      </c>
      <c r="L30" s="20">
        <v>205799</v>
      </c>
      <c r="M30" s="20">
        <v>338097</v>
      </c>
      <c r="N30" s="20">
        <v>292287</v>
      </c>
      <c r="O30" s="20">
        <v>263073</v>
      </c>
      <c r="P30" s="20">
        <v>398309</v>
      </c>
      <c r="Q30" s="20">
        <v>178611</v>
      </c>
      <c r="R30" s="20">
        <v>637165</v>
      </c>
      <c r="S30" s="339">
        <v>424110</v>
      </c>
      <c r="T30" s="339">
        <v>105751</v>
      </c>
      <c r="U30" s="334">
        <f>'Mielies-Maize 2025'!J27</f>
        <v>554931</v>
      </c>
      <c r="V30" s="307">
        <f>'Mielies-Maize 2026'!J27</f>
        <v>0</v>
      </c>
      <c r="W30" s="487">
        <f t="shared" si="7"/>
        <v>380113.6</v>
      </c>
      <c r="X30" s="628">
        <f t="shared" si="11"/>
        <v>5135731.5999999996</v>
      </c>
      <c r="Y30" s="15">
        <v>7750450</v>
      </c>
      <c r="Z30" s="256">
        <f t="shared" si="8"/>
        <v>-5135731.5999999996</v>
      </c>
      <c r="AA30" s="256">
        <f t="shared" si="9"/>
        <v>-554931</v>
      </c>
      <c r="AB30" s="474"/>
    </row>
    <row r="31" spans="2:28" ht="15" customHeight="1" x14ac:dyDescent="0.3">
      <c r="B31" s="18">
        <v>13</v>
      </c>
      <c r="C31" s="260">
        <f t="shared" si="6"/>
        <v>45863</v>
      </c>
      <c r="D31" s="20"/>
      <c r="E31" s="20"/>
      <c r="F31" s="114"/>
      <c r="G31" s="20">
        <v>313368</v>
      </c>
      <c r="H31" s="20">
        <v>177755</v>
      </c>
      <c r="I31" s="20">
        <v>313368</v>
      </c>
      <c r="J31" s="20">
        <v>438859</v>
      </c>
      <c r="K31" s="20">
        <v>135688</v>
      </c>
      <c r="L31" s="20">
        <v>67692</v>
      </c>
      <c r="M31" s="20">
        <v>427043</v>
      </c>
      <c r="N31" s="20">
        <v>595084</v>
      </c>
      <c r="O31" s="20">
        <v>479207</v>
      </c>
      <c r="P31" s="20">
        <v>363722</v>
      </c>
      <c r="Q31" s="20">
        <v>386752</v>
      </c>
      <c r="R31" s="20">
        <v>461808</v>
      </c>
      <c r="S31" s="339">
        <v>364948</v>
      </c>
      <c r="T31" s="339">
        <v>104823</v>
      </c>
      <c r="U31" s="334">
        <f>'Mielies-Maize 2025'!J28</f>
        <v>463359</v>
      </c>
      <c r="V31" s="307">
        <f>'Mielies-Maize 2026'!J28</f>
        <v>0</v>
      </c>
      <c r="W31" s="487">
        <f t="shared" si="7"/>
        <v>356338</v>
      </c>
      <c r="X31" s="628">
        <f t="shared" si="11"/>
        <v>5492069.5999999996</v>
      </c>
      <c r="Y31" s="15">
        <v>7750450</v>
      </c>
      <c r="Z31" s="256">
        <f t="shared" si="8"/>
        <v>-5492069.5999999996</v>
      </c>
      <c r="AA31" s="256">
        <f t="shared" si="9"/>
        <v>-463359</v>
      </c>
      <c r="AB31" s="474"/>
    </row>
    <row r="32" spans="2:28" ht="15" customHeight="1" x14ac:dyDescent="0.3">
      <c r="B32" s="18">
        <v>14</v>
      </c>
      <c r="C32" s="260">
        <f t="shared" si="6"/>
        <v>45870</v>
      </c>
      <c r="D32" s="20"/>
      <c r="E32" s="20"/>
      <c r="F32" s="20"/>
      <c r="G32" s="20">
        <v>155000</v>
      </c>
      <c r="H32" s="20">
        <v>110778</v>
      </c>
      <c r="I32" s="20">
        <v>88561</v>
      </c>
      <c r="J32" s="20">
        <v>175077</v>
      </c>
      <c r="K32" s="20">
        <v>119400</v>
      </c>
      <c r="L32" s="20">
        <v>80668</v>
      </c>
      <c r="M32" s="20">
        <v>152770</v>
      </c>
      <c r="N32" s="20">
        <v>172892</v>
      </c>
      <c r="O32" s="20">
        <v>50491</v>
      </c>
      <c r="P32" s="20">
        <v>529953</v>
      </c>
      <c r="Q32" s="20">
        <v>68563</v>
      </c>
      <c r="R32" s="20">
        <v>303697</v>
      </c>
      <c r="S32" s="339">
        <v>208614</v>
      </c>
      <c r="T32" s="339">
        <v>58177</v>
      </c>
      <c r="U32" s="334">
        <f>'Mielies-Maize 2025'!J29</f>
        <v>315379</v>
      </c>
      <c r="V32" s="307">
        <f>'Mielies-Maize 2026'!J29</f>
        <v>0</v>
      </c>
      <c r="W32" s="487">
        <f t="shared" si="7"/>
        <v>190886</v>
      </c>
      <c r="X32" s="628">
        <f t="shared" si="11"/>
        <v>5682955.5999999996</v>
      </c>
      <c r="Y32" s="15">
        <v>7750450</v>
      </c>
      <c r="Z32" s="256">
        <f t="shared" si="8"/>
        <v>-5682955.5999999996</v>
      </c>
      <c r="AA32" s="256">
        <f t="shared" si="9"/>
        <v>-315379</v>
      </c>
      <c r="AB32" s="474"/>
    </row>
    <row r="33" spans="2:28" ht="15" customHeight="1" x14ac:dyDescent="0.3">
      <c r="B33" s="18">
        <v>15</v>
      </c>
      <c r="C33" s="260">
        <f t="shared" si="6"/>
        <v>45877</v>
      </c>
      <c r="D33" s="20"/>
      <c r="E33" s="20"/>
      <c r="F33" s="20"/>
      <c r="G33" s="20">
        <v>228000</v>
      </c>
      <c r="H33" s="20">
        <v>65737</v>
      </c>
      <c r="I33" s="20">
        <v>68302</v>
      </c>
      <c r="J33" s="20">
        <v>156922</v>
      </c>
      <c r="K33" s="20">
        <v>80491</v>
      </c>
      <c r="L33" s="20">
        <v>87590</v>
      </c>
      <c r="M33" s="20">
        <v>117715</v>
      </c>
      <c r="N33" s="20">
        <v>195282</v>
      </c>
      <c r="O33" s="20">
        <v>97443</v>
      </c>
      <c r="P33" s="20">
        <v>200619</v>
      </c>
      <c r="Q33" s="20">
        <v>50541</v>
      </c>
      <c r="R33" s="20">
        <v>275585</v>
      </c>
      <c r="S33" s="339">
        <v>150070</v>
      </c>
      <c r="T33" s="339">
        <v>41572</v>
      </c>
      <c r="U33" s="334">
        <f>'Mielies-Maize 2025'!J30</f>
        <v>205834</v>
      </c>
      <c r="V33" s="307">
        <f>'Mielies-Maize 2026'!J30</f>
        <v>0</v>
      </c>
      <c r="W33" s="487">
        <f t="shared" si="7"/>
        <v>144720.4</v>
      </c>
      <c r="X33" s="628">
        <f t="shared" si="11"/>
        <v>5827676</v>
      </c>
      <c r="Y33" s="15">
        <v>7750450</v>
      </c>
      <c r="Z33" s="256">
        <f t="shared" si="8"/>
        <v>-5827676</v>
      </c>
      <c r="AA33" s="256">
        <f t="shared" si="9"/>
        <v>-205834</v>
      </c>
      <c r="AB33" s="474"/>
    </row>
    <row r="34" spans="2:28" ht="15" customHeight="1" x14ac:dyDescent="0.3">
      <c r="B34" s="18">
        <v>16</v>
      </c>
      <c r="C34" s="260">
        <f t="shared" si="6"/>
        <v>45884</v>
      </c>
      <c r="D34" s="20"/>
      <c r="E34" s="20"/>
      <c r="F34" s="20"/>
      <c r="G34" s="20">
        <v>95000</v>
      </c>
      <c r="H34" s="20">
        <v>66312</v>
      </c>
      <c r="I34" s="20">
        <v>48240</v>
      </c>
      <c r="J34" s="20">
        <v>95727</v>
      </c>
      <c r="K34" s="20">
        <v>48534</v>
      </c>
      <c r="L34" s="20">
        <v>64519</v>
      </c>
      <c r="M34" s="20">
        <v>81941</v>
      </c>
      <c r="N34" s="20">
        <v>163372</v>
      </c>
      <c r="O34" s="20">
        <v>84253</v>
      </c>
      <c r="P34" s="20">
        <v>125572</v>
      </c>
      <c r="Q34" s="20">
        <v>29854</v>
      </c>
      <c r="R34" s="20">
        <v>214448</v>
      </c>
      <c r="S34" s="339">
        <v>101002</v>
      </c>
      <c r="T34" s="339">
        <v>46143</v>
      </c>
      <c r="U34" s="334">
        <f>'Mielies-Maize 2025'!J31</f>
        <v>187068</v>
      </c>
      <c r="V34" s="307">
        <f>'Mielies-Maize 2026'!J31</f>
        <v>0</v>
      </c>
      <c r="W34" s="487">
        <f t="shared" si="7"/>
        <v>115703</v>
      </c>
      <c r="X34" s="628">
        <f t="shared" si="11"/>
        <v>5943379</v>
      </c>
      <c r="Y34" s="15">
        <v>7750450</v>
      </c>
      <c r="Z34" s="256">
        <f t="shared" si="8"/>
        <v>-5943379</v>
      </c>
      <c r="AA34" s="256">
        <f t="shared" si="9"/>
        <v>-187068</v>
      </c>
      <c r="AB34" s="474"/>
    </row>
    <row r="35" spans="2:28" ht="15" customHeight="1" x14ac:dyDescent="0.3">
      <c r="B35" s="18">
        <v>17</v>
      </c>
      <c r="C35" s="260">
        <f t="shared" si="6"/>
        <v>45891</v>
      </c>
      <c r="D35" s="20"/>
      <c r="E35" s="20"/>
      <c r="F35" s="20"/>
      <c r="G35" s="20">
        <v>77000</v>
      </c>
      <c r="H35" s="20">
        <v>183567</v>
      </c>
      <c r="I35" s="20">
        <v>38510</v>
      </c>
      <c r="J35" s="20">
        <v>55152</v>
      </c>
      <c r="K35" s="20">
        <v>42537</v>
      </c>
      <c r="L35" s="20">
        <v>92021</v>
      </c>
      <c r="M35" s="20">
        <v>161933</v>
      </c>
      <c r="N35" s="20">
        <v>109316</v>
      </c>
      <c r="O35" s="20">
        <v>58807</v>
      </c>
      <c r="P35" s="20">
        <v>87412</v>
      </c>
      <c r="Q35" s="20">
        <v>114578</v>
      </c>
      <c r="R35" s="20">
        <v>213649</v>
      </c>
      <c r="S35" s="339">
        <v>115427</v>
      </c>
      <c r="T35" s="339">
        <v>32363</v>
      </c>
      <c r="U35" s="334">
        <f>'Mielies-Maize 2025'!J32</f>
        <v>136156</v>
      </c>
      <c r="V35" s="307">
        <f>'Mielies-Maize 2026'!J32</f>
        <v>0</v>
      </c>
      <c r="W35" s="487">
        <f t="shared" si="7"/>
        <v>122434.6</v>
      </c>
      <c r="X35" s="628">
        <f t="shared" si="11"/>
        <v>6065813.5999999996</v>
      </c>
      <c r="Y35" s="15">
        <v>7750450</v>
      </c>
      <c r="Z35" s="256">
        <f t="shared" si="8"/>
        <v>-6065813.5999999996</v>
      </c>
      <c r="AA35" s="256">
        <f t="shared" si="9"/>
        <v>-136156</v>
      </c>
      <c r="AB35" s="474"/>
    </row>
    <row r="36" spans="2:28" ht="15" customHeight="1" x14ac:dyDescent="0.3">
      <c r="B36" s="18">
        <v>18</v>
      </c>
      <c r="C36" s="260">
        <f t="shared" si="6"/>
        <v>45898</v>
      </c>
      <c r="D36" s="20"/>
      <c r="E36" s="20"/>
      <c r="F36" s="20"/>
      <c r="G36" s="20">
        <v>55000</v>
      </c>
      <c r="H36" s="20">
        <v>39120</v>
      </c>
      <c r="I36" s="20">
        <v>-9008</v>
      </c>
      <c r="J36" s="20">
        <v>-115374</v>
      </c>
      <c r="K36" s="20">
        <v>65779</v>
      </c>
      <c r="L36" s="20">
        <v>26358</v>
      </c>
      <c r="M36" s="20">
        <v>18586</v>
      </c>
      <c r="N36" s="20">
        <v>162377</v>
      </c>
      <c r="O36" s="20">
        <v>160692</v>
      </c>
      <c r="P36" s="20">
        <v>157153</v>
      </c>
      <c r="Q36" s="20">
        <v>7684</v>
      </c>
      <c r="R36" s="20">
        <v>83534</v>
      </c>
      <c r="S36" s="339">
        <v>38391</v>
      </c>
      <c r="T36" s="339">
        <v>47979</v>
      </c>
      <c r="U36" s="334">
        <f>'Mielies-Maize 2025'!J33</f>
        <v>108297</v>
      </c>
      <c r="V36" s="307">
        <f>'Mielies-Maize 2026'!J33</f>
        <v>0</v>
      </c>
      <c r="W36" s="487">
        <f t="shared" si="7"/>
        <v>57177</v>
      </c>
      <c r="X36" s="628">
        <f t="shared" si="11"/>
        <v>6122990.5999999996</v>
      </c>
      <c r="Y36" s="15">
        <v>7750450</v>
      </c>
      <c r="Z36" s="256">
        <f t="shared" si="8"/>
        <v>-6122990.5999999996</v>
      </c>
      <c r="AA36" s="256">
        <f t="shared" si="9"/>
        <v>-108297</v>
      </c>
      <c r="AB36" s="474"/>
    </row>
    <row r="37" spans="2:28" ht="15" customHeight="1" x14ac:dyDescent="0.3">
      <c r="B37" s="18">
        <v>19</v>
      </c>
      <c r="C37" s="260">
        <f t="shared" si="6"/>
        <v>45905</v>
      </c>
      <c r="D37" s="20"/>
      <c r="E37" s="20"/>
      <c r="F37" s="20"/>
      <c r="G37" s="20">
        <v>29000</v>
      </c>
      <c r="H37" s="20">
        <v>24980</v>
      </c>
      <c r="I37" s="20">
        <v>15128</v>
      </c>
      <c r="J37" s="20">
        <v>21586</v>
      </c>
      <c r="K37" s="20">
        <v>17440</v>
      </c>
      <c r="L37" s="20">
        <v>21200</v>
      </c>
      <c r="M37" s="20">
        <v>18657</v>
      </c>
      <c r="N37" s="20">
        <v>42152</v>
      </c>
      <c r="O37" s="20">
        <v>22816</v>
      </c>
      <c r="P37" s="20">
        <v>17546</v>
      </c>
      <c r="Q37" s="20">
        <v>18286</v>
      </c>
      <c r="R37" s="20">
        <v>50637</v>
      </c>
      <c r="S37" s="339">
        <v>32471</v>
      </c>
      <c r="T37" s="339">
        <v>29781</v>
      </c>
      <c r="U37" s="334">
        <f>'Mielies-Maize 2025'!J34</f>
        <v>69271</v>
      </c>
      <c r="V37" s="307">
        <f>'Mielies-Maize 2026'!J34</f>
        <v>0</v>
      </c>
      <c r="W37" s="487">
        <f t="shared" si="7"/>
        <v>40089.199999999997</v>
      </c>
      <c r="X37" s="487">
        <f t="shared" si="11"/>
        <v>6163079.7999999998</v>
      </c>
      <c r="Y37" s="15">
        <v>7750450</v>
      </c>
      <c r="Z37" s="256">
        <f t="shared" si="8"/>
        <v>-6163079.7999999998</v>
      </c>
      <c r="AA37" s="256">
        <f t="shared" si="9"/>
        <v>-69271</v>
      </c>
      <c r="AB37" s="474"/>
    </row>
    <row r="38" spans="2:28" ht="15" customHeight="1" x14ac:dyDescent="0.3">
      <c r="B38" s="18">
        <v>20</v>
      </c>
      <c r="C38" s="260">
        <f t="shared" si="6"/>
        <v>45912</v>
      </c>
      <c r="D38" s="20"/>
      <c r="E38" s="20"/>
      <c r="F38" s="20"/>
      <c r="G38" s="20">
        <v>143000</v>
      </c>
      <c r="H38" s="20">
        <v>12715</v>
      </c>
      <c r="I38" s="20">
        <v>12566</v>
      </c>
      <c r="J38" s="20">
        <v>13962</v>
      </c>
      <c r="K38" s="20">
        <v>18274</v>
      </c>
      <c r="L38" s="20">
        <v>15307</v>
      </c>
      <c r="M38" s="20">
        <v>20367</v>
      </c>
      <c r="N38" s="20">
        <v>38422</v>
      </c>
      <c r="O38" s="20">
        <v>18815</v>
      </c>
      <c r="P38" s="20">
        <v>21677</v>
      </c>
      <c r="Q38" s="20">
        <v>14073</v>
      </c>
      <c r="R38" s="20">
        <v>39166</v>
      </c>
      <c r="S38" s="339">
        <v>31264</v>
      </c>
      <c r="T38" s="339">
        <v>29436</v>
      </c>
      <c r="U38" s="334">
        <f>'Mielies-Maize 2025'!J35</f>
        <v>55151</v>
      </c>
      <c r="V38" s="307">
        <f>'Mielies-Maize 2026'!J35</f>
        <v>0</v>
      </c>
      <c r="W38" s="487">
        <f t="shared" si="7"/>
        <v>33818</v>
      </c>
      <c r="X38" s="487">
        <f t="shared" si="11"/>
        <v>6196897.7999999998</v>
      </c>
      <c r="Y38" s="15">
        <v>7750450</v>
      </c>
      <c r="Z38" s="256">
        <f t="shared" si="8"/>
        <v>-6196897.7999999998</v>
      </c>
      <c r="AA38" s="256">
        <f t="shared" si="9"/>
        <v>-55151</v>
      </c>
      <c r="AB38" s="474"/>
    </row>
    <row r="39" spans="2:28" ht="15" customHeight="1" x14ac:dyDescent="0.3">
      <c r="B39" s="18">
        <v>21</v>
      </c>
      <c r="C39" s="260">
        <f t="shared" si="6"/>
        <v>45919</v>
      </c>
      <c r="D39" s="20"/>
      <c r="E39" s="20"/>
      <c r="F39" s="20"/>
      <c r="G39" s="20">
        <v>12000</v>
      </c>
      <c r="H39" s="20">
        <v>27155</v>
      </c>
      <c r="I39" s="20">
        <v>9756</v>
      </c>
      <c r="J39" s="20">
        <v>12807</v>
      </c>
      <c r="K39" s="20">
        <v>10500</v>
      </c>
      <c r="L39" s="20">
        <v>11709</v>
      </c>
      <c r="M39" s="20">
        <v>15146</v>
      </c>
      <c r="N39" s="20">
        <v>28796</v>
      </c>
      <c r="O39" s="20">
        <v>14342</v>
      </c>
      <c r="P39" s="20">
        <v>15186</v>
      </c>
      <c r="Q39" s="20">
        <v>82703</v>
      </c>
      <c r="R39" s="20">
        <v>32846</v>
      </c>
      <c r="S39" s="339">
        <v>25770</v>
      </c>
      <c r="T39" s="339">
        <v>25813</v>
      </c>
      <c r="U39" s="334">
        <f>'Mielies-Maize 2025'!J36</f>
        <v>35894</v>
      </c>
      <c r="V39" s="307">
        <f>'Mielies-Maize 2026'!J36</f>
        <v>0</v>
      </c>
      <c r="W39" s="487">
        <f t="shared" si="7"/>
        <v>40605.199999999997</v>
      </c>
      <c r="X39" s="487">
        <f t="shared" si="11"/>
        <v>6237503</v>
      </c>
      <c r="Y39" s="15">
        <v>7750450</v>
      </c>
      <c r="Z39" s="256">
        <f t="shared" si="8"/>
        <v>-6237503</v>
      </c>
      <c r="AA39" s="256">
        <f t="shared" si="9"/>
        <v>-35894</v>
      </c>
      <c r="AB39" s="474"/>
    </row>
    <row r="40" spans="2:28" ht="15.45" customHeight="1" x14ac:dyDescent="0.3">
      <c r="B40" s="18">
        <v>22</v>
      </c>
      <c r="C40" s="260">
        <f t="shared" si="6"/>
        <v>45926</v>
      </c>
      <c r="D40" s="20"/>
      <c r="E40" s="20"/>
      <c r="F40" s="20"/>
      <c r="G40" s="20">
        <v>22000</v>
      </c>
      <c r="H40" s="20">
        <v>14916</v>
      </c>
      <c r="I40" s="20">
        <v>41667</v>
      </c>
      <c r="J40" s="20">
        <v>29932</v>
      </c>
      <c r="K40" s="20">
        <v>35491</v>
      </c>
      <c r="L40" s="20">
        <v>27381</v>
      </c>
      <c r="M40" s="20">
        <v>49621</v>
      </c>
      <c r="N40" s="20">
        <v>76493</v>
      </c>
      <c r="O40" s="20">
        <v>71870</v>
      </c>
      <c r="P40" s="20">
        <v>81393</v>
      </c>
      <c r="Q40" s="20">
        <v>4596</v>
      </c>
      <c r="R40" s="20">
        <v>79530</v>
      </c>
      <c r="S40" s="339">
        <v>60212</v>
      </c>
      <c r="T40" s="339">
        <v>36305</v>
      </c>
      <c r="U40" s="334">
        <f>'Mielies-Maize 2025'!J37</f>
        <v>44516</v>
      </c>
      <c r="V40" s="307">
        <f>'Mielies-Maize 2026'!J37</f>
        <v>0</v>
      </c>
      <c r="W40" s="487">
        <f t="shared" si="7"/>
        <v>45031.8</v>
      </c>
      <c r="X40" s="487">
        <f t="shared" si="11"/>
        <v>6282534.7999999998</v>
      </c>
      <c r="Y40" s="15">
        <v>7750450</v>
      </c>
      <c r="Z40" s="256">
        <f t="shared" si="8"/>
        <v>-6282534.7999999998</v>
      </c>
      <c r="AA40" s="256">
        <f t="shared" si="9"/>
        <v>-44516</v>
      </c>
      <c r="AB40" s="474"/>
    </row>
    <row r="41" spans="2:28" ht="15" customHeight="1" x14ac:dyDescent="0.3">
      <c r="B41" s="18">
        <v>23</v>
      </c>
      <c r="C41" s="260">
        <f t="shared" si="6"/>
        <v>45933</v>
      </c>
      <c r="D41" s="20"/>
      <c r="E41" s="20"/>
      <c r="F41" s="20"/>
      <c r="G41" s="20">
        <v>10000</v>
      </c>
      <c r="H41" s="20">
        <v>12616</v>
      </c>
      <c r="I41" s="20">
        <v>10571</v>
      </c>
      <c r="J41" s="20">
        <v>3273</v>
      </c>
      <c r="K41" s="20">
        <v>10255</v>
      </c>
      <c r="L41" s="20">
        <v>9868</v>
      </c>
      <c r="M41" s="20">
        <v>11482</v>
      </c>
      <c r="N41" s="20">
        <v>12227</v>
      </c>
      <c r="O41" s="20">
        <v>11417</v>
      </c>
      <c r="P41" s="20">
        <v>3791</v>
      </c>
      <c r="Q41" s="20">
        <v>11332</v>
      </c>
      <c r="R41" s="20">
        <v>30610</v>
      </c>
      <c r="S41" s="339">
        <v>27372</v>
      </c>
      <c r="T41" s="339">
        <v>25307</v>
      </c>
      <c r="U41" s="334">
        <f>'Mielies-Maize 2025'!J38</f>
        <v>22188</v>
      </c>
      <c r="V41" s="307">
        <f>'Mielies-Maize 2026'!J38</f>
        <v>0</v>
      </c>
      <c r="W41" s="487">
        <f t="shared" si="7"/>
        <v>23361.8</v>
      </c>
      <c r="X41" s="487">
        <f t="shared" si="11"/>
        <v>6305896.5999999996</v>
      </c>
      <c r="Y41" s="15">
        <v>7750450</v>
      </c>
      <c r="Z41" s="256">
        <f t="shared" si="8"/>
        <v>-6305896.5999999996</v>
      </c>
      <c r="AA41" s="256">
        <f t="shared" si="9"/>
        <v>-22188</v>
      </c>
      <c r="AB41" s="474"/>
    </row>
    <row r="42" spans="2:28" ht="15" customHeight="1" x14ac:dyDescent="0.3">
      <c r="B42" s="18">
        <v>24</v>
      </c>
      <c r="C42" s="260">
        <f t="shared" si="6"/>
        <v>45940</v>
      </c>
      <c r="D42" s="20"/>
      <c r="E42" s="20"/>
      <c r="F42" s="20"/>
      <c r="G42" s="20">
        <v>36000</v>
      </c>
      <c r="H42" s="20">
        <v>9063</v>
      </c>
      <c r="I42" s="20">
        <v>12305</v>
      </c>
      <c r="J42" s="20">
        <v>9728</v>
      </c>
      <c r="K42" s="20">
        <v>9030</v>
      </c>
      <c r="L42" s="20">
        <v>11193</v>
      </c>
      <c r="M42" s="20">
        <v>10293</v>
      </c>
      <c r="N42" s="20">
        <v>14728</v>
      </c>
      <c r="O42" s="20">
        <v>11248</v>
      </c>
      <c r="P42" s="20">
        <v>7732</v>
      </c>
      <c r="Q42" s="20">
        <v>9882</v>
      </c>
      <c r="R42" s="20">
        <v>30353</v>
      </c>
      <c r="S42" s="339">
        <v>24314</v>
      </c>
      <c r="T42" s="339">
        <v>28878</v>
      </c>
      <c r="U42" s="334">
        <f>'Mielies-Maize 2025'!J39</f>
        <v>22860</v>
      </c>
      <c r="V42" s="307">
        <f>'Mielies-Maize 2026'!J39</f>
        <v>0</v>
      </c>
      <c r="W42" s="487">
        <f t="shared" si="7"/>
        <v>23257.4</v>
      </c>
      <c r="X42" s="487">
        <f t="shared" si="11"/>
        <v>6329154</v>
      </c>
      <c r="Y42" s="15">
        <v>7750450</v>
      </c>
      <c r="Z42" s="256">
        <f t="shared" si="8"/>
        <v>-6329154</v>
      </c>
      <c r="AA42" s="256">
        <f t="shared" si="9"/>
        <v>-22860</v>
      </c>
      <c r="AB42" s="474"/>
    </row>
    <row r="43" spans="2:28" ht="15" customHeight="1" x14ac:dyDescent="0.3">
      <c r="B43" s="18">
        <v>25</v>
      </c>
      <c r="C43" s="260">
        <f t="shared" si="6"/>
        <v>45947</v>
      </c>
      <c r="D43" s="20"/>
      <c r="E43" s="20"/>
      <c r="F43" s="20"/>
      <c r="G43" s="20">
        <v>11000</v>
      </c>
      <c r="H43" s="20">
        <v>18247</v>
      </c>
      <c r="I43" s="20">
        <v>11116</v>
      </c>
      <c r="J43" s="20">
        <v>8531</v>
      </c>
      <c r="K43" s="20">
        <v>10692</v>
      </c>
      <c r="L43" s="20">
        <v>5943</v>
      </c>
      <c r="M43" s="20">
        <v>10282</v>
      </c>
      <c r="N43" s="20">
        <v>9284</v>
      </c>
      <c r="O43" s="20">
        <v>10082</v>
      </c>
      <c r="P43" s="20">
        <v>8212</v>
      </c>
      <c r="Q43" s="20">
        <v>12443</v>
      </c>
      <c r="R43" s="20">
        <v>26998</v>
      </c>
      <c r="S43" s="339">
        <v>19519</v>
      </c>
      <c r="T43" s="339">
        <v>23000</v>
      </c>
      <c r="U43" s="334">
        <f>'Mielies-Maize 2025'!J40</f>
        <v>25408</v>
      </c>
      <c r="V43" s="307">
        <f>'Mielies-Maize 2026'!J40</f>
        <v>0</v>
      </c>
      <c r="W43" s="487">
        <f t="shared" si="7"/>
        <v>21473.599999999999</v>
      </c>
      <c r="X43" s="487">
        <f t="shared" si="11"/>
        <v>6350627.5999999996</v>
      </c>
      <c r="Y43" s="15">
        <v>7750450</v>
      </c>
      <c r="Z43" s="256">
        <f t="shared" si="8"/>
        <v>-6350627.5999999996</v>
      </c>
      <c r="AA43" s="256">
        <f t="shared" si="9"/>
        <v>-25408</v>
      </c>
      <c r="AB43" s="474"/>
    </row>
    <row r="44" spans="2:28" ht="15" customHeight="1" x14ac:dyDescent="0.3">
      <c r="B44" s="18">
        <v>26</v>
      </c>
      <c r="C44" s="260">
        <f t="shared" si="6"/>
        <v>45954</v>
      </c>
      <c r="D44" s="20"/>
      <c r="E44" s="20"/>
      <c r="F44" s="20"/>
      <c r="G44" s="20">
        <v>10000</v>
      </c>
      <c r="H44" s="20">
        <v>10868</v>
      </c>
      <c r="I44" s="20">
        <v>31192</v>
      </c>
      <c r="J44" s="20">
        <v>10588</v>
      </c>
      <c r="K44" s="20">
        <v>11544</v>
      </c>
      <c r="L44" s="20">
        <v>19559</v>
      </c>
      <c r="M44" s="20">
        <v>47113</v>
      </c>
      <c r="N44" s="20">
        <v>48703</v>
      </c>
      <c r="O44" s="20">
        <v>56474</v>
      </c>
      <c r="P44" s="20">
        <v>7309</v>
      </c>
      <c r="Q44" s="20">
        <v>47756</v>
      </c>
      <c r="R44" s="20">
        <v>47651</v>
      </c>
      <c r="S44" s="339">
        <v>49780</v>
      </c>
      <c r="T44" s="339">
        <v>32799</v>
      </c>
      <c r="U44" s="334">
        <f>'Mielies-Maize 2025'!J41</f>
        <v>20183</v>
      </c>
      <c r="V44" s="307">
        <f>'Mielies-Maize 2026'!J41</f>
        <v>0</v>
      </c>
      <c r="W44" s="487">
        <f t="shared" si="7"/>
        <v>39633.800000000003</v>
      </c>
      <c r="X44" s="487">
        <f t="shared" si="11"/>
        <v>6390261.3999999994</v>
      </c>
      <c r="Y44" s="15">
        <v>7750450</v>
      </c>
      <c r="Z44" s="256">
        <f t="shared" si="8"/>
        <v>-6390261.3999999994</v>
      </c>
      <c r="AA44" s="256">
        <f t="shared" si="9"/>
        <v>-20183</v>
      </c>
      <c r="AB44" s="474"/>
    </row>
    <row r="45" spans="2:28" ht="15" customHeight="1" x14ac:dyDescent="0.3">
      <c r="B45" s="18">
        <v>27</v>
      </c>
      <c r="C45" s="260">
        <f t="shared" si="6"/>
        <v>45961</v>
      </c>
      <c r="D45" s="20"/>
      <c r="E45" s="20"/>
      <c r="F45" s="20"/>
      <c r="G45" s="20">
        <v>7000</v>
      </c>
      <c r="H45" s="20">
        <v>7436</v>
      </c>
      <c r="I45" s="20">
        <v>7897</v>
      </c>
      <c r="J45" s="20">
        <v>25795</v>
      </c>
      <c r="K45" s="20">
        <v>19670</v>
      </c>
      <c r="L45" s="20">
        <v>5045</v>
      </c>
      <c r="M45" s="20">
        <v>3951</v>
      </c>
      <c r="N45" s="20">
        <v>3132</v>
      </c>
      <c r="O45" s="20">
        <v>2233</v>
      </c>
      <c r="P45" s="20">
        <v>55380</v>
      </c>
      <c r="Q45" s="20">
        <v>8252</v>
      </c>
      <c r="R45" s="20">
        <v>17368</v>
      </c>
      <c r="S45" s="339">
        <v>13420</v>
      </c>
      <c r="T45" s="339">
        <v>19662</v>
      </c>
      <c r="U45" s="334">
        <f>'Mielies-Maize 2025'!J42</f>
        <v>45690</v>
      </c>
      <c r="V45" s="307">
        <f>'Mielies-Maize 2026'!J42</f>
        <v>0</v>
      </c>
      <c r="W45" s="487">
        <f t="shared" si="7"/>
        <v>20878.400000000001</v>
      </c>
      <c r="X45" s="487">
        <f t="shared" si="11"/>
        <v>6411139.7999999998</v>
      </c>
      <c r="Y45" s="15">
        <v>7750450</v>
      </c>
      <c r="Z45" s="256">
        <f t="shared" si="8"/>
        <v>-6411139.7999999998</v>
      </c>
      <c r="AA45" s="256">
        <f t="shared" si="9"/>
        <v>-45690</v>
      </c>
      <c r="AB45" s="474"/>
    </row>
    <row r="46" spans="2:28" ht="15" customHeight="1" x14ac:dyDescent="0.3">
      <c r="B46" s="18">
        <v>28</v>
      </c>
      <c r="C46" s="260">
        <f t="shared" si="6"/>
        <v>45968</v>
      </c>
      <c r="D46" s="20"/>
      <c r="E46" s="20"/>
      <c r="F46" s="20"/>
      <c r="G46" s="20">
        <v>17000</v>
      </c>
      <c r="H46" s="20">
        <v>9920</v>
      </c>
      <c r="I46" s="20">
        <v>7349</v>
      </c>
      <c r="J46" s="20">
        <v>5900</v>
      </c>
      <c r="K46" s="20">
        <v>8805</v>
      </c>
      <c r="L46" s="20">
        <v>3932</v>
      </c>
      <c r="M46" s="20">
        <v>5639</v>
      </c>
      <c r="N46" s="20">
        <v>6314</v>
      </c>
      <c r="O46" s="20">
        <v>4487</v>
      </c>
      <c r="P46" s="20">
        <v>4380</v>
      </c>
      <c r="Q46" s="20">
        <v>12553</v>
      </c>
      <c r="R46" s="20">
        <v>13482</v>
      </c>
      <c r="S46" s="339">
        <v>13023</v>
      </c>
      <c r="T46" s="339">
        <v>16769</v>
      </c>
      <c r="U46" s="334">
        <f>'Mielies-Maize 2025'!J43</f>
        <v>21060</v>
      </c>
      <c r="V46" s="307">
        <f>'Mielies-Maize 2026'!J43</f>
        <v>0</v>
      </c>
      <c r="W46" s="487">
        <f t="shared" si="7"/>
        <v>15377.4</v>
      </c>
      <c r="X46" s="487">
        <f t="shared" si="11"/>
        <v>6426517.2000000002</v>
      </c>
      <c r="Y46" s="15">
        <v>7750450</v>
      </c>
      <c r="Z46" s="256">
        <f t="shared" si="8"/>
        <v>-6426517.2000000002</v>
      </c>
      <c r="AA46" s="256">
        <f t="shared" si="9"/>
        <v>-21060</v>
      </c>
      <c r="AB46" s="474"/>
    </row>
    <row r="47" spans="2:28" ht="14.25" customHeight="1" x14ac:dyDescent="0.3">
      <c r="B47" s="18">
        <v>29</v>
      </c>
      <c r="C47" s="260">
        <f t="shared" si="6"/>
        <v>45975</v>
      </c>
      <c r="D47" s="20"/>
      <c r="E47" s="20"/>
      <c r="F47" s="20"/>
      <c r="G47" s="20">
        <v>10000</v>
      </c>
      <c r="H47" s="20">
        <v>9205</v>
      </c>
      <c r="I47" s="20">
        <v>6182</v>
      </c>
      <c r="J47" s="20">
        <v>5353</v>
      </c>
      <c r="K47" s="20">
        <v>9037</v>
      </c>
      <c r="L47" s="20">
        <v>5677</v>
      </c>
      <c r="M47" s="20">
        <v>4121</v>
      </c>
      <c r="N47" s="20">
        <v>5186</v>
      </c>
      <c r="O47" s="20">
        <v>2835</v>
      </c>
      <c r="P47" s="20">
        <v>3323</v>
      </c>
      <c r="Q47" s="20">
        <v>8965</v>
      </c>
      <c r="R47" s="20">
        <v>15331</v>
      </c>
      <c r="S47" s="339">
        <v>14387</v>
      </c>
      <c r="T47" s="339">
        <v>17328</v>
      </c>
      <c r="U47" s="334">
        <f>'Mielies-Maize 2025'!J44</f>
        <v>19955</v>
      </c>
      <c r="V47" s="307">
        <f>'Mielies-Maize 2026'!J44</f>
        <v>0</v>
      </c>
      <c r="W47" s="487">
        <f t="shared" si="7"/>
        <v>15193.2</v>
      </c>
      <c r="X47" s="487">
        <f t="shared" si="11"/>
        <v>6441710.4000000004</v>
      </c>
      <c r="Y47" s="15">
        <v>7750450</v>
      </c>
      <c r="Z47" s="256">
        <f t="shared" si="8"/>
        <v>-6441710.4000000004</v>
      </c>
      <c r="AA47" s="256">
        <f t="shared" si="9"/>
        <v>-19955</v>
      </c>
      <c r="AB47" s="474"/>
    </row>
    <row r="48" spans="2:28" ht="15" customHeight="1" x14ac:dyDescent="0.3">
      <c r="B48" s="18">
        <v>30</v>
      </c>
      <c r="C48" s="260">
        <f t="shared" si="6"/>
        <v>45982</v>
      </c>
      <c r="D48" s="20"/>
      <c r="E48" s="20"/>
      <c r="F48" s="20"/>
      <c r="G48" s="20">
        <v>6000</v>
      </c>
      <c r="H48" s="20">
        <v>9870</v>
      </c>
      <c r="I48" s="20">
        <v>8877</v>
      </c>
      <c r="J48" s="20">
        <v>6223</v>
      </c>
      <c r="K48" s="20">
        <v>5830</v>
      </c>
      <c r="L48" s="20">
        <v>31000</v>
      </c>
      <c r="M48" s="20">
        <v>52278</v>
      </c>
      <c r="N48" s="20">
        <v>8660</v>
      </c>
      <c r="O48" s="20">
        <v>1962</v>
      </c>
      <c r="P48" s="20">
        <v>2240</v>
      </c>
      <c r="Q48" s="20">
        <v>53458</v>
      </c>
      <c r="R48" s="20">
        <v>32008</v>
      </c>
      <c r="S48" s="339">
        <v>44364</v>
      </c>
      <c r="T48" s="339">
        <v>17442</v>
      </c>
      <c r="U48" s="334">
        <f>'Mielies-Maize 2025'!J45</f>
        <v>21981</v>
      </c>
      <c r="V48" s="307">
        <f>'Mielies-Maize 2026'!J45</f>
        <v>0</v>
      </c>
      <c r="W48" s="487">
        <f t="shared" si="7"/>
        <v>33850.6</v>
      </c>
      <c r="X48" s="487">
        <f t="shared" si="11"/>
        <v>6475561</v>
      </c>
      <c r="Y48" s="15">
        <v>7750450</v>
      </c>
      <c r="Z48" s="256">
        <f t="shared" si="8"/>
        <v>-6475561</v>
      </c>
      <c r="AA48" s="256">
        <f t="shared" si="9"/>
        <v>-21981</v>
      </c>
      <c r="AB48" s="474"/>
    </row>
    <row r="49" spans="2:28" ht="15" customHeight="1" x14ac:dyDescent="0.3">
      <c r="B49" s="18">
        <v>31</v>
      </c>
      <c r="C49" s="260">
        <f t="shared" si="6"/>
        <v>45989</v>
      </c>
      <c r="D49" s="20"/>
      <c r="E49" s="20"/>
      <c r="F49" s="20"/>
      <c r="G49" s="20">
        <v>5000</v>
      </c>
      <c r="H49" s="20">
        <v>8679</v>
      </c>
      <c r="I49" s="20">
        <v>16965</v>
      </c>
      <c r="J49" s="20">
        <v>20496</v>
      </c>
      <c r="K49" s="20">
        <v>19312</v>
      </c>
      <c r="L49" s="20">
        <v>5688</v>
      </c>
      <c r="M49" s="20">
        <v>3874</v>
      </c>
      <c r="N49" s="20">
        <v>34676</v>
      </c>
      <c r="O49" s="20">
        <v>28629</v>
      </c>
      <c r="P49" s="20">
        <v>41130</v>
      </c>
      <c r="Q49" s="20">
        <v>2130</v>
      </c>
      <c r="R49" s="20">
        <v>6274</v>
      </c>
      <c r="S49" s="339">
        <v>18905</v>
      </c>
      <c r="T49" s="339">
        <v>33021</v>
      </c>
      <c r="U49" s="334">
        <f>'Mielies-Maize 2025'!J46</f>
        <v>32676</v>
      </c>
      <c r="V49" s="307">
        <f>'Mielies-Maize 2026'!J46</f>
        <v>0</v>
      </c>
      <c r="W49" s="487">
        <f t="shared" si="7"/>
        <v>18601.2</v>
      </c>
      <c r="X49" s="487">
        <f t="shared" si="11"/>
        <v>6494162.2000000002</v>
      </c>
      <c r="Y49" s="15">
        <v>7750450</v>
      </c>
      <c r="Z49" s="256">
        <f t="shared" si="8"/>
        <v>-6494162.2000000002</v>
      </c>
      <c r="AA49" s="256">
        <f t="shared" si="9"/>
        <v>-32676</v>
      </c>
      <c r="AB49" s="474"/>
    </row>
    <row r="50" spans="2:28" ht="15" customHeight="1" x14ac:dyDescent="0.3">
      <c r="B50" s="18">
        <v>32</v>
      </c>
      <c r="C50" s="260">
        <f t="shared" si="6"/>
        <v>45996</v>
      </c>
      <c r="D50" s="20"/>
      <c r="E50" s="20"/>
      <c r="F50" s="20"/>
      <c r="G50" s="20">
        <v>21000</v>
      </c>
      <c r="H50" s="20">
        <v>4596</v>
      </c>
      <c r="I50" s="20">
        <v>8626</v>
      </c>
      <c r="J50" s="20">
        <v>6887</v>
      </c>
      <c r="K50" s="20">
        <v>6538</v>
      </c>
      <c r="L50" s="20">
        <v>0</v>
      </c>
      <c r="M50" s="20">
        <v>4339</v>
      </c>
      <c r="N50" s="20">
        <v>5097</v>
      </c>
      <c r="O50" s="20">
        <v>1811</v>
      </c>
      <c r="P50" s="20">
        <v>3754</v>
      </c>
      <c r="Q50" s="20">
        <v>10338</v>
      </c>
      <c r="R50" s="20">
        <v>8093</v>
      </c>
      <c r="S50" s="339">
        <v>15594</v>
      </c>
      <c r="T50" s="339">
        <v>18784</v>
      </c>
      <c r="U50" s="334">
        <f>'Mielies-Maize 2025'!J47</f>
        <v>22668</v>
      </c>
      <c r="V50" s="307">
        <f>'Mielies-Maize 2026'!J47</f>
        <v>0</v>
      </c>
      <c r="W50" s="487">
        <f t="shared" si="7"/>
        <v>15095.4</v>
      </c>
      <c r="X50" s="487">
        <f t="shared" si="11"/>
        <v>6509257.6000000006</v>
      </c>
      <c r="Y50" s="15">
        <v>7750450</v>
      </c>
      <c r="Z50" s="256">
        <f t="shared" si="8"/>
        <v>-6509257.6000000006</v>
      </c>
      <c r="AA50" s="256">
        <f t="shared" si="9"/>
        <v>-22668</v>
      </c>
      <c r="AB50" s="474"/>
    </row>
    <row r="51" spans="2:28" ht="15" customHeight="1" x14ac:dyDescent="0.3">
      <c r="B51" s="18">
        <v>33</v>
      </c>
      <c r="C51" s="260">
        <f t="shared" si="6"/>
        <v>46003</v>
      </c>
      <c r="D51" s="41"/>
      <c r="E51" s="20"/>
      <c r="F51" s="20"/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5186</v>
      </c>
      <c r="O51" s="20">
        <v>1750</v>
      </c>
      <c r="P51" s="20">
        <v>4481</v>
      </c>
      <c r="Q51" s="20">
        <v>8648</v>
      </c>
      <c r="R51" s="20">
        <v>7226</v>
      </c>
      <c r="S51" s="339">
        <v>19670</v>
      </c>
      <c r="T51" s="339">
        <v>21053</v>
      </c>
      <c r="U51" s="334">
        <f>'Mielies-Maize 2025'!J48</f>
        <v>23519</v>
      </c>
      <c r="V51" s="307">
        <f>'Mielies-Maize 2026'!J48</f>
        <v>0</v>
      </c>
      <c r="W51" s="487">
        <f t="shared" si="7"/>
        <v>16023.2</v>
      </c>
      <c r="X51" s="487">
        <f t="shared" si="11"/>
        <v>6525280.8000000007</v>
      </c>
      <c r="Y51" s="15">
        <v>7750450</v>
      </c>
      <c r="Z51" s="256">
        <f t="shared" si="8"/>
        <v>-6525280.8000000007</v>
      </c>
      <c r="AA51" s="256">
        <f t="shared" si="9"/>
        <v>-23519</v>
      </c>
      <c r="AB51" s="474"/>
    </row>
    <row r="52" spans="2:28" ht="15" customHeight="1" x14ac:dyDescent="0.3">
      <c r="B52" s="18">
        <v>34</v>
      </c>
      <c r="C52" s="260">
        <f t="shared" si="6"/>
        <v>46010</v>
      </c>
      <c r="D52" s="41"/>
      <c r="E52" s="20"/>
      <c r="F52" s="20"/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8885</v>
      </c>
      <c r="O52" s="20">
        <v>3748</v>
      </c>
      <c r="P52" s="20">
        <v>4090</v>
      </c>
      <c r="Q52" s="20">
        <v>4847</v>
      </c>
      <c r="R52" s="20">
        <v>5291</v>
      </c>
      <c r="S52" s="339">
        <v>12340</v>
      </c>
      <c r="T52" s="339">
        <v>14830</v>
      </c>
      <c r="U52" s="334">
        <f>'Mielies-Maize 2025'!J49</f>
        <v>19562</v>
      </c>
      <c r="V52" s="307">
        <f>'Mielies-Maize 2026'!J49</f>
        <v>0</v>
      </c>
      <c r="W52" s="487">
        <f t="shared" si="7"/>
        <v>11374</v>
      </c>
      <c r="X52" s="487">
        <f t="shared" si="11"/>
        <v>6536654.8000000007</v>
      </c>
      <c r="Y52" s="15">
        <v>7750450</v>
      </c>
      <c r="Z52" s="256">
        <f t="shared" si="8"/>
        <v>-6536654.8000000007</v>
      </c>
      <c r="AA52" s="256">
        <f t="shared" si="9"/>
        <v>-19562</v>
      </c>
      <c r="AB52" s="474"/>
    </row>
    <row r="53" spans="2:28" ht="15" customHeight="1" x14ac:dyDescent="0.3">
      <c r="B53" s="18">
        <v>35</v>
      </c>
      <c r="C53" s="260">
        <f t="shared" si="6"/>
        <v>46017</v>
      </c>
      <c r="D53" s="41"/>
      <c r="E53" s="20"/>
      <c r="F53" s="20"/>
      <c r="G53" s="20">
        <v>6000</v>
      </c>
      <c r="H53" s="20">
        <v>32560</v>
      </c>
      <c r="I53" s="20">
        <v>22245</v>
      </c>
      <c r="J53" s="20">
        <v>29426</v>
      </c>
      <c r="K53" s="20">
        <v>25182</v>
      </c>
      <c r="L53" s="20">
        <v>22399</v>
      </c>
      <c r="M53" s="20">
        <v>35081</v>
      </c>
      <c r="N53" s="20">
        <v>11717</v>
      </c>
      <c r="O53" s="20">
        <v>15841</v>
      </c>
      <c r="P53" s="20">
        <v>38492</v>
      </c>
      <c r="Q53" s="20">
        <v>42167</v>
      </c>
      <c r="R53" s="20">
        <v>13193</v>
      </c>
      <c r="S53" s="339">
        <v>20236</v>
      </c>
      <c r="T53" s="339">
        <v>10646</v>
      </c>
      <c r="U53" s="334">
        <f>'Mielies-Maize 2025'!J50</f>
        <v>14141</v>
      </c>
      <c r="V53" s="307">
        <f>'Mielies-Maize 2026'!J50</f>
        <v>0</v>
      </c>
      <c r="W53" s="487">
        <f t="shared" si="7"/>
        <v>20076.599999999999</v>
      </c>
      <c r="X53" s="487">
        <f t="shared" si="11"/>
        <v>6556731.4000000004</v>
      </c>
      <c r="Y53" s="15">
        <v>7750450</v>
      </c>
      <c r="Z53" s="256">
        <f t="shared" si="8"/>
        <v>-6556731.4000000004</v>
      </c>
      <c r="AA53" s="256">
        <f t="shared" si="9"/>
        <v>-14141</v>
      </c>
      <c r="AB53" s="474"/>
    </row>
    <row r="54" spans="2:28" ht="15" customHeight="1" x14ac:dyDescent="0.3">
      <c r="B54" s="18">
        <v>36</v>
      </c>
      <c r="C54" s="260">
        <f t="shared" si="6"/>
        <v>46024</v>
      </c>
      <c r="D54" s="41"/>
      <c r="E54" s="20"/>
      <c r="F54" s="20"/>
      <c r="G54" s="20">
        <v>7000</v>
      </c>
      <c r="H54" s="20">
        <v>1668</v>
      </c>
      <c r="I54" s="20">
        <v>4517</v>
      </c>
      <c r="J54" s="20">
        <v>1550</v>
      </c>
      <c r="K54" s="20">
        <v>1352</v>
      </c>
      <c r="L54" s="20">
        <v>1653</v>
      </c>
      <c r="M54" s="20">
        <v>1742</v>
      </c>
      <c r="N54" s="20">
        <v>329</v>
      </c>
      <c r="O54" s="20">
        <v>306</v>
      </c>
      <c r="P54" s="20">
        <v>306</v>
      </c>
      <c r="Q54" s="20">
        <v>4169</v>
      </c>
      <c r="R54" s="20">
        <v>2999</v>
      </c>
      <c r="S54" s="339">
        <v>7725</v>
      </c>
      <c r="T54" s="339">
        <v>5682</v>
      </c>
      <c r="U54" s="334">
        <f>'Mielies-Maize 2025'!J51</f>
        <v>5657</v>
      </c>
      <c r="V54" s="307">
        <f>'Mielies-Maize 2026'!J51</f>
        <v>0</v>
      </c>
      <c r="W54" s="487">
        <f t="shared" si="7"/>
        <v>5246.4</v>
      </c>
      <c r="X54" s="487">
        <f t="shared" si="11"/>
        <v>6561977.8000000007</v>
      </c>
      <c r="Y54" s="15">
        <v>7750450</v>
      </c>
      <c r="Z54" s="256">
        <f t="shared" si="8"/>
        <v>-6561977.8000000007</v>
      </c>
      <c r="AA54" s="256">
        <f t="shared" si="9"/>
        <v>-5657</v>
      </c>
      <c r="AB54" s="474"/>
    </row>
    <row r="55" spans="2:28" ht="15" customHeight="1" x14ac:dyDescent="0.3">
      <c r="B55" s="18">
        <v>37</v>
      </c>
      <c r="C55" s="260">
        <f t="shared" si="6"/>
        <v>46031</v>
      </c>
      <c r="D55" s="41"/>
      <c r="E55" s="20"/>
      <c r="F55" s="20"/>
      <c r="G55" s="20">
        <v>6000</v>
      </c>
      <c r="H55" s="20">
        <v>4009</v>
      </c>
      <c r="I55" s="20">
        <v>3887</v>
      </c>
      <c r="J55" s="20">
        <v>4829</v>
      </c>
      <c r="K55" s="20">
        <v>3195</v>
      </c>
      <c r="L55" s="20">
        <v>6497</v>
      </c>
      <c r="M55" s="20">
        <v>2256</v>
      </c>
      <c r="N55" s="20">
        <v>2710</v>
      </c>
      <c r="O55" s="20">
        <v>3699</v>
      </c>
      <c r="P55" s="20">
        <v>1791</v>
      </c>
      <c r="Q55" s="20">
        <v>5640</v>
      </c>
      <c r="R55" s="20">
        <v>8355</v>
      </c>
      <c r="S55" s="339">
        <v>13856</v>
      </c>
      <c r="T55" s="339">
        <v>9668</v>
      </c>
      <c r="U55" s="334">
        <f>'Mielies-Maize 2025'!J52</f>
        <v>18335</v>
      </c>
      <c r="V55" s="307">
        <f>'Mielies-Maize 2026'!J52</f>
        <v>0</v>
      </c>
      <c r="W55" s="487">
        <f t="shared" si="7"/>
        <v>11170.8</v>
      </c>
      <c r="X55" s="487">
        <f t="shared" si="11"/>
        <v>6573148.6000000006</v>
      </c>
      <c r="Y55" s="15">
        <v>7750450</v>
      </c>
      <c r="Z55" s="256">
        <f t="shared" si="8"/>
        <v>-6573148.6000000006</v>
      </c>
      <c r="AA55" s="256">
        <f t="shared" si="9"/>
        <v>-18335</v>
      </c>
      <c r="AB55" s="474"/>
    </row>
    <row r="56" spans="2:28" ht="15" customHeight="1" x14ac:dyDescent="0.3">
      <c r="B56" s="18">
        <v>38</v>
      </c>
      <c r="C56" s="260">
        <f t="shared" si="6"/>
        <v>46038</v>
      </c>
      <c r="D56" s="20"/>
      <c r="E56" s="20"/>
      <c r="F56" s="20"/>
      <c r="G56" s="20">
        <v>10000</v>
      </c>
      <c r="H56" s="20">
        <v>3727</v>
      </c>
      <c r="I56" s="20">
        <v>6891</v>
      </c>
      <c r="J56" s="20">
        <v>7986</v>
      </c>
      <c r="K56" s="20">
        <v>3619</v>
      </c>
      <c r="L56" s="20">
        <v>11270</v>
      </c>
      <c r="M56" s="20">
        <v>2523</v>
      </c>
      <c r="N56" s="20">
        <v>6404</v>
      </c>
      <c r="O56" s="20">
        <v>5274</v>
      </c>
      <c r="P56" s="20">
        <v>4215</v>
      </c>
      <c r="Q56" s="20">
        <v>6741</v>
      </c>
      <c r="R56" s="20">
        <v>11930</v>
      </c>
      <c r="S56" s="339">
        <v>13437</v>
      </c>
      <c r="T56" s="339">
        <v>13742</v>
      </c>
      <c r="U56" s="334">
        <f>'Mielies-Maize 2025'!J53</f>
        <v>28391</v>
      </c>
      <c r="V56" s="307">
        <f>'Mielies-Maize 2026'!J53</f>
        <v>0</v>
      </c>
      <c r="W56" s="487">
        <f t="shared" si="7"/>
        <v>14848.2</v>
      </c>
      <c r="X56" s="487">
        <f t="shared" si="11"/>
        <v>6587996.8000000007</v>
      </c>
      <c r="Y56" s="15">
        <v>7750450</v>
      </c>
      <c r="Z56" s="256">
        <f t="shared" si="8"/>
        <v>-6587996.8000000007</v>
      </c>
      <c r="AA56" s="256">
        <f t="shared" si="9"/>
        <v>-28391</v>
      </c>
      <c r="AB56" s="474"/>
    </row>
    <row r="57" spans="2:28" ht="15" customHeight="1" x14ac:dyDescent="0.3">
      <c r="B57" s="18">
        <v>39</v>
      </c>
      <c r="C57" s="260">
        <f t="shared" si="6"/>
        <v>46045</v>
      </c>
      <c r="D57" s="20"/>
      <c r="E57" s="20"/>
      <c r="F57" s="20"/>
      <c r="G57" s="20">
        <v>6000</v>
      </c>
      <c r="H57" s="20">
        <v>3341</v>
      </c>
      <c r="I57" s="20">
        <v>17148</v>
      </c>
      <c r="J57" s="20">
        <v>8787</v>
      </c>
      <c r="K57" s="20">
        <v>6187</v>
      </c>
      <c r="L57" s="20">
        <v>32119</v>
      </c>
      <c r="M57" s="20">
        <v>26585</v>
      </c>
      <c r="N57" s="20">
        <v>35728</v>
      </c>
      <c r="O57" s="20">
        <v>5176</v>
      </c>
      <c r="P57" s="20">
        <v>6661</v>
      </c>
      <c r="Q57" s="20">
        <v>46417</v>
      </c>
      <c r="R57" s="20">
        <v>37580</v>
      </c>
      <c r="S57" s="339">
        <v>36083</v>
      </c>
      <c r="T57" s="339">
        <v>13035</v>
      </c>
      <c r="U57" s="334">
        <f>'Mielies-Maize 2025'!J54</f>
        <v>28718</v>
      </c>
      <c r="V57" s="307">
        <f>'Mielies-Maize 2026'!J54</f>
        <v>0</v>
      </c>
      <c r="W57" s="487">
        <f t="shared" si="7"/>
        <v>32366.6</v>
      </c>
      <c r="X57" s="487">
        <f t="shared" si="11"/>
        <v>6620363.4000000004</v>
      </c>
      <c r="Y57" s="15">
        <v>7750450</v>
      </c>
      <c r="Z57" s="256">
        <f t="shared" si="8"/>
        <v>-6620363.4000000004</v>
      </c>
      <c r="AA57" s="256">
        <f t="shared" si="9"/>
        <v>-28718</v>
      </c>
      <c r="AB57" s="474"/>
    </row>
    <row r="58" spans="2:28" ht="15" customHeight="1" x14ac:dyDescent="0.3">
      <c r="B58" s="18">
        <v>40</v>
      </c>
      <c r="C58" s="260">
        <f t="shared" si="6"/>
        <v>46052</v>
      </c>
      <c r="D58" s="20"/>
      <c r="E58" s="20"/>
      <c r="F58" s="20"/>
      <c r="G58" s="20">
        <v>4000</v>
      </c>
      <c r="H58" s="20">
        <v>6501</v>
      </c>
      <c r="I58" s="20">
        <v>21579</v>
      </c>
      <c r="J58" s="20">
        <v>21557</v>
      </c>
      <c r="K58" s="20">
        <v>32619</v>
      </c>
      <c r="L58" s="20">
        <v>4929</v>
      </c>
      <c r="M58" s="20">
        <v>1418</v>
      </c>
      <c r="N58" s="20">
        <v>2804</v>
      </c>
      <c r="O58" s="20">
        <v>42759</v>
      </c>
      <c r="P58" s="20">
        <v>38393</v>
      </c>
      <c r="Q58" s="20">
        <v>8378</v>
      </c>
      <c r="R58" s="20">
        <v>21704</v>
      </c>
      <c r="S58" s="339">
        <v>26222</v>
      </c>
      <c r="T58" s="339">
        <v>36373</v>
      </c>
      <c r="U58" s="334">
        <f>'Mielies-Maize 2025'!J55</f>
        <v>46868</v>
      </c>
      <c r="V58" s="307">
        <f>'Mielies-Maize 2026'!J55</f>
        <v>0</v>
      </c>
      <c r="W58" s="487">
        <f t="shared" si="7"/>
        <v>27909</v>
      </c>
      <c r="X58" s="487">
        <f t="shared" si="11"/>
        <v>6648272.4000000004</v>
      </c>
      <c r="Y58" s="15">
        <v>7750450</v>
      </c>
      <c r="Z58" s="256">
        <f t="shared" si="8"/>
        <v>-6648272.4000000004</v>
      </c>
      <c r="AA58" s="256">
        <f t="shared" si="9"/>
        <v>-46868</v>
      </c>
      <c r="AB58" s="474"/>
    </row>
    <row r="59" spans="2:28" ht="15" customHeight="1" x14ac:dyDescent="0.3">
      <c r="B59" s="18">
        <v>41</v>
      </c>
      <c r="C59" s="260">
        <f t="shared" si="6"/>
        <v>46059</v>
      </c>
      <c r="D59" s="20"/>
      <c r="E59" s="20"/>
      <c r="F59" s="20"/>
      <c r="G59" s="20">
        <v>3000</v>
      </c>
      <c r="H59" s="20">
        <v>10359</v>
      </c>
      <c r="I59" s="20">
        <v>14254</v>
      </c>
      <c r="J59" s="20">
        <v>13574</v>
      </c>
      <c r="K59" s="20">
        <v>13978</v>
      </c>
      <c r="L59" s="20">
        <v>9061</v>
      </c>
      <c r="M59" s="20">
        <v>6038</v>
      </c>
      <c r="N59" s="20">
        <v>7564</v>
      </c>
      <c r="O59" s="20">
        <v>8985</v>
      </c>
      <c r="P59" s="20">
        <v>3239</v>
      </c>
      <c r="Q59" s="20">
        <v>20129</v>
      </c>
      <c r="R59" s="20">
        <v>21661</v>
      </c>
      <c r="S59" s="339">
        <v>28913</v>
      </c>
      <c r="T59" s="339">
        <v>31762</v>
      </c>
      <c r="U59" s="334">
        <f>'Mielies-Maize 2025'!J56</f>
        <v>55322</v>
      </c>
      <c r="V59" s="307">
        <f>'Mielies-Maize 2026'!J56</f>
        <v>0</v>
      </c>
      <c r="W59" s="487">
        <f t="shared" si="7"/>
        <v>31557.4</v>
      </c>
      <c r="X59" s="487">
        <f t="shared" si="11"/>
        <v>6679829.8000000007</v>
      </c>
      <c r="Y59" s="15">
        <v>7750450</v>
      </c>
      <c r="Z59" s="256">
        <f t="shared" si="8"/>
        <v>-6679829.8000000007</v>
      </c>
      <c r="AA59" s="256">
        <f t="shared" si="9"/>
        <v>-55322</v>
      </c>
      <c r="AB59" s="474"/>
    </row>
    <row r="60" spans="2:28" ht="15" customHeight="1" x14ac:dyDescent="0.3">
      <c r="B60" s="18">
        <v>42</v>
      </c>
      <c r="C60" s="260">
        <f t="shared" si="6"/>
        <v>46066</v>
      </c>
      <c r="D60" s="20"/>
      <c r="E60" s="20"/>
      <c r="F60" s="20"/>
      <c r="G60" s="20">
        <v>21000</v>
      </c>
      <c r="H60" s="20">
        <v>13742</v>
      </c>
      <c r="I60" s="20">
        <v>16670</v>
      </c>
      <c r="J60" s="20">
        <v>23605</v>
      </c>
      <c r="K60" s="20">
        <v>12098</v>
      </c>
      <c r="L60" s="20">
        <v>10858</v>
      </c>
      <c r="M60" s="20">
        <v>6287</v>
      </c>
      <c r="N60" s="20">
        <v>5453</v>
      </c>
      <c r="O60" s="20">
        <v>6787</v>
      </c>
      <c r="P60" s="20">
        <v>5682</v>
      </c>
      <c r="Q60" s="20">
        <v>26443</v>
      </c>
      <c r="R60" s="20">
        <v>13402</v>
      </c>
      <c r="S60" s="339">
        <v>30649</v>
      </c>
      <c r="T60" s="339">
        <v>28394</v>
      </c>
      <c r="U60" s="334">
        <f>'Mielies-Maize 2025'!J57</f>
        <v>57802</v>
      </c>
      <c r="V60" s="307">
        <f>'Mielies-Maize 2026'!J57</f>
        <v>0</v>
      </c>
      <c r="W60" s="487">
        <f t="shared" si="7"/>
        <v>31338</v>
      </c>
      <c r="X60" s="487">
        <f t="shared" si="11"/>
        <v>6711167.8000000007</v>
      </c>
      <c r="Y60" s="15">
        <v>7750450</v>
      </c>
      <c r="Z60" s="256">
        <f t="shared" si="8"/>
        <v>-6711167.8000000007</v>
      </c>
      <c r="AA60" s="256">
        <f t="shared" si="9"/>
        <v>-57802</v>
      </c>
      <c r="AB60" s="474"/>
    </row>
    <row r="61" spans="2:28" ht="15" customHeight="1" x14ac:dyDescent="0.3">
      <c r="B61" s="18">
        <v>43</v>
      </c>
      <c r="C61" s="260">
        <f t="shared" si="6"/>
        <v>46073</v>
      </c>
      <c r="D61" s="20"/>
      <c r="E61" s="20"/>
      <c r="F61" s="20"/>
      <c r="G61" s="20">
        <v>14000</v>
      </c>
      <c r="H61" s="20">
        <v>27459</v>
      </c>
      <c r="I61" s="20">
        <v>23609</v>
      </c>
      <c r="J61" s="20">
        <v>23487</v>
      </c>
      <c r="K61" s="20">
        <v>12069</v>
      </c>
      <c r="L61" s="20">
        <v>33195</v>
      </c>
      <c r="M61" s="20">
        <v>39174</v>
      </c>
      <c r="N61" s="20">
        <v>30935</v>
      </c>
      <c r="O61" s="20">
        <v>15342</v>
      </c>
      <c r="P61" s="20">
        <v>10151</v>
      </c>
      <c r="Q61" s="20">
        <v>68582</v>
      </c>
      <c r="R61" s="20">
        <v>36640</v>
      </c>
      <c r="S61" s="339">
        <v>46085</v>
      </c>
      <c r="T61" s="339">
        <v>12746</v>
      </c>
      <c r="U61" s="334">
        <f>'Mielies-Maize 2025'!J58</f>
        <v>45925</v>
      </c>
      <c r="V61" s="307">
        <f>'Mielies-Maize 2026'!J58</f>
        <v>0</v>
      </c>
      <c r="W61" s="487">
        <f t="shared" si="7"/>
        <v>41995.6</v>
      </c>
      <c r="X61" s="487">
        <f t="shared" si="11"/>
        <v>6753163.4000000004</v>
      </c>
      <c r="Y61" s="15">
        <v>7750450</v>
      </c>
      <c r="Z61" s="256">
        <f t="shared" si="8"/>
        <v>-6753163.4000000004</v>
      </c>
      <c r="AA61" s="256">
        <f t="shared" si="9"/>
        <v>-45925</v>
      </c>
      <c r="AB61" s="474"/>
    </row>
    <row r="62" spans="2:28" ht="15" customHeight="1" x14ac:dyDescent="0.3">
      <c r="B62" s="18">
        <v>44</v>
      </c>
      <c r="C62" s="260">
        <f t="shared" si="6"/>
        <v>46080</v>
      </c>
      <c r="D62" s="20"/>
      <c r="E62" s="20"/>
      <c r="F62" s="20"/>
      <c r="G62" s="20">
        <v>9000</v>
      </c>
      <c r="H62" s="20">
        <v>26796</v>
      </c>
      <c r="I62" s="20">
        <v>24811</v>
      </c>
      <c r="J62" s="20">
        <v>47446</v>
      </c>
      <c r="K62" s="20">
        <v>40215</v>
      </c>
      <c r="L62" s="20">
        <v>4855</v>
      </c>
      <c r="M62" s="20">
        <v>1051</v>
      </c>
      <c r="N62" s="20">
        <v>1372</v>
      </c>
      <c r="O62" s="20">
        <v>42049</v>
      </c>
      <c r="P62" s="20">
        <v>41746</v>
      </c>
      <c r="Q62" s="20">
        <v>8745</v>
      </c>
      <c r="R62" s="20">
        <v>18690</v>
      </c>
      <c r="S62" s="339">
        <v>26867</v>
      </c>
      <c r="T62" s="339">
        <v>23642</v>
      </c>
      <c r="U62" s="334">
        <f>'Mielies-Maize 2025'!J59</f>
        <v>60452</v>
      </c>
      <c r="V62" s="307">
        <f>'Mielies-Maize 2026'!J59</f>
        <v>0</v>
      </c>
      <c r="W62" s="487">
        <f t="shared" si="7"/>
        <v>27679.200000000001</v>
      </c>
      <c r="X62" s="487">
        <f t="shared" si="11"/>
        <v>6780842.6000000006</v>
      </c>
      <c r="Y62" s="15">
        <v>7750450</v>
      </c>
      <c r="Z62" s="256">
        <f t="shared" si="8"/>
        <v>-6780842.6000000006</v>
      </c>
      <c r="AA62" s="256">
        <f t="shared" si="9"/>
        <v>-60452</v>
      </c>
      <c r="AB62" s="474"/>
    </row>
    <row r="63" spans="2:28" ht="15" customHeight="1" x14ac:dyDescent="0.3">
      <c r="B63" s="18">
        <v>45</v>
      </c>
      <c r="C63" s="260">
        <f t="shared" si="6"/>
        <v>46087</v>
      </c>
      <c r="D63" s="20"/>
      <c r="E63" s="20"/>
      <c r="F63" s="20"/>
      <c r="G63" s="20">
        <v>19000</v>
      </c>
      <c r="H63" s="20">
        <v>36840</v>
      </c>
      <c r="I63" s="20">
        <v>9892</v>
      </c>
      <c r="J63" s="20">
        <v>20915</v>
      </c>
      <c r="K63" s="20">
        <v>12600</v>
      </c>
      <c r="L63" s="20">
        <v>10424</v>
      </c>
      <c r="M63" s="20">
        <v>7988</v>
      </c>
      <c r="N63" s="20">
        <v>6218</v>
      </c>
      <c r="O63" s="20">
        <v>5765</v>
      </c>
      <c r="P63" s="20">
        <v>7876</v>
      </c>
      <c r="Q63" s="20">
        <v>18346</v>
      </c>
      <c r="R63" s="20">
        <v>22481</v>
      </c>
      <c r="S63" s="339">
        <v>28795</v>
      </c>
      <c r="T63" s="339">
        <v>19237</v>
      </c>
      <c r="U63" s="334">
        <f>'Mielies-Maize 2025'!J60</f>
        <v>35743</v>
      </c>
      <c r="V63" s="307">
        <f>'Mielies-Maize 2026'!J60</f>
        <v>0</v>
      </c>
      <c r="W63" s="487">
        <f t="shared" si="7"/>
        <v>24920.400000000001</v>
      </c>
      <c r="X63" s="487">
        <f t="shared" si="11"/>
        <v>6805763.0000000009</v>
      </c>
      <c r="Y63" s="15">
        <v>7750450</v>
      </c>
      <c r="Z63" s="256">
        <f t="shared" si="8"/>
        <v>-6805763.0000000009</v>
      </c>
      <c r="AA63" s="256">
        <f t="shared" si="9"/>
        <v>-35743</v>
      </c>
      <c r="AB63" s="474"/>
    </row>
    <row r="64" spans="2:28" ht="15" customHeight="1" x14ac:dyDescent="0.3">
      <c r="B64" s="18">
        <v>46</v>
      </c>
      <c r="C64" s="260">
        <f t="shared" si="6"/>
        <v>46094</v>
      </c>
      <c r="E64" s="20"/>
      <c r="F64" s="20"/>
      <c r="G64" s="20">
        <v>33000</v>
      </c>
      <c r="H64" s="20">
        <v>35391</v>
      </c>
      <c r="I64" s="20">
        <v>11779</v>
      </c>
      <c r="J64" s="20">
        <v>29975</v>
      </c>
      <c r="K64" s="20">
        <v>21498</v>
      </c>
      <c r="L64" s="20">
        <v>17466</v>
      </c>
      <c r="M64" s="20">
        <v>9412</v>
      </c>
      <c r="N64" s="20">
        <v>4977</v>
      </c>
      <c r="O64" s="20">
        <v>7010</v>
      </c>
      <c r="P64" s="20">
        <v>16682</v>
      </c>
      <c r="Q64" s="20">
        <v>14757</v>
      </c>
      <c r="R64" s="20">
        <v>31801</v>
      </c>
      <c r="S64" s="339">
        <v>39164</v>
      </c>
      <c r="T64" s="339">
        <v>32952</v>
      </c>
      <c r="U64" s="334">
        <f>'Mielies-Maize 2025'!J61</f>
        <v>37440</v>
      </c>
      <c r="V64" s="307">
        <f>'Mielies-Maize 2026'!J61</f>
        <v>0</v>
      </c>
      <c r="W64" s="487">
        <f t="shared" si="7"/>
        <v>31222.799999999999</v>
      </c>
      <c r="X64" s="487">
        <f t="shared" si="11"/>
        <v>6836985.8000000007</v>
      </c>
      <c r="Y64" s="15">
        <v>7750450</v>
      </c>
      <c r="Z64" s="256">
        <f t="shared" si="8"/>
        <v>-6836985.8000000007</v>
      </c>
      <c r="AA64" s="256">
        <f t="shared" si="9"/>
        <v>-37440</v>
      </c>
      <c r="AB64" s="474"/>
    </row>
    <row r="65" spans="2:28" ht="15" customHeight="1" x14ac:dyDescent="0.3">
      <c r="B65" s="18">
        <v>47</v>
      </c>
      <c r="C65" s="260">
        <f t="shared" si="6"/>
        <v>46101</v>
      </c>
      <c r="D65" s="20"/>
      <c r="E65" s="20"/>
      <c r="F65" s="20"/>
      <c r="G65" s="20">
        <v>24000</v>
      </c>
      <c r="H65" s="20">
        <v>56654</v>
      </c>
      <c r="I65" s="20">
        <v>23253</v>
      </c>
      <c r="J65" s="20">
        <v>28053</v>
      </c>
      <c r="K65" s="20">
        <v>18258</v>
      </c>
      <c r="L65" s="20">
        <v>15982</v>
      </c>
      <c r="M65" s="20">
        <v>4102</v>
      </c>
      <c r="N65" s="20">
        <v>7521</v>
      </c>
      <c r="O65" s="20">
        <v>8268</v>
      </c>
      <c r="P65" s="20">
        <v>18448</v>
      </c>
      <c r="Q65" s="20">
        <v>74870</v>
      </c>
      <c r="R65" s="20">
        <v>35220</v>
      </c>
      <c r="S65" s="339">
        <v>58161</v>
      </c>
      <c r="T65" s="339">
        <v>35745</v>
      </c>
      <c r="U65" s="334">
        <f>'Mielies-Maize 2025'!J62</f>
        <v>44175</v>
      </c>
      <c r="V65" s="307">
        <f>'Mielies-Maize 2026'!J62</f>
        <v>0</v>
      </c>
      <c r="W65" s="487">
        <f t="shared" si="7"/>
        <v>49634.2</v>
      </c>
      <c r="X65" s="487">
        <f t="shared" si="11"/>
        <v>6886620.0000000009</v>
      </c>
      <c r="Y65" s="15">
        <v>7750450</v>
      </c>
      <c r="Z65" s="256">
        <f t="shared" si="8"/>
        <v>-6886620.0000000009</v>
      </c>
      <c r="AA65" s="256">
        <f t="shared" si="9"/>
        <v>-44175</v>
      </c>
      <c r="AB65" s="474"/>
    </row>
    <row r="66" spans="2:28" ht="15" customHeight="1" x14ac:dyDescent="0.3">
      <c r="B66" s="18">
        <v>48</v>
      </c>
      <c r="C66" s="260">
        <f t="shared" si="6"/>
        <v>46108</v>
      </c>
      <c r="D66" s="20"/>
      <c r="E66" s="20"/>
      <c r="F66" s="20"/>
      <c r="G66" s="20">
        <v>32000</v>
      </c>
      <c r="H66" s="20">
        <v>30445</v>
      </c>
      <c r="I66" s="20">
        <v>50319</v>
      </c>
      <c r="J66" s="20">
        <v>49480</v>
      </c>
      <c r="K66" s="20">
        <v>68852</v>
      </c>
      <c r="L66" s="20">
        <v>54677</v>
      </c>
      <c r="M66" s="20">
        <v>30391</v>
      </c>
      <c r="N66" s="20">
        <v>44314</v>
      </c>
      <c r="O66" s="20">
        <v>61221</v>
      </c>
      <c r="P66" s="20">
        <v>66459</v>
      </c>
      <c r="Q66" s="20">
        <v>5735</v>
      </c>
      <c r="R66" s="20">
        <v>85657</v>
      </c>
      <c r="S66" s="339">
        <v>74645</v>
      </c>
      <c r="T66" s="339">
        <v>58125</v>
      </c>
      <c r="U66" s="334">
        <f>'Mielies-Maize 2025'!J63</f>
        <v>51604</v>
      </c>
      <c r="V66" s="307">
        <f>'Mielies-Maize 2026'!J63</f>
        <v>0</v>
      </c>
      <c r="W66" s="487">
        <f t="shared" si="7"/>
        <v>55153.2</v>
      </c>
      <c r="X66" s="487">
        <f t="shared" si="11"/>
        <v>6941773.2000000011</v>
      </c>
      <c r="Y66" s="15">
        <v>7750450</v>
      </c>
      <c r="Z66" s="256">
        <f t="shared" si="8"/>
        <v>-6941773.2000000011</v>
      </c>
      <c r="AA66" s="256">
        <f t="shared" si="9"/>
        <v>-51604</v>
      </c>
      <c r="AB66" s="474"/>
    </row>
    <row r="67" spans="2:28" ht="15" customHeight="1" x14ac:dyDescent="0.3">
      <c r="B67" s="18">
        <v>49</v>
      </c>
      <c r="C67" s="260">
        <f t="shared" si="6"/>
        <v>46115</v>
      </c>
      <c r="D67" s="20"/>
      <c r="E67" s="20"/>
      <c r="F67" s="20"/>
      <c r="G67" s="20">
        <v>21000</v>
      </c>
      <c r="H67" s="20">
        <v>26404</v>
      </c>
      <c r="I67" s="20">
        <v>24511</v>
      </c>
      <c r="J67" s="20">
        <v>19256</v>
      </c>
      <c r="K67" s="20">
        <v>13097</v>
      </c>
      <c r="L67" s="20">
        <v>39179</v>
      </c>
      <c r="M67" s="20">
        <v>4779</v>
      </c>
      <c r="N67" s="20">
        <v>20052</v>
      </c>
      <c r="O67" s="20">
        <v>5636</v>
      </c>
      <c r="P67" s="20">
        <v>3700</v>
      </c>
      <c r="Q67" s="20">
        <v>31362</v>
      </c>
      <c r="R67" s="20">
        <v>41051</v>
      </c>
      <c r="S67" s="339">
        <v>59393</v>
      </c>
      <c r="T67" s="339">
        <v>37771</v>
      </c>
      <c r="U67" s="334">
        <f>'Mielies-Maize 2025'!J64</f>
        <v>39953</v>
      </c>
      <c r="V67" s="307">
        <f>'Mielies-Maize 2026'!J64</f>
        <v>0</v>
      </c>
      <c r="W67" s="487">
        <f t="shared" si="7"/>
        <v>41906</v>
      </c>
      <c r="X67" s="487">
        <f t="shared" si="11"/>
        <v>6983679.2000000011</v>
      </c>
      <c r="Y67" s="15">
        <v>7750450</v>
      </c>
      <c r="Z67" s="256">
        <f t="shared" si="8"/>
        <v>-6983679.2000000011</v>
      </c>
      <c r="AA67" s="256">
        <f t="shared" si="9"/>
        <v>-39953</v>
      </c>
      <c r="AB67" s="474"/>
    </row>
    <row r="68" spans="2:28" ht="15" customHeight="1" x14ac:dyDescent="0.3">
      <c r="B68" s="18">
        <v>50</v>
      </c>
      <c r="C68" s="260">
        <f t="shared" si="6"/>
        <v>46122</v>
      </c>
      <c r="D68" s="20"/>
      <c r="E68" s="20"/>
      <c r="F68" s="20"/>
      <c r="G68" s="20">
        <v>53000</v>
      </c>
      <c r="H68" s="20">
        <v>57311</v>
      </c>
      <c r="I68" s="20">
        <v>36503</v>
      </c>
      <c r="J68" s="20">
        <v>25982</v>
      </c>
      <c r="K68" s="20">
        <v>47363</v>
      </c>
      <c r="L68" s="20">
        <v>24428</v>
      </c>
      <c r="M68" s="20">
        <v>10763</v>
      </c>
      <c r="N68" s="20">
        <v>18417</v>
      </c>
      <c r="O68" s="20">
        <v>18102</v>
      </c>
      <c r="P68" s="20">
        <v>27872</v>
      </c>
      <c r="Q68" s="20">
        <v>15072</v>
      </c>
      <c r="R68" s="20">
        <v>50927</v>
      </c>
      <c r="S68" s="339">
        <v>57683</v>
      </c>
      <c r="T68" s="339">
        <v>30245</v>
      </c>
      <c r="U68" s="334">
        <f>'Mielies-Maize 2025'!J65</f>
        <v>62906</v>
      </c>
      <c r="V68" s="307">
        <f>'Mielies-Maize 2026'!J65</f>
        <v>0</v>
      </c>
      <c r="W68" s="487">
        <f t="shared" si="7"/>
        <v>43366.6</v>
      </c>
      <c r="X68" s="487">
        <f t="shared" si="11"/>
        <v>7027045.8000000007</v>
      </c>
      <c r="Y68" s="15">
        <v>7750450</v>
      </c>
      <c r="Z68" s="256">
        <f t="shared" si="8"/>
        <v>-7027045.8000000007</v>
      </c>
      <c r="AA68" s="256">
        <f t="shared" si="9"/>
        <v>-62906</v>
      </c>
      <c r="AB68" s="474"/>
    </row>
    <row r="69" spans="2:28" ht="15" customHeight="1" x14ac:dyDescent="0.3">
      <c r="B69" s="18">
        <v>51</v>
      </c>
      <c r="C69" s="260">
        <f t="shared" si="6"/>
        <v>46129</v>
      </c>
      <c r="D69" s="20"/>
      <c r="E69" s="20"/>
      <c r="F69" s="20"/>
      <c r="G69" s="20">
        <v>83000</v>
      </c>
      <c r="H69" s="20">
        <v>121210</v>
      </c>
      <c r="I69" s="20">
        <v>32842</v>
      </c>
      <c r="J69" s="20">
        <v>51132</v>
      </c>
      <c r="K69" s="20">
        <v>65527</v>
      </c>
      <c r="L69" s="20">
        <v>36667</v>
      </c>
      <c r="M69" s="20">
        <v>14403</v>
      </c>
      <c r="N69" s="20">
        <v>23121</v>
      </c>
      <c r="O69" s="20">
        <v>14576</v>
      </c>
      <c r="P69" s="20">
        <v>51943</v>
      </c>
      <c r="Q69" s="20">
        <v>16527</v>
      </c>
      <c r="R69" s="20">
        <v>89194</v>
      </c>
      <c r="S69" s="339">
        <v>93632</v>
      </c>
      <c r="T69" s="339">
        <v>52786</v>
      </c>
      <c r="U69" s="334">
        <f>'Mielies-Maize 2025'!J66</f>
        <v>79733</v>
      </c>
      <c r="V69" s="307">
        <f>'Mielies-Maize 2026'!J66</f>
        <v>0</v>
      </c>
      <c r="W69" s="487">
        <f t="shared" si="7"/>
        <v>66374.399999999994</v>
      </c>
      <c r="X69" s="487">
        <f t="shared" si="11"/>
        <v>7093420.2000000011</v>
      </c>
      <c r="Y69" s="15">
        <v>7750450</v>
      </c>
      <c r="Z69" s="256">
        <f t="shared" si="8"/>
        <v>-7093420.2000000011</v>
      </c>
      <c r="AA69" s="256">
        <f t="shared" si="9"/>
        <v>-79733</v>
      </c>
      <c r="AB69" s="474"/>
    </row>
    <row r="70" spans="2:28" ht="15" customHeight="1" x14ac:dyDescent="0.3">
      <c r="B70" s="18">
        <v>52</v>
      </c>
      <c r="C70" s="260">
        <f t="shared" si="6"/>
        <v>46136</v>
      </c>
      <c r="D70" s="20"/>
      <c r="E70" s="20"/>
      <c r="F70" s="20"/>
      <c r="G70" s="20">
        <v>60000</v>
      </c>
      <c r="H70" s="20">
        <v>74145</v>
      </c>
      <c r="I70" s="20">
        <v>131750</v>
      </c>
      <c r="J70" s="20">
        <v>57159</v>
      </c>
      <c r="K70" s="20">
        <v>66227</v>
      </c>
      <c r="L70" s="20">
        <v>61905</v>
      </c>
      <c r="M70" s="20">
        <v>12156</v>
      </c>
      <c r="N70" s="20">
        <v>55053</v>
      </c>
      <c r="O70" s="20">
        <v>95913</v>
      </c>
      <c r="P70" s="20">
        <v>97838</v>
      </c>
      <c r="Q70" s="20">
        <v>87446</v>
      </c>
      <c r="R70" s="20">
        <v>145875</v>
      </c>
      <c r="S70" s="339">
        <v>291006</v>
      </c>
      <c r="T70" s="339">
        <v>83368</v>
      </c>
      <c r="U70" s="334">
        <f>'Mielies-Maize 2025'!J67</f>
        <v>74815</v>
      </c>
      <c r="V70" s="307">
        <f>'Mielies-Maize 2026'!J67</f>
        <v>0</v>
      </c>
      <c r="W70" s="487">
        <f t="shared" si="7"/>
        <v>136502</v>
      </c>
      <c r="X70" s="487">
        <f t="shared" si="11"/>
        <v>7229922.2000000011</v>
      </c>
      <c r="Y70" s="15">
        <v>7750450</v>
      </c>
      <c r="Z70" s="256">
        <f t="shared" si="8"/>
        <v>-7229922.2000000011</v>
      </c>
      <c r="AA70" s="256">
        <f t="shared" si="9"/>
        <v>-74815</v>
      </c>
      <c r="AB70" s="474"/>
    </row>
    <row r="71" spans="2:28" ht="14.25" customHeight="1" x14ac:dyDescent="0.3">
      <c r="B71" s="18">
        <v>53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>
        <v>0</v>
      </c>
      <c r="O71" s="20">
        <v>0</v>
      </c>
      <c r="P71" s="20">
        <v>229453</v>
      </c>
      <c r="Q71" s="20"/>
      <c r="R71" s="20"/>
      <c r="S71" s="339"/>
      <c r="T71" s="339"/>
      <c r="U71" s="466">
        <f>'Mielies-Maize 2025'!J68</f>
        <v>0</v>
      </c>
      <c r="V71" s="307">
        <f>'Mielies-Maize 2026'!J68</f>
        <v>279255</v>
      </c>
      <c r="W71" s="487"/>
      <c r="X71" s="487">
        <f t="shared" si="11"/>
        <v>7229922.2000000011</v>
      </c>
      <c r="Y71" s="15">
        <v>7750450</v>
      </c>
      <c r="Z71" s="256">
        <f t="shared" si="8"/>
        <v>-6950667.2000000011</v>
      </c>
      <c r="AA71" s="256">
        <f t="shared" si="9"/>
        <v>279255</v>
      </c>
      <c r="AB71" s="474"/>
    </row>
    <row r="72" spans="2:28" ht="14.25" customHeight="1" x14ac:dyDescent="0.3">
      <c r="B72" s="18">
        <v>54</v>
      </c>
      <c r="C72" s="20"/>
      <c r="D72" s="26"/>
      <c r="E72" s="26"/>
      <c r="F72" s="26"/>
      <c r="G72" s="20"/>
      <c r="H72" s="20"/>
      <c r="I72" s="20"/>
      <c r="J72" s="20"/>
      <c r="K72" s="20"/>
      <c r="L72" s="20"/>
      <c r="M72" s="20"/>
      <c r="N72" s="20">
        <v>0</v>
      </c>
      <c r="O72" s="20">
        <v>0</v>
      </c>
      <c r="P72" s="20"/>
      <c r="Q72" s="20"/>
      <c r="R72" s="20"/>
      <c r="S72" s="337"/>
      <c r="T72" s="339"/>
      <c r="U72" s="376">
        <f>'Mielies-Maize 2025'!J69</f>
        <v>0</v>
      </c>
      <c r="V72" s="307">
        <f>'Mielies-Maize 2026'!J69</f>
        <v>0</v>
      </c>
      <c r="W72" s="487"/>
      <c r="X72" s="487">
        <f t="shared" si="11"/>
        <v>7229922.2000000011</v>
      </c>
      <c r="Y72" s="15">
        <v>7750450</v>
      </c>
      <c r="Z72" s="256">
        <f t="shared" si="8"/>
        <v>-7229922.2000000011</v>
      </c>
      <c r="AA72" s="256">
        <f t="shared" si="9"/>
        <v>0</v>
      </c>
      <c r="AB72" s="474"/>
    </row>
    <row r="73" spans="2:28" ht="14.4" x14ac:dyDescent="0.3">
      <c r="B73" s="123" t="s">
        <v>91</v>
      </c>
      <c r="C73" s="124"/>
      <c r="D73" s="58" t="s">
        <v>92</v>
      </c>
      <c r="E73" s="58">
        <v>5275000</v>
      </c>
      <c r="F73" s="58">
        <v>4985000</v>
      </c>
      <c r="G73" s="58">
        <v>4308000</v>
      </c>
      <c r="H73" s="59">
        <v>5217000</v>
      </c>
      <c r="I73" s="135">
        <v>6203800</v>
      </c>
      <c r="J73" s="135">
        <v>6540000</v>
      </c>
      <c r="K73" s="86">
        <v>5220000</v>
      </c>
      <c r="L73" s="175">
        <v>4370000</v>
      </c>
      <c r="M73" s="86">
        <v>6904000</v>
      </c>
      <c r="N73" s="86">
        <v>6129650</v>
      </c>
      <c r="O73" s="86">
        <v>5730000</v>
      </c>
      <c r="P73" s="86">
        <v>6752500</v>
      </c>
      <c r="Q73" s="86">
        <v>7715000</v>
      </c>
      <c r="R73" s="272">
        <v>7620000</v>
      </c>
      <c r="S73" s="272">
        <v>7895260</v>
      </c>
      <c r="T73" s="272">
        <v>6795000</v>
      </c>
      <c r="U73" s="272">
        <f>'Table-SAGIS deliver vs CEC est'!D8</f>
        <v>7750450</v>
      </c>
      <c r="V73" s="307">
        <f>'Mielies-Maize 2026'!J70</f>
        <v>0</v>
      </c>
      <c r="W73" s="570">
        <f t="shared" ref="W73:W75" si="12">AVERAGE(P73:T73)</f>
        <v>7355552</v>
      </c>
      <c r="X73" s="571">
        <f t="shared" si="11"/>
        <v>14585474.200000001</v>
      </c>
      <c r="Y73" s="570">
        <f>AVERAGE(Q73:U73)</f>
        <v>7555142</v>
      </c>
      <c r="Z73" s="569">
        <f t="shared" si="8"/>
        <v>-14585474.200000001</v>
      </c>
      <c r="AA73" s="256">
        <f t="shared" si="9"/>
        <v>-7750450</v>
      </c>
      <c r="AB73" s="474"/>
    </row>
    <row r="74" spans="2:28" ht="14.25" customHeight="1" x14ac:dyDescent="0.3">
      <c r="B74" s="162" t="s">
        <v>93</v>
      </c>
      <c r="C74" s="134"/>
      <c r="D74" s="76">
        <v>433883</v>
      </c>
      <c r="E74" s="78">
        <v>309666</v>
      </c>
      <c r="F74" s="78">
        <v>408213</v>
      </c>
      <c r="G74" s="78">
        <v>373764</v>
      </c>
      <c r="H74" s="78">
        <v>319431</v>
      </c>
      <c r="I74" s="78">
        <v>346869</v>
      </c>
      <c r="J74" s="78">
        <v>382404</v>
      </c>
      <c r="K74" s="87">
        <v>362420</v>
      </c>
      <c r="L74" s="180">
        <v>286664</v>
      </c>
      <c r="M74" s="87">
        <f>338900+13100</f>
        <v>352000</v>
      </c>
      <c r="N74" s="87">
        <v>350000</v>
      </c>
      <c r="O74" s="87">
        <v>354000</v>
      </c>
      <c r="P74" s="87">
        <v>401000</v>
      </c>
      <c r="Q74" s="87">
        <v>422000</v>
      </c>
      <c r="R74" s="273">
        <v>390000</v>
      </c>
      <c r="S74" s="273">
        <v>430000</v>
      </c>
      <c r="T74" s="273">
        <v>450000</v>
      </c>
      <c r="U74" s="273">
        <v>450000</v>
      </c>
      <c r="V74" s="307">
        <f>'Mielies-Maize 2026'!J71</f>
        <v>0</v>
      </c>
      <c r="W74" s="570">
        <f t="shared" si="12"/>
        <v>418600</v>
      </c>
      <c r="X74" s="571">
        <f t="shared" si="11"/>
        <v>15004074.200000001</v>
      </c>
      <c r="Y74" s="570">
        <f>AVERAGE(Q74:U74)</f>
        <v>428400</v>
      </c>
      <c r="Z74" s="569">
        <f t="shared" si="8"/>
        <v>-15004074.200000001</v>
      </c>
      <c r="AA74" s="256">
        <f t="shared" si="9"/>
        <v>-450000</v>
      </c>
      <c r="AB74" s="474"/>
    </row>
    <row r="75" spans="2:28" ht="14.25" customHeight="1" x14ac:dyDescent="0.3">
      <c r="B75" s="163" t="s">
        <v>94</v>
      </c>
      <c r="C75" s="137"/>
      <c r="D75" s="79">
        <f t="shared" ref="D75:J75" si="13">D73-D74</f>
        <v>4786117</v>
      </c>
      <c r="E75" s="79">
        <f t="shared" si="13"/>
        <v>4965334</v>
      </c>
      <c r="F75" s="79">
        <f t="shared" si="13"/>
        <v>4576787</v>
      </c>
      <c r="G75" s="79">
        <f t="shared" si="13"/>
        <v>3934236</v>
      </c>
      <c r="H75" s="79">
        <f t="shared" si="13"/>
        <v>4897569</v>
      </c>
      <c r="I75" s="79">
        <f t="shared" si="13"/>
        <v>5856931</v>
      </c>
      <c r="J75" s="79">
        <f t="shared" si="13"/>
        <v>6157596</v>
      </c>
      <c r="K75" s="88">
        <f>K73-K74</f>
        <v>4857580</v>
      </c>
      <c r="L75" s="88">
        <f>L73-L74</f>
        <v>4083336</v>
      </c>
      <c r="M75" s="88">
        <f>M73-M74</f>
        <v>6552000</v>
      </c>
      <c r="N75" s="88">
        <v>5620000</v>
      </c>
      <c r="O75" s="88">
        <v>5380000</v>
      </c>
      <c r="P75" s="88">
        <f>P73-P74</f>
        <v>6351500</v>
      </c>
      <c r="Q75" s="88">
        <f t="shared" ref="Q75:S75" si="14">Q73-Q74</f>
        <v>7293000</v>
      </c>
      <c r="R75" s="274">
        <f t="shared" si="14"/>
        <v>7230000</v>
      </c>
      <c r="S75" s="274">
        <f t="shared" si="14"/>
        <v>7465260</v>
      </c>
      <c r="T75" s="274">
        <f>T73-T74</f>
        <v>6345000</v>
      </c>
      <c r="U75" s="274">
        <f>U73-U74</f>
        <v>7300450</v>
      </c>
      <c r="V75" s="307">
        <f>'Mielies-Maize 2026'!J72</f>
        <v>0</v>
      </c>
      <c r="W75" s="570">
        <f t="shared" si="12"/>
        <v>6936952</v>
      </c>
      <c r="X75" s="571">
        <f t="shared" si="11"/>
        <v>21941026.200000003</v>
      </c>
      <c r="Y75" s="570">
        <f>AVERAGE(Q75:U75)</f>
        <v>7126742</v>
      </c>
      <c r="Z75" s="569">
        <f t="shared" si="8"/>
        <v>-21941026.200000003</v>
      </c>
      <c r="AA75" s="256">
        <f t="shared" si="9"/>
        <v>-7300450</v>
      </c>
      <c r="AB75" s="474"/>
    </row>
    <row r="76" spans="2:28" ht="12.6" thickBot="1" x14ac:dyDescent="0.3">
      <c r="B76" s="75"/>
      <c r="C76" s="40"/>
      <c r="D76" s="71"/>
      <c r="E76" s="71"/>
      <c r="F76" s="71"/>
      <c r="G76" s="71"/>
      <c r="H76" s="71"/>
      <c r="I76" s="71"/>
      <c r="J76" s="71"/>
      <c r="K76" s="148"/>
      <c r="L76" s="148"/>
      <c r="M76" s="148"/>
      <c r="N76" s="148"/>
      <c r="O76" s="148"/>
      <c r="P76" s="148"/>
      <c r="Q76" s="148"/>
      <c r="R76" s="275"/>
      <c r="S76" s="275"/>
      <c r="T76" s="77"/>
      <c r="U76" s="77"/>
      <c r="V76" s="77"/>
      <c r="W76" s="18"/>
      <c r="X76" s="18"/>
      <c r="Y76" s="15"/>
      <c r="Z76" s="474"/>
      <c r="AA76" s="474"/>
      <c r="AB76" s="474"/>
    </row>
    <row r="77" spans="2:28" ht="18" thickBot="1" x14ac:dyDescent="0.4">
      <c r="B77" s="169" t="s">
        <v>95</v>
      </c>
      <c r="C77" s="204"/>
      <c r="D77" s="170" t="s">
        <v>59</v>
      </c>
      <c r="E77" s="200" t="s">
        <v>60</v>
      </c>
      <c r="F77" s="200" t="s">
        <v>61</v>
      </c>
      <c r="G77" s="200" t="s">
        <v>62</v>
      </c>
      <c r="H77" s="200" t="s">
        <v>63</v>
      </c>
      <c r="I77" s="200" t="s">
        <v>64</v>
      </c>
      <c r="J77" s="200" t="s">
        <v>65</v>
      </c>
      <c r="K77" s="200" t="s">
        <v>66</v>
      </c>
      <c r="L77" s="200" t="s">
        <v>67</v>
      </c>
      <c r="M77" s="200" t="s">
        <v>68</v>
      </c>
      <c r="N77" s="170" t="s">
        <v>69</v>
      </c>
      <c r="O77" s="170" t="s">
        <v>70</v>
      </c>
      <c r="P77" s="130" t="s">
        <v>71</v>
      </c>
      <c r="Q77" s="130" t="s">
        <v>72</v>
      </c>
      <c r="R77" s="276" t="str">
        <f>R3</f>
        <v>2022/23</v>
      </c>
      <c r="S77" s="276" t="str">
        <f>S3</f>
        <v>2023/24</v>
      </c>
      <c r="T77" s="191" t="s">
        <v>75</v>
      </c>
      <c r="U77" s="191" t="str">
        <f>U3</f>
        <v>2025/26</v>
      </c>
      <c r="V77" s="259"/>
      <c r="W77" s="145" t="s">
        <v>76</v>
      </c>
      <c r="X77" s="502"/>
      <c r="Y77" s="15"/>
      <c r="Z77" s="474"/>
      <c r="AA77" s="474"/>
      <c r="AB77" s="474"/>
    </row>
    <row r="78" spans="2:28" x14ac:dyDescent="0.2">
      <c r="B78" s="15" t="s">
        <v>96</v>
      </c>
      <c r="C78" s="205"/>
      <c r="D78" s="39">
        <f>D16</f>
        <v>340692</v>
      </c>
      <c r="E78" s="202">
        <f>E16</f>
        <v>236016</v>
      </c>
      <c r="F78" s="202">
        <f>F16</f>
        <v>91500</v>
      </c>
      <c r="G78" s="202">
        <f>G16</f>
        <v>182000</v>
      </c>
      <c r="H78" s="202">
        <f>H16</f>
        <v>243045</v>
      </c>
      <c r="I78" s="311">
        <v>526969</v>
      </c>
      <c r="J78" s="312">
        <f>J16</f>
        <v>173661</v>
      </c>
      <c r="K78" s="312">
        <f>K16</f>
        <v>367120</v>
      </c>
      <c r="L78" s="312">
        <f t="shared" ref="L78:P78" si="15">L18</f>
        <v>449955</v>
      </c>
      <c r="M78" s="312">
        <f t="shared" si="15"/>
        <v>300642</v>
      </c>
      <c r="N78" s="312">
        <f t="shared" si="15"/>
        <v>122548</v>
      </c>
      <c r="O78" s="312">
        <f t="shared" si="15"/>
        <v>181045</v>
      </c>
      <c r="P78" s="312">
        <f t="shared" si="15"/>
        <v>216491</v>
      </c>
      <c r="Q78" s="312">
        <f>Q18</f>
        <v>520271</v>
      </c>
      <c r="R78" s="313">
        <f>R18</f>
        <v>272860</v>
      </c>
      <c r="S78" s="313">
        <f>S16</f>
        <v>509294</v>
      </c>
      <c r="T78" s="313">
        <f>T16</f>
        <v>709366</v>
      </c>
      <c r="U78" s="313">
        <f>U16</f>
        <v>386162</v>
      </c>
      <c r="V78" s="465"/>
      <c r="W78" s="488">
        <f>W18</f>
        <v>479590.6</v>
      </c>
      <c r="X78" s="503"/>
      <c r="Y78" s="15"/>
      <c r="Z78" s="474"/>
      <c r="AA78" s="474"/>
      <c r="AB78" s="474"/>
    </row>
    <row r="79" spans="2:28" ht="12" thickBot="1" x14ac:dyDescent="0.25">
      <c r="B79" s="15" t="s">
        <v>97</v>
      </c>
      <c r="C79" s="206"/>
      <c r="D79" s="278">
        <f>SUM(D19:D25)</f>
        <v>66000</v>
      </c>
      <c r="E79" s="278">
        <f>SUM(E19:E25)</f>
        <v>61000</v>
      </c>
      <c r="F79" s="278">
        <f>SUM(F19:F25)</f>
        <v>23000</v>
      </c>
      <c r="G79" s="314">
        <f t="shared" ref="G79:R79" si="16">SUM(G19:G62)</f>
        <v>3862943</v>
      </c>
      <c r="H79" s="314">
        <f t="shared" si="16"/>
        <v>4480629</v>
      </c>
      <c r="I79" s="314">
        <f t="shared" si="16"/>
        <v>5328942</v>
      </c>
      <c r="J79" s="314">
        <f t="shared" si="16"/>
        <v>5861623</v>
      </c>
      <c r="K79" s="314">
        <f t="shared" si="16"/>
        <v>4538679</v>
      </c>
      <c r="L79" s="314">
        <f t="shared" si="16"/>
        <v>3622244</v>
      </c>
      <c r="M79" s="314">
        <f t="shared" si="16"/>
        <v>6234595</v>
      </c>
      <c r="N79" s="314">
        <f t="shared" si="16"/>
        <v>5495238</v>
      </c>
      <c r="O79" s="314">
        <f t="shared" si="16"/>
        <v>5228088</v>
      </c>
      <c r="P79" s="314">
        <f t="shared" si="16"/>
        <v>6152378</v>
      </c>
      <c r="Q79" s="314">
        <f t="shared" si="16"/>
        <v>6867055</v>
      </c>
      <c r="R79" s="314">
        <f t="shared" si="16"/>
        <v>6965800</v>
      </c>
      <c r="S79" s="314">
        <f>SUM(S19:S62)</f>
        <v>7047106</v>
      </c>
      <c r="T79" s="314">
        <f>SUM(T19:T62)</f>
        <v>5581675</v>
      </c>
      <c r="U79" s="314">
        <f>SUM(U19:U70)</f>
        <v>7868946</v>
      </c>
      <c r="V79" s="314"/>
      <c r="W79" s="489">
        <f>SUM(W19:W26)</f>
        <v>3386888.8000000003</v>
      </c>
      <c r="X79" s="503"/>
      <c r="Y79" s="15"/>
      <c r="Z79" s="474"/>
      <c r="AA79" s="474"/>
      <c r="AB79" s="474"/>
    </row>
    <row r="80" spans="2:28" ht="15" thickBot="1" x14ac:dyDescent="0.35">
      <c r="B80" s="102" t="s">
        <v>98</v>
      </c>
      <c r="C80" s="207"/>
      <c r="D80" s="178">
        <f t="shared" ref="D80:J80" si="17">SUM(D78:D79)</f>
        <v>406692</v>
      </c>
      <c r="E80" s="203">
        <f t="shared" si="17"/>
        <v>297016</v>
      </c>
      <c r="F80" s="203">
        <f t="shared" si="17"/>
        <v>114500</v>
      </c>
      <c r="G80" s="203">
        <f t="shared" si="17"/>
        <v>4044943</v>
      </c>
      <c r="H80" s="203">
        <f t="shared" si="17"/>
        <v>4723674</v>
      </c>
      <c r="I80" s="203">
        <f t="shared" si="17"/>
        <v>5855911</v>
      </c>
      <c r="J80" s="203">
        <f t="shared" si="17"/>
        <v>6035284</v>
      </c>
      <c r="K80" s="203">
        <f t="shared" ref="K80:P80" si="18">SUM(K78:K79)</f>
        <v>4905799</v>
      </c>
      <c r="L80" s="203">
        <f t="shared" si="18"/>
        <v>4072199</v>
      </c>
      <c r="M80" s="203">
        <f t="shared" si="18"/>
        <v>6535237</v>
      </c>
      <c r="N80" s="178">
        <f t="shared" si="18"/>
        <v>5617786</v>
      </c>
      <c r="O80" s="178">
        <f t="shared" si="18"/>
        <v>5409133</v>
      </c>
      <c r="P80" s="178">
        <f t="shared" si="18"/>
        <v>6368869</v>
      </c>
      <c r="Q80" s="178">
        <f t="shared" ref="Q80:W80" si="19">SUM(Q78:Q79)</f>
        <v>7387326</v>
      </c>
      <c r="R80" s="219">
        <f t="shared" si="19"/>
        <v>7238660</v>
      </c>
      <c r="S80" s="219">
        <f t="shared" si="19"/>
        <v>7556400</v>
      </c>
      <c r="T80" s="219">
        <f t="shared" si="19"/>
        <v>6291041</v>
      </c>
      <c r="U80" s="219">
        <f>SUM(U78:U79)</f>
        <v>8255108</v>
      </c>
      <c r="V80" s="219"/>
      <c r="W80" s="490">
        <f t="shared" si="19"/>
        <v>3866479.4000000004</v>
      </c>
      <c r="X80" s="504"/>
      <c r="Y80" s="15"/>
      <c r="Z80" s="474"/>
      <c r="AA80" s="474"/>
      <c r="AB80" s="474"/>
    </row>
    <row r="81" spans="2:28" ht="15" thickTop="1" x14ac:dyDescent="0.3">
      <c r="B81" s="230"/>
      <c r="C81" s="228"/>
      <c r="D81" s="229"/>
      <c r="E81" s="229"/>
      <c r="F81" s="229"/>
      <c r="G81" s="229"/>
      <c r="H81" s="229"/>
      <c r="I81" s="229"/>
      <c r="J81" s="229"/>
      <c r="K81" s="232"/>
      <c r="L81" s="229"/>
      <c r="M81" s="229"/>
      <c r="N81" s="229"/>
      <c r="O81" s="229"/>
      <c r="P81" s="229"/>
      <c r="Q81" s="229"/>
      <c r="R81" s="279"/>
      <c r="S81" s="279"/>
      <c r="T81" s="279"/>
      <c r="U81" s="279"/>
      <c r="V81" s="279"/>
      <c r="W81" s="491"/>
      <c r="X81" s="491"/>
      <c r="Y81" s="15"/>
      <c r="Z81" s="474"/>
      <c r="AA81" s="474"/>
      <c r="AB81" s="474"/>
    </row>
    <row r="82" spans="2:28" ht="15" thickBot="1" x14ac:dyDescent="0.35">
      <c r="B82" s="123" t="s">
        <v>99</v>
      </c>
      <c r="C82" s="208"/>
      <c r="D82" s="268">
        <f t="shared" ref="D82:G82" si="20">D80/D75</f>
        <v>8.4973267473402767E-2</v>
      </c>
      <c r="E82" s="268">
        <f t="shared" si="20"/>
        <v>5.981792966998796E-2</v>
      </c>
      <c r="F82" s="268">
        <f t="shared" si="20"/>
        <v>2.5017550521796186E-2</v>
      </c>
      <c r="G82" s="268">
        <f t="shared" si="20"/>
        <v>1.028139389706159</v>
      </c>
      <c r="H82" s="268">
        <f>H80/H75</f>
        <v>0.96449360897212477</v>
      </c>
      <c r="I82" s="268">
        <f t="shared" ref="I82:M82" si="21">I80/I75</f>
        <v>0.99982584735930813</v>
      </c>
      <c r="J82" s="268">
        <f t="shared" si="21"/>
        <v>0.98013640388229428</v>
      </c>
      <c r="K82" s="268">
        <f t="shared" si="21"/>
        <v>1.0099265477871697</v>
      </c>
      <c r="L82" s="268">
        <f>L80/L75</f>
        <v>0.99727257320974816</v>
      </c>
      <c r="M82" s="268">
        <f t="shared" si="21"/>
        <v>0.99744154456654455</v>
      </c>
      <c r="N82" s="268">
        <f t="shared" ref="N82:R82" si="22">N80/N75</f>
        <v>0.99960604982206402</v>
      </c>
      <c r="O82" s="268">
        <f t="shared" si="22"/>
        <v>1.0054150557620818</v>
      </c>
      <c r="P82" s="250">
        <f t="shared" si="22"/>
        <v>1.0027346296150517</v>
      </c>
      <c r="Q82" s="268">
        <f>Q80/Q75</f>
        <v>1.0129337721102427</v>
      </c>
      <c r="R82" s="291">
        <f t="shared" si="22"/>
        <v>1.0011977869986168</v>
      </c>
      <c r="S82" s="291">
        <f>S80/S75</f>
        <v>1.0122085500036166</v>
      </c>
      <c r="T82" s="291">
        <f>T80/T75</f>
        <v>0.99149582348305754</v>
      </c>
      <c r="U82" s="291">
        <f>U80/U75</f>
        <v>1.1307670075132354</v>
      </c>
      <c r="V82" s="291"/>
      <c r="W82" s="291">
        <f>W80/W75</f>
        <v>0.55737439151950319</v>
      </c>
      <c r="X82" s="505"/>
      <c r="Y82" s="15"/>
      <c r="Z82" s="474"/>
      <c r="AA82" s="568"/>
      <c r="AB82" s="568"/>
    </row>
    <row r="83" spans="2:28" ht="14.4" x14ac:dyDescent="0.3">
      <c r="B83" s="548" t="s">
        <v>100</v>
      </c>
      <c r="C83" s="549"/>
      <c r="D83" s="549"/>
      <c r="E83" s="549"/>
      <c r="F83" s="549"/>
      <c r="G83" s="549"/>
      <c r="H83" s="549"/>
      <c r="I83" s="549"/>
      <c r="J83" s="555"/>
      <c r="K83" s="549"/>
      <c r="L83" s="549"/>
      <c r="M83" s="549"/>
      <c r="N83" s="556"/>
      <c r="O83" s="556"/>
      <c r="P83" s="556"/>
      <c r="Q83" s="560"/>
      <c r="R83" s="556"/>
      <c r="S83" s="556"/>
      <c r="T83" s="556"/>
      <c r="U83" s="556"/>
      <c r="V83" s="556"/>
      <c r="W83" s="561"/>
      <c r="X83" s="561"/>
      <c r="Y83" s="560"/>
      <c r="Z83" s="562"/>
      <c r="AA83" s="554"/>
      <c r="AB83" s="554"/>
    </row>
    <row r="84" spans="2:28" ht="14.4" customHeight="1" x14ac:dyDescent="0.3">
      <c r="B84" s="550" t="s">
        <v>101</v>
      </c>
      <c r="C84" s="551"/>
      <c r="D84" s="551"/>
      <c r="E84" s="551"/>
      <c r="F84" s="551"/>
      <c r="G84" s="551"/>
      <c r="H84" s="551"/>
      <c r="I84" s="551"/>
      <c r="J84" s="557"/>
      <c r="K84" s="551"/>
      <c r="L84" s="551"/>
      <c r="M84" s="551"/>
      <c r="N84" s="551"/>
      <c r="O84" s="551"/>
      <c r="P84" s="551"/>
      <c r="Q84" s="563"/>
      <c r="R84" s="563"/>
      <c r="S84" s="563"/>
      <c r="T84" s="563"/>
      <c r="U84" s="563"/>
      <c r="V84" s="563"/>
      <c r="W84" s="563"/>
      <c r="X84" s="563"/>
      <c r="Y84" s="563"/>
      <c r="Z84" s="564"/>
      <c r="AA84" s="185"/>
      <c r="AB84" s="554"/>
    </row>
    <row r="85" spans="2:28" ht="15.75" customHeight="1" thickBot="1" x14ac:dyDescent="0.35">
      <c r="B85" s="552" t="s">
        <v>102</v>
      </c>
      <c r="C85" s="553"/>
      <c r="D85" s="553"/>
      <c r="E85" s="553"/>
      <c r="F85" s="553"/>
      <c r="G85" s="553"/>
      <c r="H85" s="553"/>
      <c r="I85" s="553"/>
      <c r="J85" s="558"/>
      <c r="K85" s="553"/>
      <c r="L85" s="553"/>
      <c r="M85" s="553"/>
      <c r="N85" s="559"/>
      <c r="O85" s="559"/>
      <c r="P85" s="559"/>
      <c r="Q85" s="565"/>
      <c r="R85" s="565"/>
      <c r="S85" s="565"/>
      <c r="T85" s="565"/>
      <c r="U85" s="565"/>
      <c r="V85" s="565"/>
      <c r="W85" s="566"/>
      <c r="X85" s="566"/>
      <c r="Y85" s="565"/>
      <c r="Z85" s="567"/>
      <c r="AA85" s="554"/>
      <c r="AB85" s="554"/>
    </row>
    <row r="92" spans="2:28" x14ac:dyDescent="0.2">
      <c r="P92" s="547"/>
    </row>
  </sheetData>
  <mergeCells count="1">
    <mergeCell ref="B2:W2"/>
  </mergeCells>
  <phoneticPr fontId="21" type="noConversion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Y102"/>
  <sheetViews>
    <sheetView showGridLines="0" showWhiteSpace="0" zoomScale="80" zoomScaleNormal="8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AD35" sqref="AD35"/>
    </sheetView>
  </sheetViews>
  <sheetFormatPr defaultColWidth="9.109375" defaultRowHeight="11.4" x14ac:dyDescent="0.2"/>
  <cols>
    <col min="1" max="1" width="8.77734375" style="2" customWidth="1"/>
    <col min="2" max="2" width="46.77734375" style="2" bestFit="1" customWidth="1"/>
    <col min="3" max="3" width="16.6640625" style="4" bestFit="1" customWidth="1"/>
    <col min="4" max="6" width="11" style="4" bestFit="1" customWidth="1"/>
    <col min="7" max="10" width="11" style="2" bestFit="1" customWidth="1"/>
    <col min="11" max="12" width="10" style="2" hidden="1" customWidth="1"/>
    <col min="13" max="15" width="11" style="2" hidden="1" customWidth="1"/>
    <col min="16" max="21" width="11.6640625" style="2" bestFit="1" customWidth="1"/>
    <col min="22" max="22" width="11" style="2" customWidth="1"/>
    <col min="23" max="23" width="11.6640625" style="2" bestFit="1" customWidth="1"/>
    <col min="24" max="24" width="13" style="2" bestFit="1" customWidth="1"/>
    <col min="25" max="16384" width="9.109375" style="2"/>
  </cols>
  <sheetData>
    <row r="2" spans="2:23" ht="23.4" thickBot="1" x14ac:dyDescent="0.45">
      <c r="B2" s="538" t="s">
        <v>116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308"/>
      <c r="T2" s="308"/>
      <c r="U2" s="308"/>
      <c r="V2" s="308"/>
    </row>
    <row r="3" spans="2:23" s="1" customFormat="1" ht="18" thickBot="1" x14ac:dyDescent="0.4">
      <c r="B3" s="145" t="s">
        <v>30</v>
      </c>
      <c r="C3" s="122" t="s">
        <v>31</v>
      </c>
      <c r="D3" s="173" t="s">
        <v>59</v>
      </c>
      <c r="E3" s="143" t="s">
        <v>60</v>
      </c>
      <c r="F3" s="173" t="s">
        <v>61</v>
      </c>
      <c r="G3" s="143" t="s">
        <v>62</v>
      </c>
      <c r="H3" s="156" t="s">
        <v>63</v>
      </c>
      <c r="I3" s="157" t="s">
        <v>64</v>
      </c>
      <c r="J3" s="156" t="s">
        <v>65</v>
      </c>
      <c r="K3" s="156" t="s">
        <v>66</v>
      </c>
      <c r="L3" s="156" t="s">
        <v>67</v>
      </c>
      <c r="M3" s="156" t="s">
        <v>68</v>
      </c>
      <c r="N3" s="240" t="s">
        <v>69</v>
      </c>
      <c r="O3" s="240" t="s">
        <v>70</v>
      </c>
      <c r="P3" s="197" t="s">
        <v>71</v>
      </c>
      <c r="Q3" s="197" t="s">
        <v>72</v>
      </c>
      <c r="R3" s="348" t="s">
        <v>73</v>
      </c>
      <c r="S3" s="295" t="s">
        <v>74</v>
      </c>
      <c r="T3" s="295" t="s">
        <v>117</v>
      </c>
      <c r="U3" s="295" t="s">
        <v>131</v>
      </c>
      <c r="V3" s="295" t="s">
        <v>148</v>
      </c>
      <c r="W3" s="300" t="s">
        <v>76</v>
      </c>
    </row>
    <row r="4" spans="2:23" ht="15" hidden="1" thickBot="1" x14ac:dyDescent="0.35">
      <c r="B4" s="83">
        <v>44</v>
      </c>
      <c r="C4" s="113" t="s">
        <v>118</v>
      </c>
      <c r="D4" s="19">
        <v>22000</v>
      </c>
      <c r="E4" s="21">
        <v>11000</v>
      </c>
      <c r="F4" s="20">
        <v>44000</v>
      </c>
      <c r="G4" s="41">
        <v>27000</v>
      </c>
      <c r="H4" s="17">
        <v>53181</v>
      </c>
      <c r="I4" s="133">
        <v>17466</v>
      </c>
      <c r="J4" s="128">
        <v>28346</v>
      </c>
      <c r="K4" s="131">
        <v>29898</v>
      </c>
      <c r="L4" s="131">
        <v>36209</v>
      </c>
      <c r="M4" s="131">
        <v>13326</v>
      </c>
      <c r="N4" s="131">
        <v>11452</v>
      </c>
      <c r="O4" s="131">
        <v>13109</v>
      </c>
      <c r="P4" s="287">
        <v>17003</v>
      </c>
      <c r="Q4" s="287">
        <v>26790</v>
      </c>
      <c r="R4" s="294">
        <v>38241</v>
      </c>
      <c r="S4" s="309">
        <v>44891</v>
      </c>
      <c r="T4" s="309">
        <v>44891</v>
      </c>
      <c r="U4" s="309">
        <v>44891</v>
      </c>
      <c r="V4" s="309"/>
      <c r="W4" s="256">
        <f>AVERAGE(K4:R4)</f>
        <v>23253.5</v>
      </c>
    </row>
    <row r="5" spans="2:23" s="1" customFormat="1" ht="15" hidden="1" thickBot="1" x14ac:dyDescent="0.35">
      <c r="B5" s="18">
        <v>45</v>
      </c>
      <c r="C5" s="113" t="s">
        <v>119</v>
      </c>
      <c r="D5" s="19">
        <v>39000</v>
      </c>
      <c r="E5" s="21">
        <v>25000</v>
      </c>
      <c r="F5" s="20">
        <v>12000</v>
      </c>
      <c r="G5" s="41">
        <v>42000</v>
      </c>
      <c r="H5" s="17">
        <v>58073</v>
      </c>
      <c r="I5" s="133">
        <v>16832</v>
      </c>
      <c r="J5" s="128">
        <v>36727</v>
      </c>
      <c r="K5" s="131">
        <v>44640</v>
      </c>
      <c r="L5" s="131">
        <v>77684</v>
      </c>
      <c r="M5" s="131">
        <v>17827</v>
      </c>
      <c r="N5" s="131">
        <v>6612</v>
      </c>
      <c r="O5" s="131">
        <v>11130</v>
      </c>
      <c r="P5" s="287">
        <v>27911</v>
      </c>
      <c r="Q5" s="287">
        <v>22165</v>
      </c>
      <c r="R5" s="292">
        <v>42554</v>
      </c>
      <c r="S5" s="309">
        <v>52716</v>
      </c>
      <c r="T5" s="309">
        <v>52716</v>
      </c>
      <c r="U5" s="309">
        <v>52716</v>
      </c>
      <c r="V5" s="309"/>
      <c r="W5" s="256">
        <f>AVERAGE(K5:R5)</f>
        <v>31315.375</v>
      </c>
    </row>
    <row r="6" spans="2:23" s="1" customFormat="1" ht="15" hidden="1" thickBot="1" x14ac:dyDescent="0.35">
      <c r="B6" s="18">
        <v>46</v>
      </c>
      <c r="C6" s="113" t="s">
        <v>120</v>
      </c>
      <c r="D6" s="19">
        <v>28000</v>
      </c>
      <c r="E6" s="21">
        <v>14000</v>
      </c>
      <c r="F6" s="20">
        <v>13000</v>
      </c>
      <c r="G6" s="41">
        <v>40000</v>
      </c>
      <c r="H6" s="17">
        <v>92058</v>
      </c>
      <c r="I6" s="133">
        <v>30836</v>
      </c>
      <c r="J6" s="128">
        <v>34682</v>
      </c>
      <c r="K6" s="131">
        <v>38794</v>
      </c>
      <c r="L6" s="131">
        <v>76354</v>
      </c>
      <c r="M6" s="131">
        <v>8388</v>
      </c>
      <c r="N6" s="131">
        <v>9861</v>
      </c>
      <c r="O6" s="131">
        <v>15400</v>
      </c>
      <c r="P6" s="287">
        <v>28463</v>
      </c>
      <c r="Q6" s="287">
        <v>121296</v>
      </c>
      <c r="R6" s="292">
        <v>54283</v>
      </c>
      <c r="S6" s="309">
        <v>71601</v>
      </c>
      <c r="T6" s="309">
        <v>71601</v>
      </c>
      <c r="U6" s="309">
        <v>71601</v>
      </c>
      <c r="V6" s="309"/>
      <c r="W6" s="256">
        <f t="shared" ref="W6:W11" si="0">AVERAGE(K6:R6)</f>
        <v>44104.875</v>
      </c>
    </row>
    <row r="7" spans="2:23" s="1" customFormat="1" ht="15" hidden="1" thickBot="1" x14ac:dyDescent="0.35">
      <c r="B7" s="18">
        <v>47</v>
      </c>
      <c r="C7" s="113" t="s">
        <v>121</v>
      </c>
      <c r="D7" s="19">
        <v>28000</v>
      </c>
      <c r="E7" s="21">
        <v>8000</v>
      </c>
      <c r="F7" s="20">
        <v>15000</v>
      </c>
      <c r="G7" s="41">
        <v>52000</v>
      </c>
      <c r="H7" s="17">
        <v>44272</v>
      </c>
      <c r="I7" s="133">
        <v>87845</v>
      </c>
      <c r="J7" s="128">
        <v>100063</v>
      </c>
      <c r="K7" s="131">
        <v>134526</v>
      </c>
      <c r="L7" s="131">
        <v>174620</v>
      </c>
      <c r="M7" s="131">
        <v>58012</v>
      </c>
      <c r="N7" s="131">
        <v>45854</v>
      </c>
      <c r="O7" s="131">
        <v>41465</v>
      </c>
      <c r="P7" s="287">
        <v>121384</v>
      </c>
      <c r="Q7" s="287">
        <v>5950</v>
      </c>
      <c r="R7" s="292">
        <v>50945</v>
      </c>
      <c r="S7" s="309">
        <v>97465</v>
      </c>
      <c r="T7" s="309">
        <v>97465</v>
      </c>
      <c r="U7" s="309">
        <v>97465</v>
      </c>
      <c r="V7" s="309"/>
      <c r="W7" s="256">
        <f t="shared" si="0"/>
        <v>79094.5</v>
      </c>
    </row>
    <row r="8" spans="2:23" s="1" customFormat="1" ht="15" hidden="1" thickBot="1" x14ac:dyDescent="0.35">
      <c r="B8" s="18">
        <v>48</v>
      </c>
      <c r="C8" s="113" t="s">
        <v>122</v>
      </c>
      <c r="D8" s="19">
        <v>-9000</v>
      </c>
      <c r="E8" s="21">
        <v>59000</v>
      </c>
      <c r="F8" s="20">
        <v>14000</v>
      </c>
      <c r="G8" s="41">
        <v>35000</v>
      </c>
      <c r="H8" s="17">
        <v>40598</v>
      </c>
      <c r="I8" s="133">
        <v>34657</v>
      </c>
      <c r="J8" s="128">
        <v>27403</v>
      </c>
      <c r="K8" s="131">
        <v>22890</v>
      </c>
      <c r="L8" s="131">
        <v>90941</v>
      </c>
      <c r="M8" s="131">
        <v>7089</v>
      </c>
      <c r="N8" s="131">
        <v>28612</v>
      </c>
      <c r="O8" s="131">
        <v>12880</v>
      </c>
      <c r="P8" s="287">
        <v>6626</v>
      </c>
      <c r="Q8" s="287">
        <v>46493</v>
      </c>
      <c r="R8" s="292">
        <v>113850</v>
      </c>
      <c r="S8" s="309">
        <v>111603</v>
      </c>
      <c r="T8" s="309">
        <v>111603</v>
      </c>
      <c r="U8" s="309">
        <v>111603</v>
      </c>
      <c r="V8" s="309"/>
      <c r="W8" s="256">
        <f t="shared" si="0"/>
        <v>41172.625</v>
      </c>
    </row>
    <row r="9" spans="2:23" s="1" customFormat="1" ht="15" hidden="1" thickBot="1" x14ac:dyDescent="0.35">
      <c r="B9" s="18">
        <v>49</v>
      </c>
      <c r="C9" s="113" t="s">
        <v>123</v>
      </c>
      <c r="D9" s="19">
        <v>48000</v>
      </c>
      <c r="E9" s="21">
        <v>35000</v>
      </c>
      <c r="F9" s="20">
        <v>37500</v>
      </c>
      <c r="G9" s="41">
        <v>93000</v>
      </c>
      <c r="H9" s="17">
        <v>94097</v>
      </c>
      <c r="I9" s="133">
        <v>51986</v>
      </c>
      <c r="J9" s="128">
        <v>33877</v>
      </c>
      <c r="K9" s="131">
        <v>70188</v>
      </c>
      <c r="L9" s="131">
        <v>46810</v>
      </c>
      <c r="M9" s="131">
        <v>17603</v>
      </c>
      <c r="N9" s="131">
        <v>28612</v>
      </c>
      <c r="O9" s="131">
        <v>0</v>
      </c>
      <c r="P9" s="287">
        <v>44772</v>
      </c>
      <c r="Q9" s="287">
        <v>19428</v>
      </c>
      <c r="R9" s="292">
        <v>50480</v>
      </c>
      <c r="S9" s="309">
        <v>96211</v>
      </c>
      <c r="T9" s="309">
        <v>96211</v>
      </c>
      <c r="U9" s="309">
        <v>96211</v>
      </c>
      <c r="V9" s="309"/>
      <c r="W9" s="256">
        <f t="shared" si="0"/>
        <v>34736.625</v>
      </c>
    </row>
    <row r="10" spans="2:23" ht="15" hidden="1" thickBot="1" x14ac:dyDescent="0.35">
      <c r="B10" s="18">
        <v>50</v>
      </c>
      <c r="C10" s="113" t="s">
        <v>124</v>
      </c>
      <c r="D10" s="19">
        <v>62000</v>
      </c>
      <c r="E10" s="21">
        <v>55000</v>
      </c>
      <c r="F10" s="20">
        <v>29000</v>
      </c>
      <c r="G10" s="41">
        <v>144000</v>
      </c>
      <c r="H10" s="17">
        <v>181300</v>
      </c>
      <c r="I10" s="133">
        <v>47621</v>
      </c>
      <c r="J10" s="128">
        <v>72371</v>
      </c>
      <c r="K10" s="131">
        <v>95688</v>
      </c>
      <c r="L10" s="131">
        <v>89128</v>
      </c>
      <c r="M10" s="131">
        <v>22826</v>
      </c>
      <c r="N10" s="131">
        <v>28612</v>
      </c>
      <c r="O10" s="131">
        <v>0</v>
      </c>
      <c r="P10" s="287">
        <v>92961</v>
      </c>
      <c r="Q10" s="287">
        <v>24786</v>
      </c>
      <c r="R10" s="292">
        <v>64424</v>
      </c>
      <c r="S10" s="309">
        <v>91494</v>
      </c>
      <c r="T10" s="309">
        <v>91494</v>
      </c>
      <c r="U10" s="309">
        <v>91494</v>
      </c>
      <c r="V10" s="309"/>
      <c r="W10" s="256">
        <f t="shared" si="0"/>
        <v>52303.125</v>
      </c>
    </row>
    <row r="11" spans="2:23" ht="15" hidden="1" thickBot="1" x14ac:dyDescent="0.35">
      <c r="B11" s="18">
        <v>51</v>
      </c>
      <c r="C11" s="113" t="s">
        <v>125</v>
      </c>
      <c r="D11" s="19">
        <v>0</v>
      </c>
      <c r="E11" s="21">
        <v>47000</v>
      </c>
      <c r="F11" s="20">
        <v>10500</v>
      </c>
      <c r="G11" s="41">
        <v>92000</v>
      </c>
      <c r="H11" s="17">
        <v>349127</v>
      </c>
      <c r="I11" s="133">
        <v>209597</v>
      </c>
      <c r="J11" s="128">
        <v>76631</v>
      </c>
      <c r="K11" s="131">
        <v>98505</v>
      </c>
      <c r="L11" s="131">
        <v>129651</v>
      </c>
      <c r="M11" s="131">
        <v>24557</v>
      </c>
      <c r="N11" s="131">
        <v>28612</v>
      </c>
      <c r="O11" s="131">
        <v>0</v>
      </c>
      <c r="P11" s="287">
        <v>188076</v>
      </c>
      <c r="Q11" s="287">
        <v>43714</v>
      </c>
      <c r="R11" s="292">
        <v>116175</v>
      </c>
      <c r="S11" s="309">
        <v>141076</v>
      </c>
      <c r="T11" s="309">
        <v>141076</v>
      </c>
      <c r="U11" s="309">
        <v>141076</v>
      </c>
      <c r="V11" s="309"/>
      <c r="W11" s="256">
        <f t="shared" si="0"/>
        <v>78661.25</v>
      </c>
    </row>
    <row r="12" spans="2:23" ht="15" hidden="1" thickBot="1" x14ac:dyDescent="0.35">
      <c r="B12" s="84">
        <v>52</v>
      </c>
      <c r="C12" s="181"/>
      <c r="D12" s="20"/>
      <c r="E12" s="20"/>
      <c r="F12" s="20"/>
      <c r="G12" s="20"/>
      <c r="H12" s="20"/>
      <c r="I12" s="131"/>
      <c r="J12" s="131"/>
      <c r="K12" s="131"/>
      <c r="L12" s="131"/>
      <c r="M12" s="131"/>
      <c r="N12" s="131"/>
      <c r="O12" s="131">
        <v>0</v>
      </c>
      <c r="P12" s="287">
        <v>301664</v>
      </c>
      <c r="Q12" s="287"/>
      <c r="R12" s="296">
        <v>189231</v>
      </c>
      <c r="S12" s="296">
        <v>434332</v>
      </c>
      <c r="T12" s="296">
        <v>434332</v>
      </c>
      <c r="U12" s="296">
        <v>434332</v>
      </c>
      <c r="V12" s="296"/>
      <c r="W12" s="315"/>
    </row>
    <row r="13" spans="2:23" ht="14.4" x14ac:dyDescent="0.3">
      <c r="B13" s="161" t="s">
        <v>150</v>
      </c>
      <c r="C13" s="92"/>
      <c r="D13" s="12"/>
      <c r="E13" s="12"/>
      <c r="F13" s="12"/>
      <c r="G13" s="355"/>
      <c r="H13" s="356"/>
      <c r="I13" s="356"/>
      <c r="J13" s="356"/>
      <c r="K13" s="356"/>
      <c r="L13" s="357">
        <v>82997</v>
      </c>
      <c r="M13" s="358"/>
      <c r="N13" s="358"/>
      <c r="O13" s="358"/>
      <c r="P13" s="358"/>
      <c r="Q13" s="359"/>
      <c r="R13" s="304"/>
      <c r="S13" s="304"/>
      <c r="T13" s="304"/>
      <c r="U13" s="304"/>
      <c r="V13" s="304"/>
      <c r="W13" s="304"/>
    </row>
    <row r="14" spans="2:23" ht="12" x14ac:dyDescent="0.25">
      <c r="B14" s="161" t="s">
        <v>151</v>
      </c>
      <c r="C14" s="82"/>
      <c r="D14" s="68">
        <v>183432</v>
      </c>
      <c r="E14" s="68">
        <v>125545</v>
      </c>
      <c r="F14" s="68">
        <f>SUM(F4:F8)</f>
        <v>98000</v>
      </c>
      <c r="G14" s="360">
        <v>89240</v>
      </c>
      <c r="H14" s="68">
        <f>'Summary -White maize'!G13+'Summary -Yellow maize'!H14</f>
        <v>420735</v>
      </c>
      <c r="I14" s="68">
        <f>'Summary -White maize'!H13+'Summary -Yellow maize'!I14</f>
        <v>289924</v>
      </c>
      <c r="J14" s="68">
        <f>'Summary -White maize'!I13+'Summary -Yellow maize'!J14</f>
        <v>346554</v>
      </c>
      <c r="K14" s="68">
        <f>'Summary -White maize'!J13+'Summary -Yellow maize'!K14</f>
        <v>373543</v>
      </c>
      <c r="L14" s="302">
        <f>'Summary -White maize'!K13+'Summary -Yellow maize'!L14</f>
        <v>249761</v>
      </c>
      <c r="M14" s="303">
        <f>'Summary -White maize'!L13+'Summary -Yellow maize'!M14</f>
        <v>384702</v>
      </c>
      <c r="N14" s="303">
        <f>'Summary -White maize'!M13+'Summary -Yellow maize'!N14</f>
        <v>103393</v>
      </c>
      <c r="O14" s="303">
        <f>'Summary -White maize'!N13+'Summary -Yellow maize'!O14</f>
        <v>99506</v>
      </c>
      <c r="P14" s="303">
        <f>'Summary -White maize'!O13+'Summary -Yellow maize'!P14</f>
        <v>130740</v>
      </c>
      <c r="Q14" s="301">
        <f>'Summary -White maize'!P13+'Summary -Yellow maize'!Q14</f>
        <v>198103</v>
      </c>
      <c r="R14" s="301">
        <f>'Summary -White maize'!Q13+'Summary -Yellow maize'!R14</f>
        <v>184907</v>
      </c>
      <c r="S14" s="301">
        <f>'Summary -White maize'!R13+'Summary -Yellow maize'!S14</f>
        <v>279476</v>
      </c>
      <c r="T14" s="301">
        <f>'Summary -White maize'!S13+'Summary -Yellow maize'!T14</f>
        <v>344703</v>
      </c>
      <c r="U14" s="301">
        <f>'Summary -White maize'!T13+'Summary -Yellow maize'!U14</f>
        <v>286898</v>
      </c>
      <c r="V14" s="301">
        <f>SUM('Mielies-Maize 2025'!L60:L63)</f>
        <v>301803</v>
      </c>
      <c r="W14" s="254">
        <f>AVERAGE(O14:T14)</f>
        <v>206239.16666666666</v>
      </c>
    </row>
    <row r="15" spans="2:23" ht="12" x14ac:dyDescent="0.25">
      <c r="B15" s="161" t="s">
        <v>152</v>
      </c>
      <c r="C15" s="82"/>
      <c r="D15" s="68">
        <v>485601</v>
      </c>
      <c r="E15" s="68">
        <v>226174</v>
      </c>
      <c r="F15" s="68">
        <f>SUM(F9)</f>
        <v>37500</v>
      </c>
      <c r="G15" s="360">
        <f>SUM(G9)</f>
        <v>93000</v>
      </c>
      <c r="H15" s="68">
        <f>'Summary -White maize'!G14+'Summary -Yellow maize'!H15</f>
        <v>332708</v>
      </c>
      <c r="I15" s="68">
        <f>'Summary -White maize'!H14+'Summary -Yellow maize'!I15</f>
        <v>136110</v>
      </c>
      <c r="J15" s="68">
        <f>'Summary -White maize'!I14+'Summary -Yellow maize'!J15</f>
        <v>132230</v>
      </c>
      <c r="K15" s="68">
        <f>'Summary -White maize'!J14+'Summary -Yellow maize'!K15</f>
        <v>400303</v>
      </c>
      <c r="L15" s="302">
        <f>'Summary -White maize'!K14+'Summary -Yellow maize'!L15</f>
        <v>488250</v>
      </c>
      <c r="M15" s="303">
        <f>'Summary -White maize'!L14+'Summary -Yellow maize'!M15</f>
        <v>419491</v>
      </c>
      <c r="N15" s="303">
        <f>'Summary -White maize'!M14+'Summary -Yellow maize'!N15</f>
        <v>136524</v>
      </c>
      <c r="O15" s="303">
        <f>'Summary -White maize'!N14+'Summary -Yellow maize'!O15</f>
        <v>167437</v>
      </c>
      <c r="P15" s="303">
        <f>'Summary -White maize'!O14+'Summary -Yellow maize'!P15</f>
        <v>216992</v>
      </c>
      <c r="Q15" s="301">
        <f>'Summary -White maize'!P14+'Summary -Yellow maize'!Q15</f>
        <v>759204</v>
      </c>
      <c r="R15" s="301">
        <f>'Summary -White maize'!Q14+'Summary -Yellow maize'!R15</f>
        <v>229141</v>
      </c>
      <c r="S15" s="301">
        <f>'Summary -White maize'!R14+'Summary -Yellow maize'!S15</f>
        <v>424023</v>
      </c>
      <c r="T15" s="301">
        <f>'Summary -White maize'!S14+'Summary -Yellow maize'!T15</f>
        <v>762955</v>
      </c>
      <c r="U15" s="301">
        <f>'Summary -White maize'!T14+'Summary -Yellow maize'!U15</f>
        <v>343555</v>
      </c>
      <c r="V15" s="301">
        <f>SUM('Mielies-Maize 2025'!L64:L67)</f>
        <v>408709</v>
      </c>
      <c r="W15" s="254">
        <f>AVERAGE(O15:T15)</f>
        <v>426625.33333333331</v>
      </c>
    </row>
    <row r="16" spans="2:23" ht="15" thickBot="1" x14ac:dyDescent="0.35">
      <c r="B16" s="105" t="s">
        <v>89</v>
      </c>
      <c r="C16" s="152"/>
      <c r="D16" s="127">
        <f t="shared" ref="D16:J16" si="1">SUM(D14:D15)</f>
        <v>669033</v>
      </c>
      <c r="E16" s="127">
        <f t="shared" si="1"/>
        <v>351719</v>
      </c>
      <c r="F16" s="127">
        <f t="shared" si="1"/>
        <v>135500</v>
      </c>
      <c r="G16" s="361">
        <f t="shared" si="1"/>
        <v>182240</v>
      </c>
      <c r="H16" s="362">
        <f t="shared" si="1"/>
        <v>753443</v>
      </c>
      <c r="I16" s="362">
        <f t="shared" si="1"/>
        <v>426034</v>
      </c>
      <c r="J16" s="362">
        <f t="shared" si="1"/>
        <v>478784</v>
      </c>
      <c r="K16" s="362">
        <v>541956</v>
      </c>
      <c r="L16" s="363">
        <f t="shared" ref="L16:T16" si="2">L13+L14+L15</f>
        <v>821008</v>
      </c>
      <c r="M16" s="364">
        <f t="shared" si="2"/>
        <v>804193</v>
      </c>
      <c r="N16" s="364">
        <f t="shared" si="2"/>
        <v>239917</v>
      </c>
      <c r="O16" s="365">
        <f t="shared" si="2"/>
        <v>266943</v>
      </c>
      <c r="P16" s="365">
        <f t="shared" si="2"/>
        <v>347732</v>
      </c>
      <c r="Q16" s="366">
        <f t="shared" si="2"/>
        <v>957307</v>
      </c>
      <c r="R16" s="366">
        <f t="shared" si="2"/>
        <v>414048</v>
      </c>
      <c r="S16" s="366">
        <f t="shared" si="2"/>
        <v>703499</v>
      </c>
      <c r="T16" s="366">
        <f t="shared" si="2"/>
        <v>1107658</v>
      </c>
      <c r="U16" s="366">
        <f t="shared" ref="U16:V16" si="3">U13+U14+U15</f>
        <v>630453</v>
      </c>
      <c r="V16" s="366">
        <f t="shared" si="3"/>
        <v>710512</v>
      </c>
      <c r="W16" s="367">
        <f>AVERAGE(N16:S16)</f>
        <v>488241</v>
      </c>
    </row>
    <row r="17" spans="2:25" ht="18" thickBot="1" x14ac:dyDescent="0.4">
      <c r="B17" s="119" t="s">
        <v>30</v>
      </c>
      <c r="C17" s="104" t="s">
        <v>31</v>
      </c>
      <c r="D17" s="106" t="s">
        <v>59</v>
      </c>
      <c r="E17" s="103" t="s">
        <v>60</v>
      </c>
      <c r="F17" s="107" t="s">
        <v>61</v>
      </c>
      <c r="G17" s="173" t="str">
        <f>G3</f>
        <v>2011/12</v>
      </c>
      <c r="H17" s="183" t="str">
        <f>H3</f>
        <v>2012/13</v>
      </c>
      <c r="I17" s="173" t="str">
        <f>I3</f>
        <v>2013/14</v>
      </c>
      <c r="J17" s="354" t="s">
        <v>65</v>
      </c>
      <c r="K17" s="354" t="s">
        <v>66</v>
      </c>
      <c r="L17" s="354" t="s">
        <v>67</v>
      </c>
      <c r="M17" s="354" t="s">
        <v>68</v>
      </c>
      <c r="N17" s="183" t="s">
        <v>69</v>
      </c>
      <c r="O17" s="240" t="str">
        <f>O3</f>
        <v>2019/20</v>
      </c>
      <c r="P17" s="240" t="str">
        <f t="shared" ref="P17:R17" si="4">P3</f>
        <v>2020/21</v>
      </c>
      <c r="Q17" s="240" t="str">
        <f t="shared" si="4"/>
        <v>2021/22</v>
      </c>
      <c r="R17" s="240" t="str">
        <f t="shared" si="4"/>
        <v>2022/23</v>
      </c>
      <c r="S17" s="316" t="s">
        <v>126</v>
      </c>
      <c r="T17" s="316" t="s">
        <v>117</v>
      </c>
      <c r="U17" s="316" t="str">
        <f>U3</f>
        <v>2025/26</v>
      </c>
      <c r="V17" s="470" t="str">
        <f>V3</f>
        <v>2026/27*</v>
      </c>
      <c r="W17" s="317" t="s">
        <v>76</v>
      </c>
      <c r="X17" s="473" t="s">
        <v>153</v>
      </c>
    </row>
    <row r="18" spans="2:25" ht="14.4" x14ac:dyDescent="0.3">
      <c r="B18" s="67" t="s">
        <v>90</v>
      </c>
      <c r="C18" s="582" t="s">
        <v>127</v>
      </c>
      <c r="D18" s="583">
        <f t="shared" ref="D18:L18" si="5">D16</f>
        <v>669033</v>
      </c>
      <c r="E18" s="584">
        <f t="shared" si="5"/>
        <v>351719</v>
      </c>
      <c r="F18" s="583">
        <f t="shared" si="5"/>
        <v>135500</v>
      </c>
      <c r="G18" s="584">
        <f t="shared" si="5"/>
        <v>182240</v>
      </c>
      <c r="H18" s="584">
        <f t="shared" si="5"/>
        <v>753443</v>
      </c>
      <c r="I18" s="584">
        <f t="shared" si="5"/>
        <v>426034</v>
      </c>
      <c r="J18" s="584">
        <f t="shared" si="5"/>
        <v>478784</v>
      </c>
      <c r="K18" s="584">
        <f t="shared" si="5"/>
        <v>541956</v>
      </c>
      <c r="L18" s="584">
        <f t="shared" si="5"/>
        <v>821008</v>
      </c>
      <c r="M18" s="584">
        <f>M16</f>
        <v>804193</v>
      </c>
      <c r="N18" s="584">
        <f>N16</f>
        <v>239917</v>
      </c>
      <c r="O18" s="584">
        <v>266943</v>
      </c>
      <c r="P18" s="585">
        <v>347732</v>
      </c>
      <c r="Q18" s="586">
        <f t="shared" ref="Q18:W18" si="6">Q16</f>
        <v>957307</v>
      </c>
      <c r="R18" s="586">
        <f t="shared" si="6"/>
        <v>414048</v>
      </c>
      <c r="S18" s="586">
        <f t="shared" si="6"/>
        <v>703499</v>
      </c>
      <c r="T18" s="586">
        <f t="shared" si="6"/>
        <v>1107658</v>
      </c>
      <c r="U18" s="586">
        <f t="shared" si="6"/>
        <v>630453</v>
      </c>
      <c r="V18" s="587">
        <f>V16</f>
        <v>710512</v>
      </c>
      <c r="W18" s="588">
        <f t="shared" si="6"/>
        <v>488241</v>
      </c>
      <c r="X18" s="474"/>
    </row>
    <row r="19" spans="2:25" ht="14.4" x14ac:dyDescent="0.3">
      <c r="B19" s="18">
        <v>1</v>
      </c>
      <c r="C19" s="260">
        <f>'Summary -Yellow maize'!C19</f>
        <v>45779</v>
      </c>
      <c r="D19" s="11">
        <v>183000</v>
      </c>
      <c r="E19" s="21">
        <v>114000</v>
      </c>
      <c r="F19" s="12">
        <v>63000</v>
      </c>
      <c r="G19" s="20">
        <v>26000</v>
      </c>
      <c r="H19" s="17">
        <v>178088</v>
      </c>
      <c r="I19" s="133">
        <v>240174</v>
      </c>
      <c r="J19" s="128">
        <v>85572</v>
      </c>
      <c r="K19" s="131">
        <v>23074</v>
      </c>
      <c r="L19" s="131">
        <v>156766</v>
      </c>
      <c r="M19" s="131">
        <v>168068</v>
      </c>
      <c r="N19" s="131">
        <v>34325</v>
      </c>
      <c r="O19" s="131">
        <v>35696</v>
      </c>
      <c r="P19" s="287">
        <v>6244</v>
      </c>
      <c r="Q19" s="287">
        <v>466755</v>
      </c>
      <c r="R19" s="287">
        <f>'Summary -White maize'!Q18+'Summary -Yellow maize'!R19</f>
        <v>60451</v>
      </c>
      <c r="S19" s="341">
        <f>'Summary -White maize'!R18+'Summary -Yellow maize'!S19</f>
        <v>219784</v>
      </c>
      <c r="T19" s="309">
        <f>'Summary -White maize'!S18+'Summary -Yellow maize'!T19</f>
        <v>313851</v>
      </c>
      <c r="U19" s="309">
        <f>'Mielies-Maize 2025'!N16</f>
        <v>78385</v>
      </c>
      <c r="V19" s="309">
        <f>'Mielies-Maize 2026'!N16</f>
        <v>97665</v>
      </c>
      <c r="W19" s="254">
        <f>AVERAGE(Q19:U19)</f>
        <v>227845.2</v>
      </c>
      <c r="X19" s="256">
        <v>16835100</v>
      </c>
      <c r="Y19" s="231"/>
    </row>
    <row r="20" spans="2:25" ht="14.4" x14ac:dyDescent="0.3">
      <c r="B20" s="18">
        <v>2</v>
      </c>
      <c r="C20" s="260">
        <f t="shared" ref="C20:C70" si="7">C19+7</f>
        <v>45786</v>
      </c>
      <c r="D20" s="11">
        <v>372000</v>
      </c>
      <c r="E20" s="21">
        <v>176000</v>
      </c>
      <c r="F20" s="12">
        <v>184000</v>
      </c>
      <c r="G20" s="20">
        <v>45000</v>
      </c>
      <c r="H20" s="17">
        <v>408805</v>
      </c>
      <c r="I20" s="133">
        <v>473735</v>
      </c>
      <c r="J20" s="128">
        <v>167878</v>
      </c>
      <c r="K20" s="131">
        <v>214667</v>
      </c>
      <c r="L20" s="131">
        <v>234124</v>
      </c>
      <c r="M20" s="131">
        <v>341357</v>
      </c>
      <c r="N20" s="131">
        <v>126775</v>
      </c>
      <c r="O20" s="131">
        <v>89636</v>
      </c>
      <c r="P20" s="287">
        <v>91174</v>
      </c>
      <c r="Q20" s="287">
        <v>776938</v>
      </c>
      <c r="R20" s="287">
        <f>'Summary -White maize'!Q19+'Summary -Yellow maize'!R20</f>
        <v>124529</v>
      </c>
      <c r="S20" s="341">
        <f>'Summary -White maize'!R19+'Summary -Yellow maize'!S20</f>
        <v>225757</v>
      </c>
      <c r="T20" s="309">
        <f>'Summary -White maize'!S19+'Summary -Yellow maize'!T20</f>
        <v>777278</v>
      </c>
      <c r="U20" s="309">
        <f>'Mielies-Maize 2025'!N17</f>
        <v>160660</v>
      </c>
      <c r="V20" s="309">
        <f>'Mielies-Maize 2026'!N17</f>
        <v>102220</v>
      </c>
      <c r="W20" s="254">
        <f t="shared" ref="W20:W22" si="8">AVERAGE(Q20:T20)</f>
        <v>476125.5</v>
      </c>
      <c r="X20" s="256">
        <v>16835100</v>
      </c>
    </row>
    <row r="21" spans="2:25" ht="14.4" x14ac:dyDescent="0.3">
      <c r="B21" s="18">
        <v>3</v>
      </c>
      <c r="C21" s="260">
        <f t="shared" si="7"/>
        <v>45793</v>
      </c>
      <c r="D21" s="11">
        <v>590000</v>
      </c>
      <c r="E21" s="21">
        <v>340000</v>
      </c>
      <c r="F21" s="12">
        <v>214000</v>
      </c>
      <c r="G21" s="20">
        <v>65000</v>
      </c>
      <c r="H21" s="17">
        <v>564639</v>
      </c>
      <c r="I21" s="133">
        <v>420829</v>
      </c>
      <c r="J21" s="128">
        <v>356538</v>
      </c>
      <c r="K21" s="131">
        <v>352169</v>
      </c>
      <c r="L21" s="131">
        <v>185344</v>
      </c>
      <c r="M21" s="131">
        <v>317183</v>
      </c>
      <c r="N21" s="131">
        <v>144795</v>
      </c>
      <c r="O21" s="131">
        <v>217769</v>
      </c>
      <c r="P21" s="287">
        <v>180919</v>
      </c>
      <c r="Q21" s="287">
        <v>1100483</v>
      </c>
      <c r="R21" s="287">
        <f>'Summary -White maize'!Q20+'Summary -Yellow maize'!R21</f>
        <v>215422</v>
      </c>
      <c r="S21" s="341">
        <f>'Summary -White maize'!R20+'Summary -Yellow maize'!S21</f>
        <v>240902</v>
      </c>
      <c r="T21" s="309">
        <f>'Summary -White maize'!S20+'Summary -Yellow maize'!T21</f>
        <v>995539</v>
      </c>
      <c r="U21" s="309">
        <f>'Mielies-Maize 2025'!N18</f>
        <v>267961</v>
      </c>
      <c r="V21" s="309">
        <f>'Mielies-Maize 2026'!N18</f>
        <v>205271</v>
      </c>
      <c r="W21" s="254">
        <f t="shared" si="8"/>
        <v>638086.5</v>
      </c>
      <c r="X21" s="256">
        <v>16835100</v>
      </c>
    </row>
    <row r="22" spans="2:25" ht="14.4" x14ac:dyDescent="0.3">
      <c r="B22" s="18">
        <v>4</v>
      </c>
      <c r="C22" s="260">
        <f t="shared" si="7"/>
        <v>45800</v>
      </c>
      <c r="D22" s="11">
        <v>365000</v>
      </c>
      <c r="E22" s="21">
        <v>504000</v>
      </c>
      <c r="F22" s="12">
        <v>483000</v>
      </c>
      <c r="G22" s="20">
        <v>202000</v>
      </c>
      <c r="H22" s="17">
        <v>762180</v>
      </c>
      <c r="I22" s="133">
        <v>692760</v>
      </c>
      <c r="J22" s="128">
        <v>485417</v>
      </c>
      <c r="K22" s="131">
        <v>624450</v>
      </c>
      <c r="L22" s="131">
        <v>529960</v>
      </c>
      <c r="M22" s="131">
        <v>1582136</v>
      </c>
      <c r="N22" s="131">
        <v>627550</v>
      </c>
      <c r="O22" s="131">
        <v>408168</v>
      </c>
      <c r="P22" s="287">
        <v>345775</v>
      </c>
      <c r="Q22" s="287">
        <v>1950727</v>
      </c>
      <c r="R22" s="287">
        <f>'Summary -White maize'!Q21+'Summary -Yellow maize'!R22</f>
        <v>526384</v>
      </c>
      <c r="S22" s="341">
        <f>'Summary -White maize'!R21+'Summary -Yellow maize'!S22</f>
        <v>684568</v>
      </c>
      <c r="T22" s="309">
        <f>'Summary -White maize'!S21+'Summary -Yellow maize'!T22</f>
        <v>1169105</v>
      </c>
      <c r="U22" s="309">
        <f>'Mielies-Maize 2025'!N19</f>
        <v>456977</v>
      </c>
      <c r="V22" s="309">
        <f>'Mielies-Maize 2026'!N19</f>
        <v>0</v>
      </c>
      <c r="W22" s="254">
        <f t="shared" si="8"/>
        <v>1082696</v>
      </c>
      <c r="X22" s="256"/>
    </row>
    <row r="23" spans="2:25" ht="14.4" x14ac:dyDescent="0.3">
      <c r="B23" s="18">
        <v>5</v>
      </c>
      <c r="C23" s="260">
        <f t="shared" si="7"/>
        <v>45807</v>
      </c>
      <c r="D23" s="11">
        <v>479000</v>
      </c>
      <c r="E23" s="21">
        <v>729000</v>
      </c>
      <c r="F23" s="12">
        <v>662000</v>
      </c>
      <c r="G23" s="20">
        <v>361000</v>
      </c>
      <c r="H23" s="17">
        <v>887960</v>
      </c>
      <c r="I23" s="133">
        <v>1075357</v>
      </c>
      <c r="J23" s="128">
        <v>859721</v>
      </c>
      <c r="K23" s="131">
        <v>928449</v>
      </c>
      <c r="L23" s="131">
        <v>353984</v>
      </c>
      <c r="M23" s="131">
        <v>873543</v>
      </c>
      <c r="N23" s="131">
        <v>46170</v>
      </c>
      <c r="O23" s="131">
        <v>686786</v>
      </c>
      <c r="P23" s="287">
        <v>825810</v>
      </c>
      <c r="Q23" s="287">
        <v>794172</v>
      </c>
      <c r="R23" s="287">
        <f>'Summary -White maize'!Q22+'Summary -Yellow maize'!R23</f>
        <v>274402</v>
      </c>
      <c r="S23" s="341">
        <f>'Summary -White maize'!R22+'Summary -Yellow maize'!S23</f>
        <v>768725</v>
      </c>
      <c r="T23" s="309">
        <f>'Summary -White maize'!S22+'Summary -Yellow maize'!T23</f>
        <v>1014181</v>
      </c>
      <c r="U23" s="309">
        <f>'Mielies-Maize 2025'!N20</f>
        <v>668562</v>
      </c>
      <c r="V23" s="309">
        <f>'Mielies-Maize 2026'!N20</f>
        <v>0</v>
      </c>
      <c r="W23" s="254">
        <f t="shared" ref="W23:W70" si="9">AVERAGE(Q23:T23)</f>
        <v>712870</v>
      </c>
      <c r="X23" s="256"/>
    </row>
    <row r="24" spans="2:25" ht="14.4" x14ac:dyDescent="0.3">
      <c r="B24" s="18">
        <v>6</v>
      </c>
      <c r="C24" s="260">
        <f t="shared" si="7"/>
        <v>45814</v>
      </c>
      <c r="D24" s="11">
        <v>752000</v>
      </c>
      <c r="E24" s="21">
        <v>405000</v>
      </c>
      <c r="F24" s="12">
        <v>1038000</v>
      </c>
      <c r="G24" s="20">
        <v>344000</v>
      </c>
      <c r="H24" s="17">
        <v>902569</v>
      </c>
      <c r="I24" s="133">
        <v>961341</v>
      </c>
      <c r="J24" s="128">
        <v>835609</v>
      </c>
      <c r="K24" s="131">
        <v>739886</v>
      </c>
      <c r="L24" s="131">
        <v>524754</v>
      </c>
      <c r="M24" s="131">
        <v>1028568</v>
      </c>
      <c r="N24" s="131">
        <v>511988</v>
      </c>
      <c r="O24" s="131">
        <v>663571</v>
      </c>
      <c r="P24" s="287">
        <v>625349</v>
      </c>
      <c r="Q24" s="287">
        <v>1114120</v>
      </c>
      <c r="R24" s="287">
        <f>'Summary -White maize'!Q23+'Summary -Yellow maize'!R24</f>
        <v>723424</v>
      </c>
      <c r="S24" s="341">
        <f>'Summary -White maize'!R23+'Summary -Yellow maize'!S24</f>
        <v>1221560</v>
      </c>
      <c r="T24" s="309">
        <f>'Summary -White maize'!S23+'Summary -Yellow maize'!T24</f>
        <v>892412</v>
      </c>
      <c r="U24" s="309">
        <f>'Mielies-Maize 2025'!N21</f>
        <v>879405</v>
      </c>
      <c r="V24" s="309">
        <f>'Mielies-Maize 2026'!N21</f>
        <v>0</v>
      </c>
      <c r="W24" s="254">
        <f t="shared" si="9"/>
        <v>987879</v>
      </c>
      <c r="X24" s="256"/>
    </row>
    <row r="25" spans="2:25" ht="14.4" x14ac:dyDescent="0.3">
      <c r="B25" s="18">
        <v>7</v>
      </c>
      <c r="C25" s="260">
        <f t="shared" si="7"/>
        <v>45821</v>
      </c>
      <c r="D25" s="11">
        <v>869000</v>
      </c>
      <c r="E25" s="21">
        <v>589000</v>
      </c>
      <c r="F25" s="12">
        <v>928000</v>
      </c>
      <c r="G25" s="20">
        <v>460000</v>
      </c>
      <c r="H25" s="17">
        <v>939355</v>
      </c>
      <c r="I25" s="133">
        <v>1042900</v>
      </c>
      <c r="J25" s="128">
        <v>1153598</v>
      </c>
      <c r="K25" s="131">
        <v>817476</v>
      </c>
      <c r="L25" s="131">
        <v>279998</v>
      </c>
      <c r="M25" s="131">
        <v>1097136</v>
      </c>
      <c r="N25" s="131">
        <v>768520</v>
      </c>
      <c r="O25" s="131">
        <v>741129</v>
      </c>
      <c r="P25" s="287">
        <v>911395</v>
      </c>
      <c r="Q25" s="287">
        <v>1223888</v>
      </c>
      <c r="R25" s="287">
        <f>'Summary -White maize'!Q24+'Summary -Yellow maize'!R25</f>
        <v>977000</v>
      </c>
      <c r="S25" s="341">
        <f>'Summary -White maize'!R24+'Summary -Yellow maize'!S25</f>
        <v>1425674</v>
      </c>
      <c r="T25" s="309">
        <f>'Summary -White maize'!S24+'Summary -Yellow maize'!T25</f>
        <v>938648</v>
      </c>
      <c r="U25" s="309">
        <f>'Mielies-Maize 2025'!N22</f>
        <v>938562</v>
      </c>
      <c r="V25" s="309">
        <f>'Mielies-Maize 2026'!N22</f>
        <v>0</v>
      </c>
      <c r="W25" s="254">
        <f t="shared" si="9"/>
        <v>1141302.5</v>
      </c>
      <c r="X25" s="256"/>
    </row>
    <row r="26" spans="2:25" ht="15" customHeight="1" x14ac:dyDescent="0.3">
      <c r="B26" s="18">
        <v>8</v>
      </c>
      <c r="C26" s="260">
        <f t="shared" si="7"/>
        <v>45828</v>
      </c>
      <c r="D26" s="23">
        <v>952000</v>
      </c>
      <c r="E26" s="21">
        <v>833000</v>
      </c>
      <c r="F26" s="20">
        <v>1085000</v>
      </c>
      <c r="G26" s="20">
        <v>714000</v>
      </c>
      <c r="H26" s="17">
        <v>890770</v>
      </c>
      <c r="I26" s="133">
        <v>861146</v>
      </c>
      <c r="J26" s="128">
        <v>1152050</v>
      </c>
      <c r="K26" s="131">
        <v>640917</v>
      </c>
      <c r="L26" s="131">
        <v>903668</v>
      </c>
      <c r="M26" s="131">
        <v>1361854</v>
      </c>
      <c r="N26" s="131">
        <v>847682</v>
      </c>
      <c r="O26" s="131">
        <v>641247</v>
      </c>
      <c r="P26" s="287">
        <v>643464</v>
      </c>
      <c r="Q26" s="287">
        <v>2538518</v>
      </c>
      <c r="R26" s="287">
        <f>'Summary -White maize'!Q25+'Summary -Yellow maize'!R26</f>
        <v>1190446</v>
      </c>
      <c r="S26" s="341">
        <f>'Summary -White maize'!R25+'Summary -Yellow maize'!S26</f>
        <v>1575610</v>
      </c>
      <c r="T26" s="309">
        <f>'Summary -White maize'!S25+'Summary -Yellow maize'!T26</f>
        <v>728252</v>
      </c>
      <c r="U26" s="309">
        <f>'Mielies-Maize 2025'!N23</f>
        <v>1194302</v>
      </c>
      <c r="V26" s="309">
        <f>'Mielies-Maize 2026'!N23</f>
        <v>0</v>
      </c>
      <c r="W26" s="254">
        <f t="shared" si="9"/>
        <v>1508206.5</v>
      </c>
      <c r="X26" s="256"/>
    </row>
    <row r="27" spans="2:25" ht="15" customHeight="1" x14ac:dyDescent="0.3">
      <c r="B27" s="18">
        <v>9</v>
      </c>
      <c r="C27" s="260">
        <f t="shared" si="7"/>
        <v>45835</v>
      </c>
      <c r="D27" s="19">
        <v>1822000</v>
      </c>
      <c r="E27" s="21">
        <v>1083000</v>
      </c>
      <c r="F27" s="20">
        <v>1031000</v>
      </c>
      <c r="G27" s="20">
        <v>829000</v>
      </c>
      <c r="H27" s="17">
        <v>469630</v>
      </c>
      <c r="I27" s="133">
        <v>1144150</v>
      </c>
      <c r="J27" s="128">
        <v>1816173</v>
      </c>
      <c r="K27" s="131">
        <v>1341444</v>
      </c>
      <c r="L27" s="131">
        <v>371663</v>
      </c>
      <c r="M27" s="131">
        <v>1642548</v>
      </c>
      <c r="N27" s="131">
        <v>1141738</v>
      </c>
      <c r="O27" s="131">
        <v>927345</v>
      </c>
      <c r="P27" s="287">
        <v>1837364</v>
      </c>
      <c r="Q27" s="287">
        <v>226304</v>
      </c>
      <c r="R27" s="287">
        <f>'Summary -White maize'!Q26+'Summary -Yellow maize'!R27</f>
        <v>734809</v>
      </c>
      <c r="S27" s="341">
        <f>'Summary -White maize'!R26+'Summary -Yellow maize'!S27</f>
        <v>1668457</v>
      </c>
      <c r="T27" s="309">
        <f>'Summary -White maize'!S26+'Summary -Yellow maize'!T27</f>
        <v>853736</v>
      </c>
      <c r="U27" s="309">
        <f>'Mielies-Maize 2025'!N24</f>
        <v>1497722</v>
      </c>
      <c r="V27" s="309">
        <f>'Mielies-Maize 2026'!N24</f>
        <v>0</v>
      </c>
      <c r="W27" s="254">
        <f t="shared" si="9"/>
        <v>870826.5</v>
      </c>
      <c r="X27" s="256"/>
    </row>
    <row r="28" spans="2:25" ht="15" customHeight="1" x14ac:dyDescent="0.3">
      <c r="B28" s="18">
        <v>10</v>
      </c>
      <c r="C28" s="260">
        <f t="shared" si="7"/>
        <v>45842</v>
      </c>
      <c r="D28" s="19">
        <v>1088000</v>
      </c>
      <c r="E28" s="21">
        <v>1331000</v>
      </c>
      <c r="F28" s="20">
        <v>1309000</v>
      </c>
      <c r="G28" s="20">
        <v>770000</v>
      </c>
      <c r="H28" s="17">
        <v>758221</v>
      </c>
      <c r="I28" s="133">
        <v>623266</v>
      </c>
      <c r="J28" s="128">
        <v>1139974</v>
      </c>
      <c r="K28" s="131">
        <v>413705</v>
      </c>
      <c r="L28" s="131">
        <v>356246</v>
      </c>
      <c r="M28" s="131">
        <v>1110309</v>
      </c>
      <c r="N28" s="131">
        <v>896702</v>
      </c>
      <c r="O28" s="131">
        <v>491316</v>
      </c>
      <c r="P28" s="287">
        <v>572931</v>
      </c>
      <c r="Q28" s="287">
        <v>879358</v>
      </c>
      <c r="R28" s="287">
        <f>'Summary -White maize'!Q27+'Summary -Yellow maize'!R28</f>
        <v>1008136</v>
      </c>
      <c r="S28" s="341">
        <f>'Summary -White maize'!R27+'Summary -Yellow maize'!S28</f>
        <v>1457721</v>
      </c>
      <c r="T28" s="309">
        <f>'Summary -White maize'!S27+'Summary -Yellow maize'!T28</f>
        <v>542077</v>
      </c>
      <c r="U28" s="309">
        <f>'Mielies-Maize 2025'!N25</f>
        <v>1240715</v>
      </c>
      <c r="V28" s="309">
        <f>'Mielies-Maize 2026'!N25</f>
        <v>0</v>
      </c>
      <c r="W28" s="254">
        <f t="shared" si="9"/>
        <v>971823</v>
      </c>
      <c r="X28" s="256"/>
    </row>
    <row r="29" spans="2:25" ht="15" customHeight="1" x14ac:dyDescent="0.3">
      <c r="B29" s="18">
        <v>11</v>
      </c>
      <c r="C29" s="260">
        <f t="shared" si="7"/>
        <v>45849</v>
      </c>
      <c r="D29" s="19">
        <v>803000</v>
      </c>
      <c r="E29" s="21">
        <v>1070000</v>
      </c>
      <c r="F29" s="20">
        <v>942000</v>
      </c>
      <c r="G29" s="20">
        <v>1102000</v>
      </c>
      <c r="H29" s="17">
        <v>738207</v>
      </c>
      <c r="I29" s="133">
        <v>533619</v>
      </c>
      <c r="J29" s="128">
        <v>1050299</v>
      </c>
      <c r="K29" s="131">
        <v>462585</v>
      </c>
      <c r="L29" s="131">
        <v>398989</v>
      </c>
      <c r="M29" s="131">
        <v>1089664</v>
      </c>
      <c r="N29" s="131">
        <v>781615</v>
      </c>
      <c r="O29" s="131">
        <v>535526</v>
      </c>
      <c r="P29" s="287">
        <v>1056702</v>
      </c>
      <c r="Q29" s="287">
        <v>631956</v>
      </c>
      <c r="R29" s="287">
        <f>'Summary -White maize'!Q28+'Summary -Yellow maize'!R29</f>
        <v>1217835</v>
      </c>
      <c r="S29" s="341">
        <f>'Summary -White maize'!R28+'Summary -Yellow maize'!S29</f>
        <v>1196400</v>
      </c>
      <c r="T29" s="309">
        <f>'Summary -White maize'!S28+'Summary -Yellow maize'!T29</f>
        <v>473503</v>
      </c>
      <c r="U29" s="309">
        <f>'Mielies-Maize 2025'!N26</f>
        <v>1255358</v>
      </c>
      <c r="V29" s="309">
        <f>'Mielies-Maize 2026'!N26</f>
        <v>0</v>
      </c>
      <c r="W29" s="254">
        <f t="shared" si="9"/>
        <v>879923.5</v>
      </c>
      <c r="X29" s="256"/>
    </row>
    <row r="30" spans="2:25" ht="15" customHeight="1" x14ac:dyDescent="0.3">
      <c r="B30" s="18">
        <v>12</v>
      </c>
      <c r="C30" s="260">
        <f t="shared" si="7"/>
        <v>45856</v>
      </c>
      <c r="D30" s="19">
        <v>650000</v>
      </c>
      <c r="E30" s="21">
        <v>962000</v>
      </c>
      <c r="F30" s="20">
        <v>789000</v>
      </c>
      <c r="G30" s="20">
        <v>882000</v>
      </c>
      <c r="H30" s="17">
        <v>826931</v>
      </c>
      <c r="I30" s="133">
        <v>430147</v>
      </c>
      <c r="J30" s="128">
        <v>953879</v>
      </c>
      <c r="K30" s="131">
        <v>468955</v>
      </c>
      <c r="L30" s="131">
        <v>432805</v>
      </c>
      <c r="M30" s="131">
        <v>967142</v>
      </c>
      <c r="N30" s="131">
        <v>771033</v>
      </c>
      <c r="O30" s="131">
        <v>569265</v>
      </c>
      <c r="P30" s="287">
        <v>1047133</v>
      </c>
      <c r="Q30" s="287">
        <v>494861</v>
      </c>
      <c r="R30" s="287">
        <f>'Summary -White maize'!Q29+'Summary -Yellow maize'!R30</f>
        <v>1362841</v>
      </c>
      <c r="S30" s="341">
        <f>'Summary -White maize'!R29+'Summary -Yellow maize'!S30</f>
        <v>996812</v>
      </c>
      <c r="T30" s="309">
        <f>'Summary -White maize'!S29+'Summary -Yellow maize'!T30</f>
        <v>361505</v>
      </c>
      <c r="U30" s="309">
        <f>'Mielies-Maize 2025'!N27</f>
        <v>1240939</v>
      </c>
      <c r="V30" s="309">
        <f>'Mielies-Maize 2026'!N27</f>
        <v>0</v>
      </c>
      <c r="W30" s="254">
        <f t="shared" si="9"/>
        <v>804004.75</v>
      </c>
      <c r="X30" s="256"/>
    </row>
    <row r="31" spans="2:25" ht="15" customHeight="1" x14ac:dyDescent="0.3">
      <c r="B31" s="18">
        <v>13</v>
      </c>
      <c r="C31" s="260">
        <f t="shared" si="7"/>
        <v>45863</v>
      </c>
      <c r="D31" s="19">
        <v>467000</v>
      </c>
      <c r="E31" s="21">
        <v>738000</v>
      </c>
      <c r="F31" s="20">
        <v>637000</v>
      </c>
      <c r="G31" s="20">
        <v>687000</v>
      </c>
      <c r="H31" s="17">
        <v>487471</v>
      </c>
      <c r="I31" s="133">
        <v>755689</v>
      </c>
      <c r="J31" s="128">
        <v>1294925</v>
      </c>
      <c r="K31" s="131">
        <v>311891</v>
      </c>
      <c r="L31" s="131">
        <v>211246</v>
      </c>
      <c r="M31" s="131">
        <v>1290753</v>
      </c>
      <c r="N31" s="131">
        <v>1475101</v>
      </c>
      <c r="O31" s="131">
        <v>1271422</v>
      </c>
      <c r="P31" s="287">
        <v>1072429</v>
      </c>
      <c r="Q31" s="287">
        <v>962657</v>
      </c>
      <c r="R31" s="287">
        <f>'Summary -White maize'!Q30+'Summary -Yellow maize'!R31</f>
        <v>1112913</v>
      </c>
      <c r="S31" s="341">
        <f>'Summary -White maize'!R30+'Summary -Yellow maize'!S31</f>
        <v>788229</v>
      </c>
      <c r="T31" s="309">
        <f>'Summary -White maize'!S30+'Summary -Yellow maize'!T31</f>
        <v>314601</v>
      </c>
      <c r="U31" s="309">
        <f>'Mielies-Maize 2025'!N28</f>
        <v>1164782</v>
      </c>
      <c r="V31" s="309">
        <f>'Mielies-Maize 2026'!N28</f>
        <v>0</v>
      </c>
      <c r="W31" s="254">
        <f t="shared" si="9"/>
        <v>794600</v>
      </c>
      <c r="X31" s="256"/>
    </row>
    <row r="32" spans="2:25" ht="15" customHeight="1" x14ac:dyDescent="0.3">
      <c r="B32" s="18">
        <v>14</v>
      </c>
      <c r="C32" s="260">
        <f t="shared" si="7"/>
        <v>45870</v>
      </c>
      <c r="D32" s="19">
        <v>476000</v>
      </c>
      <c r="E32" s="21">
        <v>421000</v>
      </c>
      <c r="F32" s="20">
        <v>476000</v>
      </c>
      <c r="G32" s="20">
        <v>591000</v>
      </c>
      <c r="H32" s="17">
        <v>368426</v>
      </c>
      <c r="I32" s="133">
        <v>212992</v>
      </c>
      <c r="J32" s="128">
        <v>504763</v>
      </c>
      <c r="K32" s="131">
        <v>439925</v>
      </c>
      <c r="L32" s="131">
        <v>202635</v>
      </c>
      <c r="M32" s="131">
        <v>424468</v>
      </c>
      <c r="N32" s="131">
        <v>496403</v>
      </c>
      <c r="O32" s="131">
        <v>200700</v>
      </c>
      <c r="P32" s="287">
        <v>1653777</v>
      </c>
      <c r="Q32" s="287">
        <v>178585</v>
      </c>
      <c r="R32" s="287">
        <f>'Summary -White maize'!Q31+'Summary -Yellow maize'!R32</f>
        <v>831443</v>
      </c>
      <c r="S32" s="341">
        <f>'Summary -White maize'!R31+'Summary -Yellow maize'!S32</f>
        <v>477309</v>
      </c>
      <c r="T32" s="309">
        <f>'Summary -White maize'!S31+'Summary -Yellow maize'!T32</f>
        <v>152495</v>
      </c>
      <c r="U32" s="309">
        <f>'Mielies-Maize 2025'!N29</f>
        <v>874410</v>
      </c>
      <c r="V32" s="309">
        <f>'Mielies-Maize 2026'!N29</f>
        <v>0</v>
      </c>
      <c r="W32" s="254">
        <f t="shared" si="9"/>
        <v>409958</v>
      </c>
      <c r="X32" s="256"/>
    </row>
    <row r="33" spans="2:25" ht="15" customHeight="1" x14ac:dyDescent="0.3">
      <c r="B33" s="18">
        <v>15</v>
      </c>
      <c r="C33" s="260">
        <f t="shared" si="7"/>
        <v>45877</v>
      </c>
      <c r="D33" s="19">
        <v>494000</v>
      </c>
      <c r="E33" s="21">
        <v>662000</v>
      </c>
      <c r="F33" s="20">
        <v>637000</v>
      </c>
      <c r="G33" s="20">
        <v>739000</v>
      </c>
      <c r="H33" s="17">
        <v>234835</v>
      </c>
      <c r="I33" s="133">
        <v>179734</v>
      </c>
      <c r="J33" s="128">
        <v>362593</v>
      </c>
      <c r="K33" s="131">
        <v>168925</v>
      </c>
      <c r="L33" s="131">
        <v>240817</v>
      </c>
      <c r="M33" s="131">
        <v>373057</v>
      </c>
      <c r="N33" s="131">
        <v>649509</v>
      </c>
      <c r="O33" s="131">
        <v>496840</v>
      </c>
      <c r="P33" s="287">
        <v>724664</v>
      </c>
      <c r="Q33" s="287">
        <v>115994</v>
      </c>
      <c r="R33" s="287">
        <f>'Summary -White maize'!Q32+'Summary -Yellow maize'!R33</f>
        <v>948885</v>
      </c>
      <c r="S33" s="341">
        <f>'Summary -White maize'!R32+'Summary -Yellow maize'!S33</f>
        <v>365441</v>
      </c>
      <c r="T33" s="309">
        <f>'Summary -White maize'!S32+'Summary -Yellow maize'!T33</f>
        <v>98362</v>
      </c>
      <c r="U33" s="309">
        <f>'Mielies-Maize 2025'!N30</f>
        <v>643826</v>
      </c>
      <c r="V33" s="309">
        <f>'Mielies-Maize 2026'!N30</f>
        <v>0</v>
      </c>
      <c r="W33" s="254">
        <f>AVERAGE(P33:T33)</f>
        <v>450669.2</v>
      </c>
      <c r="X33" s="256"/>
    </row>
    <row r="34" spans="2:25" ht="15" customHeight="1" x14ac:dyDescent="0.3">
      <c r="B34" s="18">
        <v>16</v>
      </c>
      <c r="C34" s="260">
        <f t="shared" si="7"/>
        <v>45884</v>
      </c>
      <c r="D34" s="19">
        <v>220000</v>
      </c>
      <c r="E34" s="21">
        <v>289000</v>
      </c>
      <c r="F34" s="20">
        <v>181000</v>
      </c>
      <c r="G34" s="20">
        <v>370000</v>
      </c>
      <c r="H34" s="17">
        <v>167767</v>
      </c>
      <c r="I34" s="133">
        <v>114233</v>
      </c>
      <c r="J34" s="128">
        <v>255864</v>
      </c>
      <c r="K34" s="131">
        <v>98053</v>
      </c>
      <c r="L34" s="131">
        <v>210093</v>
      </c>
      <c r="M34" s="131">
        <v>267093</v>
      </c>
      <c r="N34" s="131">
        <v>558736</v>
      </c>
      <c r="O34" s="131">
        <v>493813</v>
      </c>
      <c r="P34" s="287">
        <v>532619</v>
      </c>
      <c r="Q34" s="287">
        <v>74952</v>
      </c>
      <c r="R34" s="287">
        <f>'Summary -White maize'!Q33+'Summary -Yellow maize'!R34</f>
        <v>789359</v>
      </c>
      <c r="S34" s="341">
        <f>'Summary -White maize'!R33+'Summary -Yellow maize'!S34</f>
        <v>252444</v>
      </c>
      <c r="T34" s="309">
        <f>'Summary -White maize'!S33+'Summary -Yellow maize'!T34</f>
        <v>98251</v>
      </c>
      <c r="U34" s="309">
        <f>'Mielies-Maize 2025'!N31</f>
        <v>572963</v>
      </c>
      <c r="V34" s="309">
        <f>'Mielies-Maize 2026'!N31</f>
        <v>0</v>
      </c>
      <c r="W34" s="254">
        <f>AVERAGE(Q34:T34)</f>
        <v>303751.5</v>
      </c>
      <c r="X34" s="256"/>
    </row>
    <row r="35" spans="2:25" ht="15" customHeight="1" x14ac:dyDescent="0.3">
      <c r="B35" s="18">
        <v>17</v>
      </c>
      <c r="C35" s="260">
        <f t="shared" si="7"/>
        <v>45891</v>
      </c>
      <c r="D35" s="19">
        <v>141000</v>
      </c>
      <c r="E35" s="21">
        <v>168000</v>
      </c>
      <c r="F35" s="20">
        <v>126000</v>
      </c>
      <c r="G35" s="20">
        <v>287000</v>
      </c>
      <c r="H35" s="17">
        <v>451116</v>
      </c>
      <c r="I35" s="133">
        <v>82164</v>
      </c>
      <c r="J35" s="128">
        <v>157937</v>
      </c>
      <c r="K35" s="131">
        <v>82483</v>
      </c>
      <c r="L35" s="131">
        <v>341856</v>
      </c>
      <c r="M35" s="131">
        <v>532914</v>
      </c>
      <c r="N35" s="131">
        <v>391291</v>
      </c>
      <c r="O35" s="131">
        <v>384192</v>
      </c>
      <c r="P35" s="287">
        <v>369118</v>
      </c>
      <c r="Q35" s="287">
        <v>270361</v>
      </c>
      <c r="R35" s="287">
        <f>'Summary -White maize'!Q34+'Summary -Yellow maize'!R35</f>
        <v>729027</v>
      </c>
      <c r="S35" s="341">
        <f>'Summary -White maize'!R34+'Summary -Yellow maize'!S35</f>
        <v>239966</v>
      </c>
      <c r="T35" s="309">
        <f>'Summary -White maize'!S34+'Summary -Yellow maize'!T35</f>
        <v>70691</v>
      </c>
      <c r="U35" s="309">
        <f>'Mielies-Maize 2025'!N32</f>
        <v>385399</v>
      </c>
      <c r="V35" s="309">
        <f>'Mielies-Maize 2026'!N32</f>
        <v>0</v>
      </c>
      <c r="W35" s="254">
        <f t="shared" si="9"/>
        <v>327511.25</v>
      </c>
      <c r="X35" s="256"/>
    </row>
    <row r="36" spans="2:25" ht="15" customHeight="1" x14ac:dyDescent="0.3">
      <c r="B36" s="18">
        <v>18</v>
      </c>
      <c r="C36" s="260">
        <f t="shared" si="7"/>
        <v>45898</v>
      </c>
      <c r="D36" s="19">
        <v>71000</v>
      </c>
      <c r="E36" s="21">
        <v>92000</v>
      </c>
      <c r="F36" s="20">
        <v>96000</v>
      </c>
      <c r="G36" s="20">
        <v>195000</v>
      </c>
      <c r="H36" s="17">
        <v>89872</v>
      </c>
      <c r="I36" s="133">
        <v>-71193</v>
      </c>
      <c r="J36" s="128">
        <v>-232246</v>
      </c>
      <c r="K36" s="131">
        <v>122267</v>
      </c>
      <c r="L36" s="131">
        <v>64967</v>
      </c>
      <c r="M36" s="131">
        <v>48381</v>
      </c>
      <c r="N36" s="131">
        <v>488848</v>
      </c>
      <c r="O36" s="131">
        <v>651617</v>
      </c>
      <c r="P36" s="287">
        <v>694142</v>
      </c>
      <c r="Q36" s="287">
        <v>18748</v>
      </c>
      <c r="R36" s="287">
        <f>'Summary -White maize'!Q35+'Summary -Yellow maize'!R36</f>
        <v>293483</v>
      </c>
      <c r="S36" s="341">
        <f>'Summary -White maize'!R35+'Summary -Yellow maize'!S36</f>
        <v>90076</v>
      </c>
      <c r="T36" s="309">
        <f>'Summary -White maize'!S35+'Summary -Yellow maize'!T36</f>
        <v>95900</v>
      </c>
      <c r="U36" s="309">
        <f>'Mielies-Maize 2025'!N33</f>
        <v>271693</v>
      </c>
      <c r="V36" s="309">
        <f>'Mielies-Maize 2026'!N33</f>
        <v>0</v>
      </c>
      <c r="W36" s="254">
        <f>AVERAGE(Q36:T36)</f>
        <v>124551.75</v>
      </c>
      <c r="X36" s="256"/>
      <c r="Y36" s="231"/>
    </row>
    <row r="37" spans="2:25" ht="15" customHeight="1" x14ac:dyDescent="0.3">
      <c r="B37" s="18">
        <v>19</v>
      </c>
      <c r="C37" s="260">
        <f t="shared" si="7"/>
        <v>45905</v>
      </c>
      <c r="D37" s="19">
        <v>47000</v>
      </c>
      <c r="E37" s="21">
        <v>223000</v>
      </c>
      <c r="F37" s="20">
        <v>342000</v>
      </c>
      <c r="G37" s="20">
        <v>109000</v>
      </c>
      <c r="H37" s="17">
        <v>59131</v>
      </c>
      <c r="I37" s="133">
        <v>39460</v>
      </c>
      <c r="J37" s="128">
        <v>57937</v>
      </c>
      <c r="K37" s="131">
        <v>34177</v>
      </c>
      <c r="L37" s="131">
        <v>69387</v>
      </c>
      <c r="M37" s="131">
        <v>44994</v>
      </c>
      <c r="N37" s="131">
        <v>139054</v>
      </c>
      <c r="O37" s="131">
        <v>149366</v>
      </c>
      <c r="P37" s="287">
        <v>60863</v>
      </c>
      <c r="Q37" s="287">
        <v>39763</v>
      </c>
      <c r="R37" s="287">
        <f>'Summary -White maize'!Q36+'Summary -Yellow maize'!R37</f>
        <v>165879</v>
      </c>
      <c r="S37" s="341">
        <f>'Summary -White maize'!R36+'Summary -Yellow maize'!S37</f>
        <v>70031</v>
      </c>
      <c r="T37" s="309">
        <f>'Summary -White maize'!S36+'Summary -Yellow maize'!T37</f>
        <v>63830</v>
      </c>
      <c r="U37" s="309">
        <f>'Mielies-Maize 2025'!N34</f>
        <v>157133</v>
      </c>
      <c r="V37" s="309">
        <f>'Mielies-Maize 2026'!N34</f>
        <v>0</v>
      </c>
      <c r="W37" s="254">
        <f t="shared" si="9"/>
        <v>84875.75</v>
      </c>
      <c r="X37" s="256"/>
    </row>
    <row r="38" spans="2:25" ht="15" customHeight="1" x14ac:dyDescent="0.3">
      <c r="B38" s="18">
        <v>20</v>
      </c>
      <c r="C38" s="260">
        <f t="shared" si="7"/>
        <v>45912</v>
      </c>
      <c r="D38" s="109">
        <v>59000</v>
      </c>
      <c r="E38" s="110">
        <v>39000</v>
      </c>
      <c r="F38" s="111">
        <v>49000</v>
      </c>
      <c r="G38" s="111">
        <v>392000</v>
      </c>
      <c r="H38" s="17">
        <v>39818</v>
      </c>
      <c r="I38" s="133">
        <v>37537</v>
      </c>
      <c r="J38" s="128">
        <v>41398</v>
      </c>
      <c r="K38" s="131">
        <v>47685</v>
      </c>
      <c r="L38" s="131">
        <v>50479</v>
      </c>
      <c r="M38" s="131">
        <v>51137</v>
      </c>
      <c r="N38" s="131">
        <v>103657</v>
      </c>
      <c r="O38" s="131">
        <v>94372</v>
      </c>
      <c r="P38" s="287">
        <v>100786</v>
      </c>
      <c r="Q38" s="287">
        <v>36976</v>
      </c>
      <c r="R38" s="287">
        <f>'Summary -White maize'!Q37+'Summary -Yellow maize'!R38</f>
        <v>118028</v>
      </c>
      <c r="S38" s="341">
        <f>'Summary -White maize'!R37+'Summary -Yellow maize'!S38</f>
        <v>63727</v>
      </c>
      <c r="T38" s="309">
        <f>'Summary -White maize'!S37+'Summary -Yellow maize'!T38</f>
        <v>62950</v>
      </c>
      <c r="U38" s="309">
        <f>'Mielies-Maize 2025'!N35</f>
        <v>117766</v>
      </c>
      <c r="V38" s="309">
        <f>'Mielies-Maize 2026'!N35</f>
        <v>0</v>
      </c>
      <c r="W38" s="254">
        <f>AVERAGE(Q38:T38)</f>
        <v>70420.25</v>
      </c>
      <c r="X38" s="256"/>
    </row>
    <row r="39" spans="2:25" ht="15" customHeight="1" x14ac:dyDescent="0.3">
      <c r="B39" s="18">
        <v>21</v>
      </c>
      <c r="C39" s="260">
        <f t="shared" si="7"/>
        <v>45919</v>
      </c>
      <c r="D39" s="109">
        <v>23000</v>
      </c>
      <c r="E39" s="110">
        <v>28000</v>
      </c>
      <c r="F39" s="111">
        <v>39000</v>
      </c>
      <c r="G39" s="111">
        <v>120000</v>
      </c>
      <c r="H39" s="17">
        <v>156902</v>
      </c>
      <c r="I39" s="133">
        <v>30093</v>
      </c>
      <c r="J39" s="128">
        <v>36189</v>
      </c>
      <c r="K39" s="131">
        <v>31184</v>
      </c>
      <c r="L39" s="131">
        <v>39178</v>
      </c>
      <c r="M39" s="131">
        <v>38075</v>
      </c>
      <c r="N39" s="131">
        <v>63743</v>
      </c>
      <c r="O39" s="131">
        <v>51097</v>
      </c>
      <c r="P39" s="287">
        <v>65008</v>
      </c>
      <c r="Q39" s="287">
        <v>179675</v>
      </c>
      <c r="R39" s="287">
        <f>'Summary -White maize'!Q38+'Summary -Yellow maize'!R39</f>
        <v>74776</v>
      </c>
      <c r="S39" s="341">
        <f>'Summary -White maize'!R38+'Summary -Yellow maize'!S39</f>
        <v>63193</v>
      </c>
      <c r="T39" s="309">
        <f>'Summary -White maize'!S38+'Summary -Yellow maize'!T39</f>
        <v>59544</v>
      </c>
      <c r="U39" s="309">
        <f>'Mielies-Maize 2025'!N36</f>
        <v>90703</v>
      </c>
      <c r="V39" s="309">
        <f>'Mielies-Maize 2026'!N36</f>
        <v>0</v>
      </c>
      <c r="W39" s="254">
        <f t="shared" si="9"/>
        <v>94297</v>
      </c>
      <c r="X39" s="256"/>
    </row>
    <row r="40" spans="2:25" ht="15" customHeight="1" x14ac:dyDescent="0.3">
      <c r="B40" s="18">
        <v>22</v>
      </c>
      <c r="C40" s="260">
        <f t="shared" si="7"/>
        <v>45926</v>
      </c>
      <c r="D40" s="109">
        <v>18000</v>
      </c>
      <c r="E40" s="110">
        <v>23000</v>
      </c>
      <c r="F40" s="111">
        <v>38000</v>
      </c>
      <c r="G40" s="111">
        <v>36000</v>
      </c>
      <c r="H40" s="17">
        <v>30795</v>
      </c>
      <c r="I40" s="133">
        <v>65360</v>
      </c>
      <c r="J40" s="128">
        <v>89673</v>
      </c>
      <c r="K40" s="131">
        <v>63650</v>
      </c>
      <c r="L40" s="131">
        <v>46687</v>
      </c>
      <c r="M40" s="131">
        <v>116821</v>
      </c>
      <c r="N40" s="131">
        <v>156305</v>
      </c>
      <c r="O40" s="131">
        <v>153160</v>
      </c>
      <c r="P40" s="287">
        <v>268891</v>
      </c>
      <c r="Q40" s="287">
        <v>8436</v>
      </c>
      <c r="R40" s="287">
        <f>'Summary -White maize'!Q39+'Summary -Yellow maize'!R40</f>
        <v>146431</v>
      </c>
      <c r="S40" s="341">
        <f>'Summary -White maize'!R39+'Summary -Yellow maize'!S40</f>
        <v>91604</v>
      </c>
      <c r="T40" s="309">
        <f>'Summary -White maize'!S39+'Summary -Yellow maize'!T40</f>
        <v>74927</v>
      </c>
      <c r="U40" s="309">
        <f>'Mielies-Maize 2025'!N37</f>
        <v>87815</v>
      </c>
      <c r="V40" s="309">
        <f>'Mielies-Maize 2026'!N37</f>
        <v>0</v>
      </c>
      <c r="W40" s="254">
        <f t="shared" si="9"/>
        <v>80349.5</v>
      </c>
      <c r="X40" s="256"/>
    </row>
    <row r="41" spans="2:25" ht="15" customHeight="1" x14ac:dyDescent="0.3">
      <c r="B41" s="18">
        <v>23</v>
      </c>
      <c r="C41" s="260">
        <f t="shared" si="7"/>
        <v>45933</v>
      </c>
      <c r="D41" s="120">
        <v>20000</v>
      </c>
      <c r="E41" s="110">
        <v>123000</v>
      </c>
      <c r="F41" s="111">
        <v>113000</v>
      </c>
      <c r="G41" s="111">
        <v>17000</v>
      </c>
      <c r="H41" s="17">
        <v>26612</v>
      </c>
      <c r="I41" s="133">
        <v>23565</v>
      </c>
      <c r="J41" s="128">
        <v>8545</v>
      </c>
      <c r="K41" s="131">
        <v>23462</v>
      </c>
      <c r="L41" s="131">
        <v>18255</v>
      </c>
      <c r="M41" s="131">
        <v>27298</v>
      </c>
      <c r="N41" s="131">
        <v>24832</v>
      </c>
      <c r="O41" s="131">
        <v>26895</v>
      </c>
      <c r="P41" s="287">
        <v>10826</v>
      </c>
      <c r="Q41" s="287">
        <v>25245</v>
      </c>
      <c r="R41" s="287">
        <f>'Summary -White maize'!Q40+'Summary -Yellow maize'!R41</f>
        <v>62925</v>
      </c>
      <c r="S41" s="341">
        <f>'Summary -White maize'!R40+'Summary -Yellow maize'!S41</f>
        <v>56553</v>
      </c>
      <c r="T41" s="309">
        <f>'Summary -White maize'!S40+'Summary -Yellow maize'!T41</f>
        <v>56864</v>
      </c>
      <c r="U41" s="309">
        <f>'Mielies-Maize 2025'!N38</f>
        <v>56935</v>
      </c>
      <c r="V41" s="309">
        <f>'Mielies-Maize 2026'!N38</f>
        <v>0</v>
      </c>
      <c r="W41" s="254">
        <f t="shared" si="9"/>
        <v>50396.75</v>
      </c>
      <c r="X41" s="256"/>
    </row>
    <row r="42" spans="2:25" ht="15" customHeight="1" x14ac:dyDescent="0.3">
      <c r="B42" s="18">
        <v>24</v>
      </c>
      <c r="C42" s="260">
        <f t="shared" si="7"/>
        <v>45940</v>
      </c>
      <c r="D42" s="19">
        <v>190000</v>
      </c>
      <c r="E42" s="21">
        <v>24000</v>
      </c>
      <c r="F42" s="20">
        <v>38000</v>
      </c>
      <c r="G42" s="20">
        <v>28000</v>
      </c>
      <c r="H42" s="17">
        <v>26031</v>
      </c>
      <c r="I42" s="133">
        <v>28713</v>
      </c>
      <c r="J42" s="128">
        <v>28007</v>
      </c>
      <c r="K42" s="131">
        <v>26319</v>
      </c>
      <c r="L42" s="131">
        <v>18585</v>
      </c>
      <c r="M42" s="131">
        <v>31469</v>
      </c>
      <c r="N42" s="131">
        <v>32147</v>
      </c>
      <c r="O42" s="131">
        <v>26468</v>
      </c>
      <c r="P42" s="287">
        <v>29004</v>
      </c>
      <c r="Q42" s="287">
        <v>29179</v>
      </c>
      <c r="R42" s="287">
        <f>'Summary -White maize'!Q41+'Summary -Yellow maize'!R42</f>
        <v>60714</v>
      </c>
      <c r="S42" s="341">
        <f>'Summary -White maize'!R41+'Summary -Yellow maize'!S42</f>
        <v>56386</v>
      </c>
      <c r="T42" s="309">
        <f>'Summary -White maize'!S41+'Summary -Yellow maize'!T42</f>
        <v>65307</v>
      </c>
      <c r="U42" s="309">
        <f>'Mielies-Maize 2025'!N39</f>
        <v>59418</v>
      </c>
      <c r="V42" s="309">
        <f>'Mielies-Maize 2026'!N39</f>
        <v>0</v>
      </c>
      <c r="W42" s="254">
        <f t="shared" si="9"/>
        <v>52896.5</v>
      </c>
      <c r="X42" s="256"/>
    </row>
    <row r="43" spans="2:25" ht="15" customHeight="1" x14ac:dyDescent="0.3">
      <c r="B43" s="18">
        <v>25</v>
      </c>
      <c r="C43" s="260">
        <f t="shared" si="7"/>
        <v>45947</v>
      </c>
      <c r="D43" s="19">
        <v>22000</v>
      </c>
      <c r="E43" s="21">
        <v>27000</v>
      </c>
      <c r="F43" s="20">
        <v>60000</v>
      </c>
      <c r="G43" s="20">
        <v>32000</v>
      </c>
      <c r="H43" s="17">
        <v>54077</v>
      </c>
      <c r="I43" s="133">
        <v>28012</v>
      </c>
      <c r="J43" s="128">
        <v>19090</v>
      </c>
      <c r="K43" s="131">
        <v>29270</v>
      </c>
      <c r="L43" s="131">
        <v>11610</v>
      </c>
      <c r="M43" s="131">
        <v>29200</v>
      </c>
      <c r="N43" s="131">
        <v>24125</v>
      </c>
      <c r="O43" s="131">
        <v>26578</v>
      </c>
      <c r="P43" s="287">
        <v>25011</v>
      </c>
      <c r="Q43" s="287">
        <v>27351</v>
      </c>
      <c r="R43" s="287">
        <f>'Summary -White maize'!Q42+'Summary -Yellow maize'!R43</f>
        <v>51607</v>
      </c>
      <c r="S43" s="341">
        <f>'Summary -White maize'!R42+'Summary -Yellow maize'!S43</f>
        <v>48484</v>
      </c>
      <c r="T43" s="309">
        <f>'Summary -White maize'!S42+'Summary -Yellow maize'!T43</f>
        <v>54117</v>
      </c>
      <c r="U43" s="309">
        <f>'Mielies-Maize 2025'!N40</f>
        <v>60705</v>
      </c>
      <c r="V43" s="309">
        <f>'Mielies-Maize 2026'!N40</f>
        <v>0</v>
      </c>
      <c r="W43" s="254">
        <f t="shared" si="9"/>
        <v>45389.75</v>
      </c>
      <c r="X43" s="256"/>
    </row>
    <row r="44" spans="2:25" ht="15" customHeight="1" x14ac:dyDescent="0.3">
      <c r="B44" s="18">
        <v>26</v>
      </c>
      <c r="C44" s="260">
        <f t="shared" si="7"/>
        <v>45954</v>
      </c>
      <c r="D44" s="19">
        <v>18000</v>
      </c>
      <c r="E44" s="21">
        <v>27000</v>
      </c>
      <c r="F44" s="41">
        <v>26000</v>
      </c>
      <c r="G44" s="20">
        <v>29000</v>
      </c>
      <c r="H44" s="17">
        <v>23623</v>
      </c>
      <c r="I44" s="133">
        <v>63648</v>
      </c>
      <c r="J44" s="128">
        <v>18634</v>
      </c>
      <c r="K44" s="131">
        <v>27236</v>
      </c>
      <c r="L44" s="131">
        <v>34106</v>
      </c>
      <c r="M44" s="131">
        <v>106412</v>
      </c>
      <c r="N44" s="131">
        <v>107920</v>
      </c>
      <c r="O44" s="131">
        <v>126769</v>
      </c>
      <c r="P44" s="287">
        <v>21112</v>
      </c>
      <c r="Q44" s="287">
        <v>110906</v>
      </c>
      <c r="R44" s="287">
        <f>'Summary -White maize'!Q43+'Summary -Yellow maize'!R44</f>
        <v>73439</v>
      </c>
      <c r="S44" s="341">
        <f>'Summary -White maize'!R43+'Summary -Yellow maize'!S44</f>
        <v>74727</v>
      </c>
      <c r="T44" s="309">
        <f>'Summary -White maize'!S43+'Summary -Yellow maize'!T44</f>
        <v>66844</v>
      </c>
      <c r="U44" s="309">
        <f>'Mielies-Maize 2025'!N41</f>
        <v>55007</v>
      </c>
      <c r="V44" s="309">
        <f>'Mielies-Maize 2026'!N41</f>
        <v>0</v>
      </c>
      <c r="W44" s="254">
        <f t="shared" si="9"/>
        <v>81479</v>
      </c>
      <c r="X44" s="256"/>
    </row>
    <row r="45" spans="2:25" ht="15" customHeight="1" x14ac:dyDescent="0.3">
      <c r="B45" s="18">
        <v>27</v>
      </c>
      <c r="C45" s="260">
        <f t="shared" si="7"/>
        <v>45961</v>
      </c>
      <c r="D45" s="19">
        <v>18000</v>
      </c>
      <c r="E45" s="21">
        <v>19000</v>
      </c>
      <c r="F45" s="41">
        <v>26000</v>
      </c>
      <c r="G45" s="41">
        <v>21000</v>
      </c>
      <c r="H45" s="17">
        <v>16866</v>
      </c>
      <c r="I45" s="133">
        <v>22275</v>
      </c>
      <c r="J45" s="128">
        <v>77905</v>
      </c>
      <c r="K45" s="131">
        <v>39533</v>
      </c>
      <c r="L45" s="131">
        <v>7178</v>
      </c>
      <c r="M45" s="131">
        <v>10783</v>
      </c>
      <c r="N45" s="131">
        <v>6765</v>
      </c>
      <c r="O45" s="131">
        <v>4391</v>
      </c>
      <c r="P45" s="287">
        <v>136186</v>
      </c>
      <c r="Q45" s="287">
        <v>15659</v>
      </c>
      <c r="R45" s="287">
        <f>'Summary -White maize'!Q44+'Summary -Yellow maize'!R45</f>
        <v>42383</v>
      </c>
      <c r="S45" s="341">
        <f>'Summary -White maize'!R44+'Summary -Yellow maize'!S45</f>
        <v>29305</v>
      </c>
      <c r="T45" s="309">
        <f>'Summary -White maize'!S44+'Summary -Yellow maize'!T45</f>
        <v>41630</v>
      </c>
      <c r="U45" s="309">
        <f>'Mielies-Maize 2025'!N42</f>
        <v>85184</v>
      </c>
      <c r="V45" s="309">
        <f>'Mielies-Maize 2026'!N42</f>
        <v>0</v>
      </c>
      <c r="W45" s="254">
        <f t="shared" si="9"/>
        <v>32244.25</v>
      </c>
      <c r="X45" s="256"/>
    </row>
    <row r="46" spans="2:25" ht="15" customHeight="1" x14ac:dyDescent="0.3">
      <c r="B46" s="18">
        <v>28</v>
      </c>
      <c r="C46" s="260">
        <f t="shared" si="7"/>
        <v>45968</v>
      </c>
      <c r="D46" s="19">
        <v>17000</v>
      </c>
      <c r="E46" s="21">
        <v>50000</v>
      </c>
      <c r="F46" s="20">
        <v>39000</v>
      </c>
      <c r="G46" s="41">
        <v>12000</v>
      </c>
      <c r="H46" s="17">
        <v>21766</v>
      </c>
      <c r="I46" s="133">
        <v>15295</v>
      </c>
      <c r="J46" s="128">
        <v>16901</v>
      </c>
      <c r="K46" s="131">
        <v>19255</v>
      </c>
      <c r="L46" s="131">
        <v>6845</v>
      </c>
      <c r="M46" s="131">
        <v>17414</v>
      </c>
      <c r="N46" s="131">
        <v>14713</v>
      </c>
      <c r="O46" s="131">
        <v>16139</v>
      </c>
      <c r="P46" s="287">
        <v>13467</v>
      </c>
      <c r="Q46" s="287">
        <v>22049</v>
      </c>
      <c r="R46" s="287">
        <f>'Summary -White maize'!Q45+'Summary -Yellow maize'!R46</f>
        <v>33817</v>
      </c>
      <c r="S46" s="341">
        <f>'Summary -White maize'!R45+'Summary -Yellow maize'!S46</f>
        <v>29823</v>
      </c>
      <c r="T46" s="309">
        <f>'Summary -White maize'!S45+'Summary -Yellow maize'!T46</f>
        <v>40660</v>
      </c>
      <c r="U46" s="309">
        <f>'Mielies-Maize 2025'!N43</f>
        <v>50340</v>
      </c>
      <c r="V46" s="309">
        <f>'Mielies-Maize 2026'!N43</f>
        <v>0</v>
      </c>
      <c r="W46" s="254">
        <f t="shared" si="9"/>
        <v>31587.25</v>
      </c>
      <c r="X46" s="256"/>
    </row>
    <row r="47" spans="2:25" ht="15" customHeight="1" x14ac:dyDescent="0.3">
      <c r="B47" s="18">
        <v>29</v>
      </c>
      <c r="C47" s="260">
        <f t="shared" si="7"/>
        <v>45975</v>
      </c>
      <c r="D47" s="19">
        <v>38000</v>
      </c>
      <c r="E47" s="21">
        <v>20000</v>
      </c>
      <c r="F47" s="20">
        <v>24000</v>
      </c>
      <c r="G47" s="41">
        <v>28000</v>
      </c>
      <c r="H47" s="17">
        <v>19043</v>
      </c>
      <c r="I47" s="133">
        <v>-4197</v>
      </c>
      <c r="J47" s="128">
        <v>16145</v>
      </c>
      <c r="K47" s="131">
        <v>20508</v>
      </c>
      <c r="L47" s="131">
        <v>9858</v>
      </c>
      <c r="M47" s="131">
        <v>17344</v>
      </c>
      <c r="N47" s="131">
        <v>14326</v>
      </c>
      <c r="O47" s="131">
        <v>12433</v>
      </c>
      <c r="P47" s="287">
        <v>10988</v>
      </c>
      <c r="Q47" s="287">
        <v>15997</v>
      </c>
      <c r="R47" s="287">
        <f>'Summary -White maize'!Q46+'Summary -Yellow maize'!R47</f>
        <v>38729</v>
      </c>
      <c r="S47" s="341">
        <f>'Summary -White maize'!R46+'Summary -Yellow maize'!S47</f>
        <v>26594</v>
      </c>
      <c r="T47" s="309">
        <f>'Summary -White maize'!S46+'Summary -Yellow maize'!T47</f>
        <v>34729</v>
      </c>
      <c r="U47" s="309">
        <f>'Mielies-Maize 2025'!N44</f>
        <v>50226</v>
      </c>
      <c r="V47" s="309">
        <f>'Mielies-Maize 2026'!N44</f>
        <v>0</v>
      </c>
      <c r="W47" s="254">
        <f t="shared" si="9"/>
        <v>29012.25</v>
      </c>
      <c r="X47" s="256"/>
    </row>
    <row r="48" spans="2:25" ht="15" customHeight="1" x14ac:dyDescent="0.3">
      <c r="B48" s="18">
        <v>30</v>
      </c>
      <c r="C48" s="260">
        <f t="shared" si="7"/>
        <v>45982</v>
      </c>
      <c r="D48" s="19">
        <v>34000</v>
      </c>
      <c r="E48" s="21">
        <v>25000</v>
      </c>
      <c r="F48" s="20">
        <v>27000</v>
      </c>
      <c r="G48" s="41">
        <v>48000</v>
      </c>
      <c r="H48" s="17">
        <v>57876</v>
      </c>
      <c r="I48" s="133">
        <v>15132</v>
      </c>
      <c r="J48" s="128">
        <v>16187</v>
      </c>
      <c r="K48" s="131">
        <v>11077</v>
      </c>
      <c r="L48" s="131">
        <v>58749</v>
      </c>
      <c r="M48" s="131">
        <v>107653</v>
      </c>
      <c r="N48" s="131">
        <v>16251</v>
      </c>
      <c r="O48" s="131">
        <v>7872</v>
      </c>
      <c r="P48" s="287">
        <v>9669</v>
      </c>
      <c r="Q48" s="287">
        <v>98202</v>
      </c>
      <c r="R48" s="287">
        <f>'Summary -White maize'!Q47+'Summary -Yellow maize'!R48</f>
        <v>65276</v>
      </c>
      <c r="S48" s="341">
        <f>'Summary -White maize'!R47+'Summary -Yellow maize'!S48</f>
        <v>76714</v>
      </c>
      <c r="T48" s="309">
        <f>'Summary -White maize'!S47+'Summary -Yellow maize'!T48</f>
        <v>34008</v>
      </c>
      <c r="U48" s="309">
        <f>'Mielies-Maize 2025'!N45</f>
        <v>47884</v>
      </c>
      <c r="V48" s="309">
        <f>'Mielies-Maize 2026'!N45</f>
        <v>0</v>
      </c>
      <c r="W48" s="254">
        <f t="shared" si="9"/>
        <v>68550</v>
      </c>
      <c r="X48" s="256"/>
    </row>
    <row r="49" spans="2:24" ht="15" customHeight="1" x14ac:dyDescent="0.3">
      <c r="B49" s="18">
        <v>31</v>
      </c>
      <c r="C49" s="260">
        <f t="shared" si="7"/>
        <v>45989</v>
      </c>
      <c r="D49" s="23">
        <v>-4000</v>
      </c>
      <c r="E49" s="21">
        <v>15000</v>
      </c>
      <c r="F49" s="20">
        <v>17000</v>
      </c>
      <c r="G49" s="41">
        <v>15000</v>
      </c>
      <c r="H49" s="17">
        <v>23769</v>
      </c>
      <c r="I49" s="133">
        <v>43649</v>
      </c>
      <c r="J49" s="128">
        <v>53618</v>
      </c>
      <c r="K49" s="131">
        <v>43075</v>
      </c>
      <c r="L49" s="131">
        <v>6854</v>
      </c>
      <c r="M49" s="131">
        <v>10642</v>
      </c>
      <c r="N49" s="131">
        <v>68407</v>
      </c>
      <c r="O49" s="131">
        <v>66898</v>
      </c>
      <c r="P49" s="287">
        <v>77188</v>
      </c>
      <c r="Q49" s="287">
        <v>6784</v>
      </c>
      <c r="R49" s="287">
        <f>'Summary -White maize'!Q48+'Summary -Yellow maize'!R49</f>
        <v>15382</v>
      </c>
      <c r="S49" s="341">
        <f>'Summary -White maize'!R48+'Summary -Yellow maize'!S49</f>
        <v>34356</v>
      </c>
      <c r="T49" s="309">
        <f>'Summary -White maize'!S48+'Summary -Yellow maize'!T49</f>
        <v>59992</v>
      </c>
      <c r="U49" s="309">
        <f>'Mielies-Maize 2025'!N46</f>
        <v>59205</v>
      </c>
      <c r="V49" s="309">
        <f>'Mielies-Maize 2026'!N46</f>
        <v>0</v>
      </c>
      <c r="W49" s="254">
        <f t="shared" si="9"/>
        <v>29128.5</v>
      </c>
      <c r="X49" s="256"/>
    </row>
    <row r="50" spans="2:24" ht="15" customHeight="1" x14ac:dyDescent="0.3">
      <c r="B50" s="18">
        <v>32</v>
      </c>
      <c r="C50" s="260">
        <f t="shared" si="7"/>
        <v>45996</v>
      </c>
      <c r="D50" s="23">
        <v>26000</v>
      </c>
      <c r="E50" s="21">
        <v>25000</v>
      </c>
      <c r="F50" s="20">
        <v>-13000</v>
      </c>
      <c r="G50" s="41">
        <v>30000</v>
      </c>
      <c r="H50" s="17">
        <v>20991</v>
      </c>
      <c r="I50" s="133">
        <v>13905</v>
      </c>
      <c r="J50" s="128">
        <v>16735</v>
      </c>
      <c r="K50" s="131">
        <v>12352</v>
      </c>
      <c r="L50" s="131">
        <v>0</v>
      </c>
      <c r="M50" s="131">
        <v>9794</v>
      </c>
      <c r="N50" s="131">
        <v>9041</v>
      </c>
      <c r="O50" s="131">
        <v>5070</v>
      </c>
      <c r="P50" s="287">
        <v>8259</v>
      </c>
      <c r="Q50" s="287">
        <v>17651</v>
      </c>
      <c r="R50" s="287">
        <f>'Summary -White maize'!Q49+'Summary -Yellow maize'!R50</f>
        <v>22627</v>
      </c>
      <c r="S50" s="341">
        <f>'Summary -White maize'!R49+'Summary -Yellow maize'!S50</f>
        <v>34064</v>
      </c>
      <c r="T50" s="309">
        <f>'Summary -White maize'!S49+'Summary -Yellow maize'!T50</f>
        <v>42811</v>
      </c>
      <c r="U50" s="309">
        <f>'Mielies-Maize 2025'!N47</f>
        <v>43617</v>
      </c>
      <c r="V50" s="309">
        <f>'Mielies-Maize 2026'!N47</f>
        <v>0</v>
      </c>
      <c r="W50" s="254">
        <f t="shared" si="9"/>
        <v>29288.25</v>
      </c>
      <c r="X50" s="256"/>
    </row>
    <row r="51" spans="2:24" ht="15" customHeight="1" x14ac:dyDescent="0.3">
      <c r="B51" s="18">
        <v>33</v>
      </c>
      <c r="C51" s="260">
        <f t="shared" si="7"/>
        <v>46003</v>
      </c>
      <c r="D51" s="23">
        <v>0</v>
      </c>
      <c r="E51" s="21">
        <v>0</v>
      </c>
      <c r="F51" s="20">
        <v>5000</v>
      </c>
      <c r="G51" s="41">
        <v>0</v>
      </c>
      <c r="H51" s="17">
        <v>0</v>
      </c>
      <c r="I51" s="133">
        <v>0</v>
      </c>
      <c r="J51" s="128">
        <v>0</v>
      </c>
      <c r="K51" s="131">
        <v>0</v>
      </c>
      <c r="L51" s="131">
        <v>0</v>
      </c>
      <c r="M51" s="131">
        <v>0</v>
      </c>
      <c r="N51" s="131">
        <v>9330</v>
      </c>
      <c r="O51" s="131">
        <v>3207</v>
      </c>
      <c r="P51" s="287">
        <v>10284</v>
      </c>
      <c r="Q51" s="287">
        <v>14535</v>
      </c>
      <c r="R51" s="287">
        <f>'Summary -White maize'!Q50+'Summary -Yellow maize'!R51</f>
        <v>15678</v>
      </c>
      <c r="S51" s="341">
        <f>'Summary -White maize'!R50+'Summary -Yellow maize'!S51</f>
        <v>31190</v>
      </c>
      <c r="T51" s="309">
        <f>'Summary -White maize'!S50+'Summary -Yellow maize'!T51</f>
        <v>38589</v>
      </c>
      <c r="U51" s="309">
        <f>'Mielies-Maize 2025'!N48</f>
        <v>43698</v>
      </c>
      <c r="V51" s="309">
        <f>'Mielies-Maize 2026'!N48</f>
        <v>0</v>
      </c>
      <c r="W51" s="254">
        <f t="shared" si="9"/>
        <v>24998</v>
      </c>
      <c r="X51" s="256"/>
    </row>
    <row r="52" spans="2:24" ht="15" customHeight="1" x14ac:dyDescent="0.3">
      <c r="B52" s="18">
        <v>34</v>
      </c>
      <c r="C52" s="260">
        <f t="shared" si="7"/>
        <v>46010</v>
      </c>
      <c r="D52" s="23">
        <v>31000</v>
      </c>
      <c r="E52" s="21">
        <v>0</v>
      </c>
      <c r="F52" s="20">
        <v>5000</v>
      </c>
      <c r="G52" s="41">
        <v>0</v>
      </c>
      <c r="H52" s="17">
        <v>0</v>
      </c>
      <c r="I52" s="133">
        <v>0</v>
      </c>
      <c r="J52" s="128">
        <v>0</v>
      </c>
      <c r="K52" s="131">
        <v>0</v>
      </c>
      <c r="L52" s="131">
        <v>0</v>
      </c>
      <c r="M52" s="131">
        <v>0</v>
      </c>
      <c r="N52" s="131">
        <v>11816</v>
      </c>
      <c r="O52" s="131">
        <v>6117</v>
      </c>
      <c r="P52" s="287">
        <v>7758</v>
      </c>
      <c r="Q52" s="287">
        <v>9185</v>
      </c>
      <c r="R52" s="287">
        <f>'Summary -White maize'!Q51+'Summary -Yellow maize'!R52</f>
        <v>13107</v>
      </c>
      <c r="S52" s="341">
        <f>'Summary -White maize'!R51+'Summary -Yellow maize'!S52</f>
        <v>21118</v>
      </c>
      <c r="T52" s="309">
        <f>'Summary -White maize'!S51+'Summary -Yellow maize'!T52</f>
        <v>27547</v>
      </c>
      <c r="U52" s="309">
        <f>'Mielies-Maize 2025'!N49</f>
        <v>31319</v>
      </c>
      <c r="V52" s="309">
        <f>'Mielies-Maize 2026'!N49</f>
        <v>0</v>
      </c>
      <c r="W52" s="254">
        <f t="shared" si="9"/>
        <v>17739.25</v>
      </c>
      <c r="X52" s="256"/>
    </row>
    <row r="53" spans="2:24" ht="15" customHeight="1" x14ac:dyDescent="0.3">
      <c r="B53" s="18">
        <v>35</v>
      </c>
      <c r="C53" s="260">
        <f t="shared" si="7"/>
        <v>46017</v>
      </c>
      <c r="D53" s="23">
        <v>34000</v>
      </c>
      <c r="E53" s="21">
        <v>35000</v>
      </c>
      <c r="F53" s="20">
        <v>5000</v>
      </c>
      <c r="G53" s="41">
        <v>15000</v>
      </c>
      <c r="H53" s="17">
        <v>75763</v>
      </c>
      <c r="I53" s="133">
        <v>46907</v>
      </c>
      <c r="J53" s="128">
        <v>68533</v>
      </c>
      <c r="K53" s="131">
        <v>57507</v>
      </c>
      <c r="L53" s="131">
        <v>40486</v>
      </c>
      <c r="M53" s="131">
        <v>61431</v>
      </c>
      <c r="N53" s="131">
        <v>20993</v>
      </c>
      <c r="O53" s="131">
        <v>31539</v>
      </c>
      <c r="P53" s="287">
        <v>59049</v>
      </c>
      <c r="Q53" s="287">
        <v>66642</v>
      </c>
      <c r="R53" s="287">
        <f>'Summary -White maize'!Q52+'Summary -Yellow maize'!R53</f>
        <v>27494</v>
      </c>
      <c r="S53" s="341">
        <f>'Summary -White maize'!R52+'Summary -Yellow maize'!S53</f>
        <v>31519</v>
      </c>
      <c r="T53" s="309">
        <f>'Summary -White maize'!S52+'Summary -Yellow maize'!T53</f>
        <v>15669</v>
      </c>
      <c r="U53" s="309">
        <f>'Mielies-Maize 2025'!N50</f>
        <v>24519</v>
      </c>
      <c r="V53" s="309">
        <f>'Mielies-Maize 2026'!N50</f>
        <v>0</v>
      </c>
      <c r="W53" s="254">
        <f t="shared" si="9"/>
        <v>35331</v>
      </c>
      <c r="X53" s="256"/>
    </row>
    <row r="54" spans="2:24" ht="15" customHeight="1" x14ac:dyDescent="0.3">
      <c r="B54" s="18">
        <v>36</v>
      </c>
      <c r="C54" s="260">
        <f t="shared" si="7"/>
        <v>46024</v>
      </c>
      <c r="D54" s="23">
        <v>13000</v>
      </c>
      <c r="E54" s="21">
        <v>12000</v>
      </c>
      <c r="F54" s="20">
        <v>5000</v>
      </c>
      <c r="G54" s="41">
        <v>10000</v>
      </c>
      <c r="H54" s="17">
        <v>4419</v>
      </c>
      <c r="I54" s="133">
        <v>7173</v>
      </c>
      <c r="J54" s="128">
        <v>5394</v>
      </c>
      <c r="K54" s="131">
        <v>3773</v>
      </c>
      <c r="L54" s="131">
        <v>2678</v>
      </c>
      <c r="M54" s="131">
        <v>6295</v>
      </c>
      <c r="N54" s="131">
        <v>934</v>
      </c>
      <c r="O54" s="131">
        <v>553</v>
      </c>
      <c r="P54" s="287">
        <v>470</v>
      </c>
      <c r="Q54" s="287">
        <v>7762</v>
      </c>
      <c r="R54" s="287">
        <f>'Summary -White maize'!Q53+'Summary -Yellow maize'!R54</f>
        <v>8067</v>
      </c>
      <c r="S54" s="341">
        <f>'Summary -White maize'!R53+'Summary -Yellow maize'!S54</f>
        <v>14813</v>
      </c>
      <c r="T54" s="309">
        <f>'Summary -White maize'!S53+'Summary -Yellow maize'!T54</f>
        <v>10596</v>
      </c>
      <c r="U54" s="309">
        <f>'Mielies-Maize 2025'!N51</f>
        <v>7764</v>
      </c>
      <c r="V54" s="309">
        <f>'Mielies-Maize 2026'!N51</f>
        <v>0</v>
      </c>
      <c r="W54" s="254">
        <f t="shared" si="9"/>
        <v>10309.5</v>
      </c>
      <c r="X54" s="256"/>
    </row>
    <row r="55" spans="2:24" ht="15" customHeight="1" x14ac:dyDescent="0.3">
      <c r="B55" s="18">
        <v>37</v>
      </c>
      <c r="C55" s="260">
        <f t="shared" si="7"/>
        <v>46031</v>
      </c>
      <c r="D55" s="19">
        <v>17000</v>
      </c>
      <c r="E55" s="21">
        <v>4000</v>
      </c>
      <c r="F55" s="20">
        <v>7000</v>
      </c>
      <c r="G55" s="41">
        <v>13000</v>
      </c>
      <c r="H55" s="17">
        <v>11178</v>
      </c>
      <c r="I55" s="133">
        <v>11752</v>
      </c>
      <c r="J55" s="128">
        <v>10088</v>
      </c>
      <c r="K55" s="131">
        <v>6980</v>
      </c>
      <c r="L55" s="131">
        <v>10518</v>
      </c>
      <c r="M55" s="131">
        <v>10667</v>
      </c>
      <c r="N55" s="131">
        <v>5605</v>
      </c>
      <c r="O55" s="131">
        <v>5778</v>
      </c>
      <c r="P55" s="287">
        <v>4739</v>
      </c>
      <c r="Q55" s="287">
        <v>11901</v>
      </c>
      <c r="R55" s="287">
        <f>'Summary -White maize'!Q54+'Summary -Yellow maize'!R55</f>
        <v>20464</v>
      </c>
      <c r="S55" s="341">
        <f>'Summary -White maize'!R54+'Summary -Yellow maize'!S55</f>
        <v>22359</v>
      </c>
      <c r="T55" s="309">
        <f>'Summary -White maize'!S54+'Summary -Yellow maize'!T55</f>
        <v>23279</v>
      </c>
      <c r="U55" s="309">
        <f>'Mielies-Maize 2025'!N52</f>
        <v>31368</v>
      </c>
      <c r="V55" s="309">
        <f>'Mielies-Maize 2026'!N52</f>
        <v>0</v>
      </c>
      <c r="W55" s="254">
        <f t="shared" si="9"/>
        <v>19500.75</v>
      </c>
      <c r="X55" s="256"/>
    </row>
    <row r="56" spans="2:24" ht="15" customHeight="1" x14ac:dyDescent="0.3">
      <c r="B56" s="18">
        <v>38</v>
      </c>
      <c r="C56" s="260">
        <f t="shared" si="7"/>
        <v>46038</v>
      </c>
      <c r="D56" s="19">
        <v>10000</v>
      </c>
      <c r="E56" s="21">
        <v>12000</v>
      </c>
      <c r="F56" s="20">
        <v>3000</v>
      </c>
      <c r="G56" s="41">
        <v>14000</v>
      </c>
      <c r="H56" s="17">
        <v>9457</v>
      </c>
      <c r="I56" s="133">
        <v>12500</v>
      </c>
      <c r="J56" s="128">
        <v>16621</v>
      </c>
      <c r="K56" s="131">
        <v>14135</v>
      </c>
      <c r="L56" s="131">
        <v>16958</v>
      </c>
      <c r="M56" s="131">
        <v>9207</v>
      </c>
      <c r="N56" s="131">
        <v>7482</v>
      </c>
      <c r="O56" s="131">
        <v>12026</v>
      </c>
      <c r="P56" s="287">
        <v>9828</v>
      </c>
      <c r="Q56" s="287">
        <v>14545</v>
      </c>
      <c r="R56" s="287">
        <f>'Summary -White maize'!Q55+'Summary -Yellow maize'!R56</f>
        <v>25145</v>
      </c>
      <c r="S56" s="341">
        <f>'Summary -White maize'!R55+'Summary -Yellow maize'!S56</f>
        <v>27896</v>
      </c>
      <c r="T56" s="309">
        <f>'Summary -White maize'!S55+'Summary -Yellow maize'!T56</f>
        <v>29932</v>
      </c>
      <c r="U56" s="309">
        <f>'Mielies-Maize 2025'!N53</f>
        <v>49472</v>
      </c>
      <c r="V56" s="309">
        <f>'Mielies-Maize 2026'!N53</f>
        <v>0</v>
      </c>
      <c r="W56" s="254">
        <f t="shared" si="9"/>
        <v>24379.5</v>
      </c>
      <c r="X56" s="256"/>
    </row>
    <row r="57" spans="2:24" ht="15" customHeight="1" x14ac:dyDescent="0.3">
      <c r="B57" s="18">
        <v>39</v>
      </c>
      <c r="C57" s="260">
        <f t="shared" si="7"/>
        <v>46045</v>
      </c>
      <c r="D57" s="19">
        <v>20000</v>
      </c>
      <c r="E57" s="21">
        <v>16000</v>
      </c>
      <c r="F57" s="20">
        <v>11000</v>
      </c>
      <c r="G57" s="41">
        <v>14000</v>
      </c>
      <c r="H57" s="17">
        <v>31329</v>
      </c>
      <c r="I57" s="133">
        <v>28954</v>
      </c>
      <c r="J57" s="128">
        <v>18997</v>
      </c>
      <c r="K57" s="131">
        <v>21957</v>
      </c>
      <c r="L57" s="131">
        <v>55917</v>
      </c>
      <c r="M57" s="131">
        <v>67194</v>
      </c>
      <c r="N57" s="131">
        <v>50806</v>
      </c>
      <c r="O57" s="131">
        <v>14618</v>
      </c>
      <c r="P57" s="287">
        <v>13813</v>
      </c>
      <c r="Q57" s="287">
        <v>98301</v>
      </c>
      <c r="R57" s="287">
        <f>'Summary -White maize'!Q56+'Summary -Yellow maize'!R57</f>
        <v>65541</v>
      </c>
      <c r="S57" s="341">
        <f>'Summary -White maize'!R56+'Summary -Yellow maize'!S57</f>
        <v>60560</v>
      </c>
      <c r="T57" s="309">
        <f>'Summary -White maize'!S56+'Summary -Yellow maize'!T57</f>
        <v>25964</v>
      </c>
      <c r="U57" s="309">
        <f>'Mielies-Maize 2025'!N54</f>
        <v>55692</v>
      </c>
      <c r="V57" s="309">
        <f>'Mielies-Maize 2026'!N54</f>
        <v>0</v>
      </c>
      <c r="W57" s="254">
        <f t="shared" si="9"/>
        <v>62591.5</v>
      </c>
      <c r="X57" s="256"/>
    </row>
    <row r="58" spans="2:24" ht="15" customHeight="1" x14ac:dyDescent="0.3">
      <c r="B58" s="18">
        <v>40</v>
      </c>
      <c r="C58" s="260">
        <f t="shared" si="7"/>
        <v>46052</v>
      </c>
      <c r="D58" s="19">
        <v>15000</v>
      </c>
      <c r="E58" s="21">
        <v>15000</v>
      </c>
      <c r="F58" s="20">
        <v>13000</v>
      </c>
      <c r="G58" s="41">
        <v>8000</v>
      </c>
      <c r="H58" s="17">
        <v>14541</v>
      </c>
      <c r="I58" s="133">
        <v>44177</v>
      </c>
      <c r="J58" s="128">
        <v>73924</v>
      </c>
      <c r="K58" s="131">
        <v>70882</v>
      </c>
      <c r="L58" s="131">
        <v>8794</v>
      </c>
      <c r="M58" s="131">
        <v>2672</v>
      </c>
      <c r="N58" s="131">
        <v>2895</v>
      </c>
      <c r="O58" s="131">
        <v>67168</v>
      </c>
      <c r="P58" s="287">
        <v>69925</v>
      </c>
      <c r="Q58" s="287">
        <v>13247</v>
      </c>
      <c r="R58" s="287">
        <f>'Summary -White maize'!Q57+'Summary -Yellow maize'!R58</f>
        <v>46307</v>
      </c>
      <c r="S58" s="341">
        <f>'Summary -White maize'!R57+'Summary -Yellow maize'!S58</f>
        <v>44705</v>
      </c>
      <c r="T58" s="309">
        <f>'Summary -White maize'!S57+'Summary -Yellow maize'!T58</f>
        <v>53060</v>
      </c>
      <c r="U58" s="309">
        <f>'Mielies-Maize 2025'!N55</f>
        <v>84961</v>
      </c>
      <c r="V58" s="309">
        <f>'Mielies-Maize 2026'!N55</f>
        <v>0</v>
      </c>
      <c r="W58" s="254">
        <f t="shared" si="9"/>
        <v>39329.75</v>
      </c>
      <c r="X58" s="256"/>
    </row>
    <row r="59" spans="2:24" ht="15" customHeight="1" x14ac:dyDescent="0.3">
      <c r="B59" s="18">
        <v>41</v>
      </c>
      <c r="C59" s="260">
        <f t="shared" si="7"/>
        <v>46059</v>
      </c>
      <c r="D59" s="19">
        <v>18000</v>
      </c>
      <c r="E59" s="21">
        <v>21000</v>
      </c>
      <c r="F59" s="20">
        <v>16000</v>
      </c>
      <c r="G59" s="41">
        <v>6000</v>
      </c>
      <c r="H59" s="17">
        <v>18083</v>
      </c>
      <c r="I59" s="133">
        <v>24623</v>
      </c>
      <c r="J59" s="128">
        <v>24978</v>
      </c>
      <c r="K59" s="131">
        <v>33366</v>
      </c>
      <c r="L59" s="131">
        <v>27581</v>
      </c>
      <c r="M59" s="131">
        <v>11706</v>
      </c>
      <c r="N59" s="131">
        <v>9659</v>
      </c>
      <c r="O59" s="131">
        <v>16451</v>
      </c>
      <c r="P59" s="287">
        <v>9175</v>
      </c>
      <c r="Q59" s="287">
        <v>30542</v>
      </c>
      <c r="R59" s="287">
        <f>'Summary -White maize'!Q58+'Summary -Yellow maize'!R59</f>
        <v>48127</v>
      </c>
      <c r="S59" s="341">
        <f>'Summary -White maize'!R58+'Summary -Yellow maize'!S59</f>
        <v>46115</v>
      </c>
      <c r="T59" s="309">
        <f>'Summary -White maize'!S58+'Summary -Yellow maize'!T59</f>
        <v>50380</v>
      </c>
      <c r="U59" s="309">
        <f>'Mielies-Maize 2025'!N56</f>
        <v>91209</v>
      </c>
      <c r="V59" s="309">
        <f>'Mielies-Maize 2026'!N56</f>
        <v>0</v>
      </c>
      <c r="W59" s="254">
        <f t="shared" si="9"/>
        <v>43791</v>
      </c>
      <c r="X59" s="256"/>
    </row>
    <row r="60" spans="2:24" ht="15" customHeight="1" x14ac:dyDescent="0.3">
      <c r="B60" s="18">
        <v>42</v>
      </c>
      <c r="C60" s="260">
        <f t="shared" si="7"/>
        <v>46066</v>
      </c>
      <c r="D60" s="19">
        <v>15000</v>
      </c>
      <c r="E60" s="21">
        <v>11000</v>
      </c>
      <c r="F60" s="20">
        <v>21000</v>
      </c>
      <c r="G60" s="41">
        <v>33000</v>
      </c>
      <c r="H60" s="17">
        <v>24607</v>
      </c>
      <c r="I60" s="133">
        <v>29549</v>
      </c>
      <c r="J60" s="128">
        <v>32476</v>
      </c>
      <c r="K60" s="131">
        <v>45464</v>
      </c>
      <c r="L60" s="131">
        <v>46977</v>
      </c>
      <c r="M60" s="131">
        <v>9435</v>
      </c>
      <c r="N60" s="131">
        <v>6454</v>
      </c>
      <c r="O60" s="131">
        <v>18267</v>
      </c>
      <c r="P60" s="287">
        <v>16189</v>
      </c>
      <c r="Q60" s="287">
        <v>32427</v>
      </c>
      <c r="R60" s="287">
        <f>'Summary -White maize'!Q59+'Summary -Yellow maize'!R60</f>
        <v>39064</v>
      </c>
      <c r="S60" s="341">
        <f>'Summary -White maize'!R59+'Summary -Yellow maize'!S60</f>
        <v>54204</v>
      </c>
      <c r="T60" s="309">
        <f>'Summary -White maize'!S59+'Summary -Yellow maize'!T60</f>
        <v>42340</v>
      </c>
      <c r="U60" s="309">
        <f>'Mielies-Maize 2025'!N57</f>
        <v>95923</v>
      </c>
      <c r="V60" s="309">
        <f>'Mielies-Maize 2026'!N57</f>
        <v>0</v>
      </c>
      <c r="W60" s="254">
        <f t="shared" si="9"/>
        <v>42008.75</v>
      </c>
      <c r="X60" s="256"/>
    </row>
    <row r="61" spans="2:24" ht="15" customHeight="1" x14ac:dyDescent="0.3">
      <c r="B61" s="18">
        <v>43</v>
      </c>
      <c r="C61" s="260">
        <f t="shared" si="7"/>
        <v>46073</v>
      </c>
      <c r="D61" s="57">
        <v>22000</v>
      </c>
      <c r="E61" s="21">
        <v>13000</v>
      </c>
      <c r="F61" s="20">
        <v>13000</v>
      </c>
      <c r="G61" s="41">
        <v>18000</v>
      </c>
      <c r="H61" s="17">
        <v>74611</v>
      </c>
      <c r="I61" s="133">
        <v>37777</v>
      </c>
      <c r="J61" s="128">
        <v>35813</v>
      </c>
      <c r="K61" s="131">
        <v>34233</v>
      </c>
      <c r="L61" s="131">
        <v>75833</v>
      </c>
      <c r="M61" s="131">
        <v>68018</v>
      </c>
      <c r="N61" s="131">
        <v>52292</v>
      </c>
      <c r="O61" s="131">
        <v>24426</v>
      </c>
      <c r="P61" s="287">
        <v>18856</v>
      </c>
      <c r="Q61" s="287">
        <v>98603</v>
      </c>
      <c r="R61" s="287">
        <f>'Summary -White maize'!Q60+'Summary -Yellow maize'!R61</f>
        <v>67349</v>
      </c>
      <c r="S61" s="341">
        <f>'Summary -White maize'!R60+'Summary -Yellow maize'!S61</f>
        <v>76071</v>
      </c>
      <c r="T61" s="309">
        <f>'Summary -White maize'!S60+'Summary -Yellow maize'!T61</f>
        <v>18827</v>
      </c>
      <c r="U61" s="309">
        <f>'Mielies-Maize 2025'!N58</f>
        <v>79898</v>
      </c>
      <c r="V61" s="309">
        <f>'Mielies-Maize 2026'!N58</f>
        <v>0</v>
      </c>
      <c r="W61" s="254">
        <f t="shared" si="9"/>
        <v>65212.5</v>
      </c>
      <c r="X61" s="256"/>
    </row>
    <row r="62" spans="2:24" ht="15" customHeight="1" x14ac:dyDescent="0.3">
      <c r="B62" s="18">
        <v>44</v>
      </c>
      <c r="C62" s="260">
        <f t="shared" si="7"/>
        <v>46080</v>
      </c>
      <c r="D62" s="139">
        <v>152000</v>
      </c>
      <c r="E62" s="140">
        <v>12000</v>
      </c>
      <c r="F62" s="140">
        <v>15000</v>
      </c>
      <c r="G62" s="141">
        <v>14000</v>
      </c>
      <c r="H62" s="140">
        <v>48477</v>
      </c>
      <c r="I62" s="133">
        <v>56253</v>
      </c>
      <c r="J62" s="128">
        <v>91654</v>
      </c>
      <c r="K62" s="131">
        <v>89529</v>
      </c>
      <c r="L62" s="131">
        <v>12553</v>
      </c>
      <c r="M62" s="131">
        <v>3373</v>
      </c>
      <c r="N62" s="131">
        <v>2372</v>
      </c>
      <c r="O62" s="131">
        <v>64009</v>
      </c>
      <c r="P62" s="287">
        <v>69157</v>
      </c>
      <c r="Q62" s="287">
        <v>14266</v>
      </c>
      <c r="R62" s="287">
        <f>'Summary -White maize'!Q61+'Summary -Yellow maize'!R62</f>
        <v>38241</v>
      </c>
      <c r="S62" s="341">
        <f>'Summary -White maize'!R61+'Summary -Yellow maize'!S62</f>
        <v>44891</v>
      </c>
      <c r="T62" s="309">
        <f>'Summary -White maize'!S61+'Summary -Yellow maize'!T62</f>
        <v>36667</v>
      </c>
      <c r="U62" s="309">
        <f>'Mielies-Maize 2025'!N59</f>
        <v>108556</v>
      </c>
      <c r="V62" s="309">
        <f>'Mielies-Maize 2026'!N59</f>
        <v>0</v>
      </c>
      <c r="W62" s="254">
        <f t="shared" si="9"/>
        <v>33516.25</v>
      </c>
      <c r="X62" s="256"/>
    </row>
    <row r="63" spans="2:24" ht="15" customHeight="1" x14ac:dyDescent="0.3">
      <c r="B63" s="18">
        <v>45</v>
      </c>
      <c r="C63" s="260">
        <f t="shared" si="7"/>
        <v>46087</v>
      </c>
      <c r="D63" s="19">
        <v>22000</v>
      </c>
      <c r="E63" s="21">
        <v>11000</v>
      </c>
      <c r="F63" s="20">
        <v>44000</v>
      </c>
      <c r="G63" s="41">
        <v>27000</v>
      </c>
      <c r="H63" s="17">
        <v>53181</v>
      </c>
      <c r="I63" s="133">
        <v>17466</v>
      </c>
      <c r="J63" s="128">
        <v>28346</v>
      </c>
      <c r="K63" s="131">
        <v>29898</v>
      </c>
      <c r="L63" s="131">
        <v>36209</v>
      </c>
      <c r="M63" s="131">
        <v>13326</v>
      </c>
      <c r="N63" s="131">
        <v>11452</v>
      </c>
      <c r="O63" s="131">
        <v>13109</v>
      </c>
      <c r="P63" s="287">
        <v>17003</v>
      </c>
      <c r="Q63" s="287">
        <v>26790</v>
      </c>
      <c r="R63" s="287">
        <f>'Summary -White maize'!Q62+'Summary -Yellow maize'!R63</f>
        <v>42554</v>
      </c>
      <c r="S63" s="341">
        <f>'Summary -White maize'!R62+'Summary -Yellow maize'!S63</f>
        <v>52716</v>
      </c>
      <c r="T63" s="309">
        <f>'Summary -White maize'!S62+'Summary -Yellow maize'!T63</f>
        <v>32867</v>
      </c>
      <c r="U63" s="309">
        <f>'Mielies-Maize 2025'!N60</f>
        <v>65594</v>
      </c>
      <c r="V63" s="309">
        <f>'Mielies-Maize 2026'!N60</f>
        <v>0</v>
      </c>
      <c r="W63" s="254">
        <f t="shared" si="9"/>
        <v>38731.75</v>
      </c>
      <c r="X63" s="256"/>
    </row>
    <row r="64" spans="2:24" ht="15" customHeight="1" x14ac:dyDescent="0.3">
      <c r="B64" s="18">
        <v>46</v>
      </c>
      <c r="C64" s="260">
        <f t="shared" si="7"/>
        <v>46094</v>
      </c>
      <c r="D64" s="19">
        <v>39000</v>
      </c>
      <c r="E64" s="21">
        <v>25000</v>
      </c>
      <c r="F64" s="20">
        <v>12000</v>
      </c>
      <c r="G64" s="41">
        <v>42000</v>
      </c>
      <c r="H64" s="17">
        <v>58073</v>
      </c>
      <c r="I64" s="133">
        <v>16832</v>
      </c>
      <c r="J64" s="128">
        <v>36727</v>
      </c>
      <c r="K64" s="131">
        <v>44640</v>
      </c>
      <c r="L64" s="131">
        <v>77684</v>
      </c>
      <c r="M64" s="131">
        <v>17827</v>
      </c>
      <c r="N64" s="131">
        <v>6612</v>
      </c>
      <c r="O64" s="131">
        <v>11130</v>
      </c>
      <c r="P64" s="287">
        <v>27911</v>
      </c>
      <c r="Q64" s="287">
        <v>22165</v>
      </c>
      <c r="R64" s="287">
        <f>'Summary -White maize'!Q63+'Summary -Yellow maize'!R64</f>
        <v>54283</v>
      </c>
      <c r="S64" s="341">
        <f>'Summary -White maize'!R63+'Summary -Yellow maize'!S64</f>
        <v>71601</v>
      </c>
      <c r="T64" s="309">
        <f>'Summary -White maize'!S63+'Summary -Yellow maize'!T64</f>
        <v>76115</v>
      </c>
      <c r="U64" s="309">
        <f>'Mielies-Maize 2025'!N61</f>
        <v>83187</v>
      </c>
      <c r="V64" s="309">
        <f>'Mielies-Maize 2026'!N61</f>
        <v>0</v>
      </c>
      <c r="W64" s="254">
        <f t="shared" si="9"/>
        <v>56041</v>
      </c>
      <c r="X64" s="256"/>
    </row>
    <row r="65" spans="2:24" ht="15" customHeight="1" x14ac:dyDescent="0.3">
      <c r="B65" s="18">
        <v>47</v>
      </c>
      <c r="C65" s="260">
        <f t="shared" si="7"/>
        <v>46101</v>
      </c>
      <c r="D65" s="19">
        <v>28000</v>
      </c>
      <c r="E65" s="21">
        <v>14000</v>
      </c>
      <c r="F65" s="20">
        <v>13000</v>
      </c>
      <c r="G65" s="41">
        <v>40000</v>
      </c>
      <c r="H65" s="17">
        <v>92058</v>
      </c>
      <c r="I65" s="133">
        <v>30836</v>
      </c>
      <c r="J65" s="128">
        <v>34682</v>
      </c>
      <c r="K65" s="131">
        <v>38794</v>
      </c>
      <c r="L65" s="131">
        <v>76354</v>
      </c>
      <c r="M65" s="131">
        <v>8388</v>
      </c>
      <c r="N65" s="131">
        <v>9861</v>
      </c>
      <c r="O65" s="131">
        <v>15400</v>
      </c>
      <c r="P65" s="287">
        <v>28463</v>
      </c>
      <c r="Q65" s="287">
        <v>121296</v>
      </c>
      <c r="R65" s="287">
        <f>'Summary -White maize'!Q64+'Summary -Yellow maize'!R65</f>
        <v>50945</v>
      </c>
      <c r="S65" s="341">
        <f>'Summary -White maize'!R64+'Summary -Yellow maize'!S65</f>
        <v>97465</v>
      </c>
      <c r="T65" s="309">
        <f>'Summary -White maize'!S64+'Summary -Yellow maize'!T65</f>
        <v>77241</v>
      </c>
      <c r="U65" s="309">
        <f>'Mielies-Maize 2025'!N62</f>
        <v>100040</v>
      </c>
      <c r="V65" s="309">
        <f>'Mielies-Maize 2026'!N62</f>
        <v>0</v>
      </c>
      <c r="W65" s="254">
        <f t="shared" si="9"/>
        <v>86736.75</v>
      </c>
      <c r="X65" s="256"/>
    </row>
    <row r="66" spans="2:24" ht="15" customHeight="1" x14ac:dyDescent="0.3">
      <c r="B66" s="18">
        <v>48</v>
      </c>
      <c r="C66" s="260">
        <f t="shared" si="7"/>
        <v>46108</v>
      </c>
      <c r="D66" s="19">
        <v>28000</v>
      </c>
      <c r="E66" s="21">
        <v>8000</v>
      </c>
      <c r="F66" s="20">
        <v>15000</v>
      </c>
      <c r="G66" s="41">
        <v>52000</v>
      </c>
      <c r="H66" s="17">
        <v>44272</v>
      </c>
      <c r="I66" s="133">
        <v>87845</v>
      </c>
      <c r="J66" s="128">
        <v>100063</v>
      </c>
      <c r="K66" s="131">
        <v>134526</v>
      </c>
      <c r="L66" s="131">
        <v>174620</v>
      </c>
      <c r="M66" s="131">
        <v>58012</v>
      </c>
      <c r="N66" s="131">
        <v>45854</v>
      </c>
      <c r="O66" s="131">
        <v>41465</v>
      </c>
      <c r="P66" s="287">
        <v>121384</v>
      </c>
      <c r="Q66" s="287">
        <v>5950</v>
      </c>
      <c r="R66" s="287">
        <f>'Summary -White maize'!Q65+'Summary -Yellow maize'!R66</f>
        <v>113850</v>
      </c>
      <c r="S66" s="341">
        <f>'Summary -White maize'!R65+'Summary -Yellow maize'!S66</f>
        <v>111603</v>
      </c>
      <c r="T66" s="309">
        <f>'Summary -White maize'!S65+'Summary -Yellow maize'!T66</f>
        <v>101533</v>
      </c>
      <c r="U66" s="309">
        <f>'Mielies-Maize 2025'!N63</f>
        <v>99917</v>
      </c>
      <c r="V66" s="309">
        <f>'Mielies-Maize 2026'!N63</f>
        <v>0</v>
      </c>
      <c r="W66" s="254">
        <f t="shared" si="9"/>
        <v>83234</v>
      </c>
      <c r="X66" s="256"/>
    </row>
    <row r="67" spans="2:24" ht="15" customHeight="1" x14ac:dyDescent="0.3">
      <c r="B67" s="18">
        <v>49</v>
      </c>
      <c r="C67" s="260">
        <f t="shared" si="7"/>
        <v>46115</v>
      </c>
      <c r="D67" s="19">
        <v>-9000</v>
      </c>
      <c r="E67" s="21">
        <v>59000</v>
      </c>
      <c r="F67" s="20">
        <v>14000</v>
      </c>
      <c r="G67" s="41">
        <v>35000</v>
      </c>
      <c r="H67" s="17">
        <v>40598</v>
      </c>
      <c r="I67" s="133">
        <v>34657</v>
      </c>
      <c r="J67" s="128">
        <v>27403</v>
      </c>
      <c r="K67" s="131">
        <v>22890</v>
      </c>
      <c r="L67" s="131">
        <v>90941</v>
      </c>
      <c r="M67" s="131">
        <v>7089</v>
      </c>
      <c r="N67" s="131">
        <v>28612</v>
      </c>
      <c r="O67" s="131">
        <v>12880</v>
      </c>
      <c r="P67" s="287">
        <v>6626</v>
      </c>
      <c r="Q67" s="287">
        <v>46493</v>
      </c>
      <c r="R67" s="287">
        <f>'Summary -White maize'!Q66+'Summary -Yellow maize'!R67</f>
        <v>50480</v>
      </c>
      <c r="S67" s="341">
        <f>'Summary -White maize'!R66+'Summary -Yellow maize'!S67</f>
        <v>96211</v>
      </c>
      <c r="T67" s="309">
        <f>'Summary -White maize'!S66+'Summary -Yellow maize'!T67</f>
        <v>55850</v>
      </c>
      <c r="U67" s="309">
        <f>'Mielies-Maize 2025'!N64</f>
        <v>69025</v>
      </c>
      <c r="V67" s="309">
        <f>'Mielies-Maize 2026'!N64</f>
        <v>0</v>
      </c>
      <c r="W67" s="254">
        <f t="shared" si="9"/>
        <v>62258.5</v>
      </c>
      <c r="X67" s="256"/>
    </row>
    <row r="68" spans="2:24" ht="15" customHeight="1" x14ac:dyDescent="0.3">
      <c r="B68" s="18">
        <v>50</v>
      </c>
      <c r="C68" s="260">
        <f t="shared" si="7"/>
        <v>46122</v>
      </c>
      <c r="D68" s="19">
        <v>48000</v>
      </c>
      <c r="E68" s="21">
        <v>35000</v>
      </c>
      <c r="F68" s="20">
        <v>37500</v>
      </c>
      <c r="G68" s="41">
        <v>93000</v>
      </c>
      <c r="H68" s="17">
        <v>94097</v>
      </c>
      <c r="I68" s="133">
        <v>51986</v>
      </c>
      <c r="J68" s="128">
        <v>33877</v>
      </c>
      <c r="K68" s="131">
        <v>70188</v>
      </c>
      <c r="L68" s="131">
        <v>46810</v>
      </c>
      <c r="M68" s="131">
        <v>17603</v>
      </c>
      <c r="N68" s="131">
        <v>28612</v>
      </c>
      <c r="O68" s="131">
        <v>0</v>
      </c>
      <c r="P68" s="287">
        <v>44772</v>
      </c>
      <c r="Q68" s="287">
        <v>19428</v>
      </c>
      <c r="R68" s="287">
        <f>'Summary -White maize'!Q67+'Summary -Yellow maize'!R68</f>
        <v>64424</v>
      </c>
      <c r="S68" s="341">
        <f>'Summary -White maize'!R67+'Summary -Yellow maize'!S68</f>
        <v>91494</v>
      </c>
      <c r="T68" s="309">
        <f>'Summary -White maize'!S67+'Summary -Yellow maize'!T68</f>
        <v>44940</v>
      </c>
      <c r="U68" s="309">
        <f>'Mielies-Maize 2025'!N65</f>
        <v>107297</v>
      </c>
      <c r="V68" s="309">
        <f>'Mielies-Maize 2026'!N65</f>
        <v>0</v>
      </c>
      <c r="W68" s="254">
        <f t="shared" si="9"/>
        <v>55071.5</v>
      </c>
      <c r="X68" s="256"/>
    </row>
    <row r="69" spans="2:24" ht="15" customHeight="1" x14ac:dyDescent="0.3">
      <c r="B69" s="18">
        <v>51</v>
      </c>
      <c r="C69" s="260">
        <f t="shared" si="7"/>
        <v>46129</v>
      </c>
      <c r="D69" s="19">
        <v>62000</v>
      </c>
      <c r="E69" s="21">
        <v>55000</v>
      </c>
      <c r="F69" s="20">
        <v>29000</v>
      </c>
      <c r="G69" s="41">
        <v>144000</v>
      </c>
      <c r="H69" s="17">
        <v>181300</v>
      </c>
      <c r="I69" s="133">
        <v>47621</v>
      </c>
      <c r="J69" s="128">
        <v>72371</v>
      </c>
      <c r="K69" s="131">
        <v>95688</v>
      </c>
      <c r="L69" s="131">
        <v>89128</v>
      </c>
      <c r="M69" s="131">
        <v>22826</v>
      </c>
      <c r="N69" s="131">
        <v>28612</v>
      </c>
      <c r="O69" s="131">
        <v>0</v>
      </c>
      <c r="P69" s="287">
        <v>92961</v>
      </c>
      <c r="Q69" s="287">
        <v>24786</v>
      </c>
      <c r="R69" s="287">
        <f>'Summary -White maize'!Q68+'Summary -Yellow maize'!R69</f>
        <v>116175</v>
      </c>
      <c r="S69" s="341">
        <f>'Summary -White maize'!R68+'Summary -Yellow maize'!S69</f>
        <v>141076</v>
      </c>
      <c r="T69" s="309">
        <f>'Summary -White maize'!S68+'Summary -Yellow maize'!T69</f>
        <v>82485</v>
      </c>
      <c r="U69" s="309">
        <f>'Mielies-Maize 2025'!N66</f>
        <v>133832</v>
      </c>
      <c r="V69" s="309">
        <f>'Mielies-Maize 2026'!N66</f>
        <v>0</v>
      </c>
      <c r="W69" s="254">
        <f t="shared" si="9"/>
        <v>91130.5</v>
      </c>
      <c r="X69" s="256"/>
    </row>
    <row r="70" spans="2:24" ht="15" customHeight="1" x14ac:dyDescent="0.3">
      <c r="B70" s="18">
        <v>52</v>
      </c>
      <c r="C70" s="260">
        <f t="shared" si="7"/>
        <v>46136</v>
      </c>
      <c r="D70" s="19">
        <v>0</v>
      </c>
      <c r="E70" s="21">
        <v>47000</v>
      </c>
      <c r="F70" s="20">
        <v>10500</v>
      </c>
      <c r="G70" s="41">
        <v>92000</v>
      </c>
      <c r="H70" s="17">
        <v>349127</v>
      </c>
      <c r="I70" s="133">
        <v>209597</v>
      </c>
      <c r="J70" s="128">
        <v>76631</v>
      </c>
      <c r="K70" s="131">
        <v>98505</v>
      </c>
      <c r="L70" s="131">
        <v>129651</v>
      </c>
      <c r="M70" s="131">
        <v>24557</v>
      </c>
      <c r="N70" s="131">
        <v>28612</v>
      </c>
      <c r="O70" s="131">
        <v>0</v>
      </c>
      <c r="P70" s="287">
        <v>188076</v>
      </c>
      <c r="Q70" s="287">
        <v>43714</v>
      </c>
      <c r="R70" s="287">
        <f>'Summary -White maize'!Q69+'Summary -Yellow maize'!R70</f>
        <v>191549</v>
      </c>
      <c r="S70" s="341">
        <f>'Summary -White maize'!R69+'Summary -Yellow maize'!S70</f>
        <v>434332</v>
      </c>
      <c r="T70" s="309">
        <f>'Summary -White maize'!S69+'Summary -Yellow maize'!T70</f>
        <v>117608</v>
      </c>
      <c r="U70" s="309">
        <f>'Mielies-Maize 2025'!N67</f>
        <v>106653</v>
      </c>
      <c r="V70" s="309">
        <f>'Mielies-Maize 2026'!N67</f>
        <v>0</v>
      </c>
      <c r="W70" s="254">
        <f t="shared" si="9"/>
        <v>196800.75</v>
      </c>
      <c r="X70" s="256"/>
    </row>
    <row r="71" spans="2:24" ht="14.25" customHeight="1" x14ac:dyDescent="0.3">
      <c r="B71" s="18">
        <v>53</v>
      </c>
      <c r="C71" s="260"/>
      <c r="D71" s="20"/>
      <c r="E71" s="20"/>
      <c r="F71" s="20"/>
      <c r="G71" s="20"/>
      <c r="H71" s="20"/>
      <c r="I71" s="131"/>
      <c r="J71" s="131"/>
      <c r="K71" s="131"/>
      <c r="L71" s="131"/>
      <c r="M71" s="131"/>
      <c r="N71" s="131"/>
      <c r="O71" s="131"/>
      <c r="P71" s="247"/>
      <c r="Q71" s="287"/>
      <c r="R71" s="287"/>
      <c r="S71" s="341">
        <f>'Summary -White maize'!R70+'Summary -Yellow maize'!S71</f>
        <v>0</v>
      </c>
      <c r="T71" s="309"/>
      <c r="U71" s="309"/>
      <c r="V71" s="309">
        <f>'Mielies-Maize 2026'!N68</f>
        <v>405156</v>
      </c>
      <c r="W71" s="254"/>
      <c r="X71" s="256"/>
    </row>
    <row r="72" spans="2:24" ht="14.25" customHeight="1" x14ac:dyDescent="0.3">
      <c r="B72" s="18">
        <v>54</v>
      </c>
      <c r="C72" s="113"/>
      <c r="D72" s="26"/>
      <c r="E72" s="26"/>
      <c r="F72" s="26"/>
      <c r="G72" s="26"/>
      <c r="H72" s="26"/>
      <c r="I72" s="174"/>
      <c r="J72" s="174"/>
      <c r="K72" s="174"/>
      <c r="L72" s="174"/>
      <c r="M72" s="174"/>
      <c r="N72" s="174"/>
      <c r="O72" s="174"/>
      <c r="P72" s="247"/>
      <c r="Q72" s="287"/>
      <c r="R72" s="287"/>
      <c r="S72" s="340">
        <f>'Summary -White maize'!R71+'Summary -Yellow maize'!S72</f>
        <v>0</v>
      </c>
      <c r="T72" s="309"/>
      <c r="U72" s="309"/>
      <c r="V72" s="309">
        <f>'Mielies-Maize 2026'!N69</f>
        <v>0</v>
      </c>
      <c r="W72" s="254"/>
      <c r="X72" s="256"/>
    </row>
    <row r="73" spans="2:24" ht="14.4" x14ac:dyDescent="0.3">
      <c r="B73" s="123" t="s">
        <v>91</v>
      </c>
      <c r="C73" s="124"/>
      <c r="D73" s="125">
        <v>12700000</v>
      </c>
      <c r="E73" s="125">
        <v>12050000</v>
      </c>
      <c r="F73" s="125">
        <v>12050000</v>
      </c>
      <c r="G73" s="179">
        <f>'Summary -White maize'!F72+'Summary -Yellow maize'!G73</f>
        <v>10360000</v>
      </c>
      <c r="H73" s="179">
        <f>'Summary -White maize'!G72+'Summary -Yellow maize'!H73</f>
        <v>12120656</v>
      </c>
      <c r="I73" s="136">
        <v>11810600</v>
      </c>
      <c r="J73" s="136">
        <v>14250000</v>
      </c>
      <c r="K73" s="179">
        <v>9955000</v>
      </c>
      <c r="L73" s="179">
        <v>7778500</v>
      </c>
      <c r="M73" s="171">
        <v>16820000</v>
      </c>
      <c r="N73" s="136">
        <v>12510000</v>
      </c>
      <c r="O73" s="136">
        <v>11275000</v>
      </c>
      <c r="P73" s="171">
        <f>'Summary -White maize'!O72+'Summary -Yellow maize'!P73</f>
        <v>15418810</v>
      </c>
      <c r="Q73" s="171">
        <v>16315000</v>
      </c>
      <c r="R73" s="282">
        <v>15470000</v>
      </c>
      <c r="S73" s="282">
        <f>'Summary -White maize'!R72+'Summary -Yellow maize'!S73</f>
        <v>16395225</v>
      </c>
      <c r="T73" s="282">
        <f>'Table-SAGIS deliver vs CEC est'!E8</f>
        <v>16835100</v>
      </c>
      <c r="U73" s="282">
        <f>'Table-SAGIS deliver vs CEC est'!E8</f>
        <v>16835100</v>
      </c>
      <c r="V73" s="309">
        <f>'Mielies-Maize 2026'!N70</f>
        <v>0</v>
      </c>
      <c r="W73" s="282">
        <f>AVERAGE(O73:S73)</f>
        <v>14974807</v>
      </c>
      <c r="X73" s="474"/>
    </row>
    <row r="74" spans="2:24" ht="14.25" customHeight="1" x14ac:dyDescent="0.3">
      <c r="B74" s="162" t="s">
        <v>93</v>
      </c>
      <c r="C74" s="134"/>
      <c r="D74" s="76">
        <f>'Summary -White maize'!D73+'Summary -Yellow maize'!D74</f>
        <v>553776</v>
      </c>
      <c r="E74" s="78">
        <f>'Summary -White maize'!E73+'Summary -Yellow maize'!E74</f>
        <v>424556</v>
      </c>
      <c r="F74" s="78">
        <f>'Summary -White maize'!F73+'Summary -Yellow maize'!F74</f>
        <v>508525</v>
      </c>
      <c r="G74" s="78">
        <f>'Summary -White maize'!F73+'Summary -Yellow maize'!G74</f>
        <v>474076</v>
      </c>
      <c r="H74" s="78">
        <f>'Summary -White maize'!G73+'Summary -Yellow maize'!H74</f>
        <v>433528</v>
      </c>
      <c r="I74" s="78">
        <f>'Summary -White maize'!H73+'Summary -Yellow maize'!I74</f>
        <v>457811</v>
      </c>
      <c r="J74" s="78">
        <f>'Summary -White maize'!I73+'Summary -Yellow maize'!J74</f>
        <v>519651</v>
      </c>
      <c r="K74" s="87">
        <v>472530</v>
      </c>
      <c r="L74" s="180">
        <v>327716</v>
      </c>
      <c r="M74" s="165">
        <f>'Summary -White maize'!L73+'Summary -Yellow maize'!M74</f>
        <v>581000</v>
      </c>
      <c r="N74" s="241">
        <v>550000</v>
      </c>
      <c r="O74" s="241">
        <v>510000</v>
      </c>
      <c r="P74" s="171">
        <f>'Summary -White maize'!O73+'Summary -Yellow maize'!P74</f>
        <v>656000</v>
      </c>
      <c r="Q74" s="171">
        <f>'Summary -White maize'!P73+'Summary -Yellow maize'!Q74</f>
        <v>624000</v>
      </c>
      <c r="R74" s="293">
        <v>567000</v>
      </c>
      <c r="S74" s="293">
        <v>645000</v>
      </c>
      <c r="T74" s="293">
        <v>620000</v>
      </c>
      <c r="U74" s="293">
        <f>'Table-SAGIS deliver vs CEC est'!E9</f>
        <v>635000</v>
      </c>
      <c r="V74" s="309">
        <f>'Mielies-Maize 2026'!N71</f>
        <v>0</v>
      </c>
      <c r="W74" s="282">
        <f>AVERAGE(O74:S74)</f>
        <v>600400</v>
      </c>
      <c r="X74" s="474"/>
    </row>
    <row r="75" spans="2:24" ht="14.25" customHeight="1" x14ac:dyDescent="0.3">
      <c r="B75" s="163" t="s">
        <v>94</v>
      </c>
      <c r="C75" s="137"/>
      <c r="D75" s="79">
        <f t="shared" ref="D75:I75" si="10">D73-D74</f>
        <v>12146224</v>
      </c>
      <c r="E75" s="79">
        <f t="shared" si="10"/>
        <v>11625444</v>
      </c>
      <c r="F75" s="79">
        <f t="shared" si="10"/>
        <v>11541475</v>
      </c>
      <c r="G75" s="79">
        <f t="shared" si="10"/>
        <v>9885924</v>
      </c>
      <c r="H75" s="79">
        <f>H73-H74</f>
        <v>11687128</v>
      </c>
      <c r="I75" s="79">
        <f t="shared" si="10"/>
        <v>11352789</v>
      </c>
      <c r="J75" s="79">
        <f>J73-J74</f>
        <v>13730349</v>
      </c>
      <c r="K75" s="88">
        <v>9482470</v>
      </c>
      <c r="L75" s="88">
        <f>L73-L74</f>
        <v>7450784</v>
      </c>
      <c r="M75" s="166">
        <f>M73-M74</f>
        <v>16239000</v>
      </c>
      <c r="N75" s="242">
        <f>N73-N74</f>
        <v>11960000</v>
      </c>
      <c r="O75" s="242">
        <v>10765000</v>
      </c>
      <c r="P75" s="245">
        <f t="shared" ref="P75:T75" si="11">P73-P74</f>
        <v>14762810</v>
      </c>
      <c r="Q75" s="245">
        <f t="shared" si="11"/>
        <v>15691000</v>
      </c>
      <c r="R75" s="283">
        <f t="shared" si="11"/>
        <v>14903000</v>
      </c>
      <c r="S75" s="283">
        <f>S73-S74</f>
        <v>15750225</v>
      </c>
      <c r="T75" s="283">
        <f t="shared" si="11"/>
        <v>16215100</v>
      </c>
      <c r="U75" s="283">
        <f t="shared" ref="U75" si="12">U73-U74</f>
        <v>16200100</v>
      </c>
      <c r="V75" s="309">
        <f>'Mielies-Maize 2026'!N72</f>
        <v>0</v>
      </c>
      <c r="W75" s="283">
        <f>W73-W74</f>
        <v>14374407</v>
      </c>
      <c r="X75" s="474"/>
    </row>
    <row r="76" spans="2:24" ht="15" thickBot="1" x14ac:dyDescent="0.35">
      <c r="B76" s="75"/>
      <c r="C76" s="40"/>
      <c r="D76" s="60"/>
      <c r="E76" s="60"/>
      <c r="F76" s="60"/>
      <c r="G76" s="60"/>
      <c r="H76" s="60"/>
      <c r="I76" s="60"/>
      <c r="J76" s="60"/>
      <c r="K76" s="151"/>
      <c r="L76" s="151"/>
      <c r="M76" s="151"/>
      <c r="N76" s="243"/>
      <c r="O76" s="243"/>
      <c r="P76" s="246"/>
      <c r="Q76" s="246"/>
      <c r="R76" s="284"/>
      <c r="S76" s="284"/>
      <c r="T76" s="284"/>
      <c r="U76" s="284"/>
      <c r="V76" s="284"/>
      <c r="W76" s="282"/>
      <c r="X76" s="474"/>
    </row>
    <row r="77" spans="2:24" ht="18" thickBot="1" x14ac:dyDescent="0.4">
      <c r="B77" s="121" t="s">
        <v>95</v>
      </c>
      <c r="C77" s="214"/>
      <c r="D77" s="213" t="s">
        <v>59</v>
      </c>
      <c r="E77" s="199" t="s">
        <v>60</v>
      </c>
      <c r="F77" s="199" t="s">
        <v>61</v>
      </c>
      <c r="G77" s="199" t="s">
        <v>62</v>
      </c>
      <c r="H77" s="199" t="s">
        <v>63</v>
      </c>
      <c r="I77" s="199" t="s">
        <v>64</v>
      </c>
      <c r="J77" s="199" t="s">
        <v>65</v>
      </c>
      <c r="K77" s="200" t="s">
        <v>66</v>
      </c>
      <c r="L77" s="200" t="s">
        <v>67</v>
      </c>
      <c r="M77" s="200" t="s">
        <v>68</v>
      </c>
      <c r="N77" s="200" t="s">
        <v>69</v>
      </c>
      <c r="O77" s="200" t="s">
        <v>70</v>
      </c>
      <c r="P77" s="200" t="s">
        <v>71</v>
      </c>
      <c r="Q77" s="200" t="s">
        <v>72</v>
      </c>
      <c r="R77" s="200" t="str">
        <f>R3</f>
        <v>2022/23</v>
      </c>
      <c r="S77" s="200" t="str">
        <f>S3</f>
        <v>2023/24</v>
      </c>
      <c r="T77" s="316" t="s">
        <v>75</v>
      </c>
      <c r="U77" s="316" t="str">
        <f>U3</f>
        <v>2025/26</v>
      </c>
      <c r="V77" s="470"/>
      <c r="W77" s="300" t="s">
        <v>76</v>
      </c>
      <c r="X77" s="474"/>
    </row>
    <row r="78" spans="2:24" ht="14.4" x14ac:dyDescent="0.3">
      <c r="B78" s="15" t="s">
        <v>96</v>
      </c>
      <c r="C78" s="215"/>
      <c r="D78" s="198">
        <f t="shared" ref="D78:K78" si="13">D16</f>
        <v>669033</v>
      </c>
      <c r="E78" s="201">
        <f t="shared" si="13"/>
        <v>351719</v>
      </c>
      <c r="F78" s="201">
        <f t="shared" si="13"/>
        <v>135500</v>
      </c>
      <c r="G78" s="321">
        <f t="shared" si="13"/>
        <v>182240</v>
      </c>
      <c r="H78" s="321">
        <f t="shared" si="13"/>
        <v>753443</v>
      </c>
      <c r="I78" s="322">
        <f t="shared" si="13"/>
        <v>426034</v>
      </c>
      <c r="J78" s="321">
        <f t="shared" si="13"/>
        <v>478784</v>
      </c>
      <c r="K78" s="321">
        <f t="shared" si="13"/>
        <v>541956</v>
      </c>
      <c r="L78" s="321">
        <f t="shared" ref="L78:Q78" si="14">L18</f>
        <v>821008</v>
      </c>
      <c r="M78" s="321">
        <f t="shared" si="14"/>
        <v>804193</v>
      </c>
      <c r="N78" s="321">
        <f t="shared" si="14"/>
        <v>239917</v>
      </c>
      <c r="O78" s="321">
        <f t="shared" si="14"/>
        <v>266943</v>
      </c>
      <c r="P78" s="321">
        <f t="shared" si="14"/>
        <v>347732</v>
      </c>
      <c r="Q78" s="321">
        <f t="shared" si="14"/>
        <v>957307</v>
      </c>
      <c r="R78" s="310">
        <f>R18</f>
        <v>414048</v>
      </c>
      <c r="S78" s="310">
        <f>S18</f>
        <v>703499</v>
      </c>
      <c r="T78" s="310">
        <f>T18</f>
        <v>1107658</v>
      </c>
      <c r="U78" s="310">
        <f>U18</f>
        <v>630453</v>
      </c>
      <c r="V78" s="471"/>
      <c r="W78" s="323">
        <f>W18</f>
        <v>488241</v>
      </c>
      <c r="X78" s="474"/>
    </row>
    <row r="79" spans="2:24" ht="15" thickBot="1" x14ac:dyDescent="0.35">
      <c r="B79" s="15" t="s">
        <v>97</v>
      </c>
      <c r="C79" s="324"/>
      <c r="D79" s="324">
        <f t="shared" ref="D79:F79" si="15">SUM(D19:D57)</f>
        <v>11445000</v>
      </c>
      <c r="E79" s="324">
        <f t="shared" si="15"/>
        <v>11253000</v>
      </c>
      <c r="F79" s="324">
        <f t="shared" si="15"/>
        <v>11747000</v>
      </c>
      <c r="G79" s="324">
        <f t="shared" ref="G79:S79" si="16">SUM(G19:G62)</f>
        <v>9731000</v>
      </c>
      <c r="H79" s="324">
        <f t="shared" si="16"/>
        <v>11016607</v>
      </c>
      <c r="I79" s="324">
        <f t="shared" si="16"/>
        <v>10495155</v>
      </c>
      <c r="J79" s="324">
        <f t="shared" si="16"/>
        <v>13275986</v>
      </c>
      <c r="K79" s="324">
        <f t="shared" si="16"/>
        <v>9057930</v>
      </c>
      <c r="L79" s="324">
        <f t="shared" si="16"/>
        <v>6675981</v>
      </c>
      <c r="M79" s="324">
        <f t="shared" si="16"/>
        <v>15385208</v>
      </c>
      <c r="N79" s="324">
        <f t="shared" si="16"/>
        <v>11720705</v>
      </c>
      <c r="O79" s="324">
        <f t="shared" si="16"/>
        <v>10537705</v>
      </c>
      <c r="P79" s="324">
        <f t="shared" si="16"/>
        <v>14317510</v>
      </c>
      <c r="Q79" s="324">
        <f t="shared" si="16"/>
        <v>14865206</v>
      </c>
      <c r="R79" s="324">
        <f t="shared" si="16"/>
        <v>14507386</v>
      </c>
      <c r="S79" s="324">
        <f t="shared" si="16"/>
        <v>15126437</v>
      </c>
      <c r="T79" s="324">
        <f>SUM(T19:T68)</f>
        <v>11409996</v>
      </c>
      <c r="U79" s="324">
        <f>SUM(U19:U71)</f>
        <v>16284483</v>
      </c>
      <c r="V79" s="324"/>
      <c r="W79" s="324">
        <f>SUM(W19:W29)</f>
        <v>9497584.1999999993</v>
      </c>
      <c r="X79" s="474"/>
    </row>
    <row r="80" spans="2:24" ht="15" thickBot="1" x14ac:dyDescent="0.35">
      <c r="B80" s="102" t="s">
        <v>98</v>
      </c>
      <c r="C80" s="216"/>
      <c r="D80" s="149">
        <f t="shared" ref="D80:K80" si="17">D78+D79</f>
        <v>12114033</v>
      </c>
      <c r="E80" s="149">
        <f t="shared" si="17"/>
        <v>11604719</v>
      </c>
      <c r="F80" s="149">
        <f t="shared" si="17"/>
        <v>11882500</v>
      </c>
      <c r="G80" s="149">
        <f t="shared" si="17"/>
        <v>9913240</v>
      </c>
      <c r="H80" s="149">
        <f t="shared" si="17"/>
        <v>11770050</v>
      </c>
      <c r="I80" s="149">
        <f t="shared" si="17"/>
        <v>10921189</v>
      </c>
      <c r="J80" s="149">
        <f t="shared" si="17"/>
        <v>13754770</v>
      </c>
      <c r="K80" s="149">
        <f t="shared" si="17"/>
        <v>9599886</v>
      </c>
      <c r="L80" s="149">
        <f t="shared" ref="L80:Q80" si="18">L78+L79</f>
        <v>7496989</v>
      </c>
      <c r="M80" s="149">
        <f t="shared" si="18"/>
        <v>16189401</v>
      </c>
      <c r="N80" s="149">
        <f t="shared" si="18"/>
        <v>11960622</v>
      </c>
      <c r="O80" s="149">
        <f t="shared" si="18"/>
        <v>10804648</v>
      </c>
      <c r="P80" s="149">
        <f t="shared" si="18"/>
        <v>14665242</v>
      </c>
      <c r="Q80" s="149">
        <f t="shared" si="18"/>
        <v>15822513</v>
      </c>
      <c r="R80" s="203">
        <f>SUM(R78:R79)</f>
        <v>14921434</v>
      </c>
      <c r="S80" s="203">
        <f>SUM(S78:S79)</f>
        <v>15829936</v>
      </c>
      <c r="T80" s="203">
        <f>SUM(T78:T79)</f>
        <v>12517654</v>
      </c>
      <c r="U80" s="203">
        <f>SUM(U78:U79)</f>
        <v>16914936</v>
      </c>
      <c r="V80" s="203"/>
      <c r="W80" s="297">
        <f>W78+W79</f>
        <v>9985825.1999999993</v>
      </c>
      <c r="X80" s="474"/>
    </row>
    <row r="81" spans="2:24" ht="15" thickTop="1" x14ac:dyDescent="0.3">
      <c r="B81" s="230"/>
      <c r="C81" s="228"/>
      <c r="D81" s="229"/>
      <c r="E81" s="229"/>
      <c r="F81" s="229"/>
      <c r="G81" s="229"/>
      <c r="H81" s="266"/>
      <c r="I81" s="266"/>
      <c r="J81" s="266"/>
      <c r="K81" s="266"/>
      <c r="L81" s="266"/>
      <c r="M81" s="266"/>
      <c r="N81" s="261"/>
      <c r="O81" s="262"/>
      <c r="P81" s="263"/>
      <c r="Q81" s="263"/>
      <c r="R81" s="229"/>
      <c r="S81" s="229"/>
      <c r="T81" s="229"/>
      <c r="U81" s="229"/>
      <c r="V81" s="229"/>
      <c r="W81" s="298"/>
      <c r="X81" s="474"/>
    </row>
    <row r="82" spans="2:24" ht="15" thickBot="1" x14ac:dyDescent="0.35">
      <c r="B82" s="123" t="s">
        <v>99</v>
      </c>
      <c r="C82" s="208"/>
      <c r="D82" s="150">
        <f>D80/D75</f>
        <v>0.99734971131769012</v>
      </c>
      <c r="E82" s="177">
        <f>E80/E75</f>
        <v>0.99821727238976854</v>
      </c>
      <c r="F82" s="177">
        <f>F80/F75</f>
        <v>1.0295477831039794</v>
      </c>
      <c r="G82" s="177">
        <f>G80/G75</f>
        <v>1.0027631205742629</v>
      </c>
      <c r="H82" s="265">
        <f>H80/H75</f>
        <v>1.0070951563121411</v>
      </c>
      <c r="I82" s="265">
        <f t="shared" ref="I82:L82" si="19">I80/I75</f>
        <v>0.96198291010253079</v>
      </c>
      <c r="J82" s="265">
        <f t="shared" si="19"/>
        <v>1.001778614658666</v>
      </c>
      <c r="K82" s="269">
        <f t="shared" si="19"/>
        <v>1.0123824277851656</v>
      </c>
      <c r="L82" s="269">
        <f t="shared" si="19"/>
        <v>1.006201360823237</v>
      </c>
      <c r="M82" s="269">
        <f t="shared" ref="M82:P82" si="20">M80/M75</f>
        <v>0.99694568631073344</v>
      </c>
      <c r="N82" s="269">
        <f t="shared" si="20"/>
        <v>1.0000520066889631</v>
      </c>
      <c r="O82" s="269">
        <f>O80/O75</f>
        <v>1.0036830469112865</v>
      </c>
      <c r="P82" s="265">
        <f t="shared" si="20"/>
        <v>0.9933909601220906</v>
      </c>
      <c r="Q82" s="265">
        <f t="shared" ref="Q82:W82" si="21">Q80/Q75</f>
        <v>1.0083814288445605</v>
      </c>
      <c r="R82" s="265">
        <f t="shared" si="21"/>
        <v>1.0012369321613097</v>
      </c>
      <c r="S82" s="265">
        <f t="shared" si="21"/>
        <v>1.005060943573822</v>
      </c>
      <c r="T82" s="269">
        <f>T80/T75</f>
        <v>0.77197513428841014</v>
      </c>
      <c r="U82" s="269">
        <f t="shared" si="21"/>
        <v>1.0441254066332923</v>
      </c>
      <c r="V82" s="269" t="e">
        <f t="shared" si="21"/>
        <v>#DIV/0!</v>
      </c>
      <c r="W82" s="299">
        <f t="shared" si="21"/>
        <v>0.69469475853856089</v>
      </c>
      <c r="X82" s="474"/>
    </row>
    <row r="83" spans="2:24" ht="15" customHeight="1" x14ac:dyDescent="0.3">
      <c r="B83" s="167" t="s">
        <v>100</v>
      </c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244"/>
      <c r="Q83" s="244"/>
      <c r="R83" s="189"/>
      <c r="S83" s="189"/>
      <c r="T83" s="189"/>
      <c r="U83" s="189"/>
      <c r="V83" s="189"/>
      <c r="W83" s="189"/>
      <c r="X83" s="474"/>
    </row>
    <row r="84" spans="2:24" s="342" customFormat="1" ht="14.4" x14ac:dyDescent="0.3">
      <c r="B84" s="534" t="s">
        <v>101</v>
      </c>
      <c r="C84" s="535"/>
      <c r="D84" s="535"/>
      <c r="E84" s="535"/>
      <c r="F84" s="535"/>
      <c r="G84" s="535"/>
      <c r="H84" s="535"/>
      <c r="I84" s="535"/>
      <c r="J84" s="535"/>
      <c r="K84" s="535"/>
      <c r="L84" s="535"/>
      <c r="M84" s="535"/>
      <c r="P84" s="343"/>
      <c r="Q84" s="343"/>
      <c r="R84" s="344"/>
      <c r="S84" s="344"/>
      <c r="T84" s="344"/>
      <c r="U84" s="344"/>
      <c r="V84" s="344"/>
      <c r="W84" s="344"/>
      <c r="X84" s="475"/>
    </row>
    <row r="85" spans="2:24" s="342" customFormat="1" ht="15.75" customHeight="1" thickBot="1" x14ac:dyDescent="0.35">
      <c r="B85" s="536" t="s">
        <v>102</v>
      </c>
      <c r="C85" s="537"/>
      <c r="D85" s="537"/>
      <c r="E85" s="537"/>
      <c r="F85" s="537"/>
      <c r="G85" s="537"/>
      <c r="H85" s="537"/>
      <c r="I85" s="537"/>
      <c r="J85" s="537"/>
      <c r="K85" s="537"/>
      <c r="L85" s="537"/>
      <c r="M85" s="537"/>
      <c r="N85" s="345"/>
      <c r="O85" s="345"/>
      <c r="P85" s="346"/>
      <c r="Q85" s="346"/>
      <c r="R85" s="347"/>
      <c r="S85" s="347"/>
      <c r="T85" s="347"/>
      <c r="U85" s="347"/>
      <c r="V85" s="347"/>
      <c r="W85" s="347"/>
      <c r="X85" s="476"/>
    </row>
    <row r="86" spans="2:24" hidden="1" x14ac:dyDescent="0.2"/>
    <row r="87" spans="2:24" ht="13.2" hidden="1" x14ac:dyDescent="0.25">
      <c r="B87" s="2" t="s">
        <v>128</v>
      </c>
      <c r="D87" s="325">
        <f t="shared" ref="D87:J87" si="22">SUM(D48:D62)/D75</f>
        <v>3.3179035723365551E-2</v>
      </c>
      <c r="E87" s="325">
        <f t="shared" si="22"/>
        <v>1.8579935527623718E-2</v>
      </c>
      <c r="F87" s="325">
        <f t="shared" si="22"/>
        <v>1.2996605719806178E-2</v>
      </c>
      <c r="G87" s="325">
        <f t="shared" si="22"/>
        <v>2.4074633792450763E-2</v>
      </c>
      <c r="H87" s="325">
        <f t="shared" si="22"/>
        <v>3.5517793593088057E-2</v>
      </c>
      <c r="I87" s="325">
        <f t="shared" si="22"/>
        <v>3.2798196108462865E-2</v>
      </c>
      <c r="J87" s="325">
        <f t="shared" si="22"/>
        <v>3.3867893671165973E-2</v>
      </c>
      <c r="K87" s="80">
        <f>1-K82</f>
        <v>-1.2382427785165628E-2</v>
      </c>
    </row>
    <row r="88" spans="2:24" hidden="1" x14ac:dyDescent="0.2"/>
    <row r="89" spans="2:24" hidden="1" x14ac:dyDescent="0.2">
      <c r="I89" s="2" t="s">
        <v>129</v>
      </c>
      <c r="J89" s="81">
        <f>SUM(AVERAGE(D87:J87))</f>
        <v>2.7287727733709015E-2</v>
      </c>
    </row>
    <row r="90" spans="2:24" hidden="1" x14ac:dyDescent="0.2"/>
    <row r="93" spans="2:24" x14ac:dyDescent="0.2"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7"/>
      <c r="S93" s="267"/>
      <c r="T93" s="267"/>
      <c r="U93" s="267"/>
      <c r="V93" s="267"/>
    </row>
    <row r="94" spans="2:24" x14ac:dyDescent="0.2">
      <c r="R94" s="267">
        <f>R73*X94</f>
        <v>0</v>
      </c>
      <c r="S94" s="267"/>
      <c r="T94" s="267"/>
      <c r="U94" s="267"/>
      <c r="V94" s="267"/>
    </row>
    <row r="95" spans="2:24" x14ac:dyDescent="0.2">
      <c r="R95" s="267"/>
      <c r="S95" s="267"/>
      <c r="T95" s="267"/>
      <c r="U95" s="267"/>
      <c r="V95" s="267"/>
      <c r="W95" s="231"/>
    </row>
    <row r="96" spans="2:24" x14ac:dyDescent="0.2">
      <c r="R96" s="267"/>
      <c r="S96" s="267"/>
      <c r="T96" s="267"/>
      <c r="U96" s="267"/>
      <c r="V96" s="267"/>
    </row>
    <row r="97" spans="17:23" x14ac:dyDescent="0.2">
      <c r="R97" s="267"/>
      <c r="S97" s="267"/>
      <c r="T97" s="267"/>
      <c r="U97" s="267"/>
      <c r="V97" s="267"/>
    </row>
    <row r="98" spans="17:23" x14ac:dyDescent="0.2">
      <c r="Q98" s="267"/>
      <c r="R98" s="267"/>
      <c r="S98" s="267"/>
      <c r="T98" s="267"/>
      <c r="U98" s="267"/>
      <c r="V98" s="267"/>
      <c r="W98" s="264"/>
    </row>
    <row r="99" spans="17:23" x14ac:dyDescent="0.2">
      <c r="R99" s="264"/>
      <c r="S99" s="264"/>
      <c r="T99" s="264"/>
      <c r="U99" s="264"/>
      <c r="V99" s="264"/>
    </row>
    <row r="100" spans="17:23" x14ac:dyDescent="0.2">
      <c r="Q100" s="267"/>
    </row>
    <row r="102" spans="17:23" x14ac:dyDescent="0.2">
      <c r="R102" s="267"/>
      <c r="S102" s="267"/>
      <c r="T102" s="267"/>
      <c r="U102" s="267"/>
      <c r="V102" s="267"/>
    </row>
  </sheetData>
  <mergeCells count="3">
    <mergeCell ref="B84:M84"/>
    <mergeCell ref="B85:M85"/>
    <mergeCell ref="B2:R2"/>
  </mergeCells>
  <phoneticPr fontId="21" type="noConversion"/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1EA0-526B-43FB-BFAD-5C7A2633E134}">
  <dimension ref="B3:N66"/>
  <sheetViews>
    <sheetView topLeftCell="A29" zoomScale="60" zoomScaleNormal="60" workbookViewId="0">
      <selection activeCell="AM21" sqref="AM21"/>
    </sheetView>
  </sheetViews>
  <sheetFormatPr defaultColWidth="8.77734375" defaultRowHeight="13.2" x14ac:dyDescent="0.25"/>
  <cols>
    <col min="2" max="2" width="14.77734375" bestFit="1" customWidth="1"/>
    <col min="3" max="3" width="24.44140625" bestFit="1" customWidth="1"/>
    <col min="4" max="4" width="9.88671875" bestFit="1" customWidth="1"/>
    <col min="5" max="6" width="9.44140625" bestFit="1" customWidth="1"/>
    <col min="7" max="7" width="7.88671875" bestFit="1" customWidth="1"/>
    <col min="8" max="8" width="14" bestFit="1" customWidth="1"/>
    <col min="9" max="9" width="11.44140625" bestFit="1" customWidth="1"/>
    <col min="10" max="10" width="9.44140625" bestFit="1" customWidth="1"/>
    <col min="11" max="12" width="6.77734375" bestFit="1" customWidth="1"/>
    <col min="13" max="13" width="15.44140625" bestFit="1" customWidth="1"/>
    <col min="14" max="14" width="15" bestFit="1" customWidth="1"/>
  </cols>
  <sheetData>
    <row r="3" spans="2:14" s="421" customFormat="1" ht="23.55" customHeight="1" x14ac:dyDescent="0.25">
      <c r="B3" s="425" t="s">
        <v>42</v>
      </c>
      <c r="C3" s="426" t="s">
        <v>43</v>
      </c>
      <c r="D3" s="426" t="s">
        <v>44</v>
      </c>
      <c r="E3" s="426" t="s">
        <v>45</v>
      </c>
      <c r="F3" s="426" t="s">
        <v>46</v>
      </c>
      <c r="G3" s="426" t="s">
        <v>47</v>
      </c>
      <c r="H3" s="427" t="s">
        <v>48</v>
      </c>
      <c r="I3" s="426" t="s">
        <v>49</v>
      </c>
      <c r="J3" s="426" t="s">
        <v>50</v>
      </c>
      <c r="K3" s="426" t="s">
        <v>51</v>
      </c>
      <c r="L3" s="426" t="s">
        <v>52</v>
      </c>
      <c r="M3" s="436" t="s">
        <v>53</v>
      </c>
      <c r="N3" s="428" t="s">
        <v>54</v>
      </c>
    </row>
    <row r="4" spans="2:14" x14ac:dyDescent="0.25">
      <c r="B4" s="429">
        <v>1</v>
      </c>
      <c r="C4" s="417" t="s">
        <v>149</v>
      </c>
      <c r="D4" s="422">
        <v>25977</v>
      </c>
      <c r="E4" s="422">
        <v>2770</v>
      </c>
      <c r="F4" s="417">
        <v>341</v>
      </c>
      <c r="G4" s="417">
        <v>44</v>
      </c>
      <c r="H4" s="424">
        <v>29132</v>
      </c>
      <c r="I4" s="422">
        <v>67446</v>
      </c>
      <c r="J4" s="422">
        <v>1083</v>
      </c>
      <c r="K4" s="417">
        <v>0</v>
      </c>
      <c r="L4" s="422">
        <v>4</v>
      </c>
      <c r="M4" s="423">
        <v>68533</v>
      </c>
      <c r="N4" s="430">
        <v>97665</v>
      </c>
    </row>
    <row r="5" spans="2:14" x14ac:dyDescent="0.25">
      <c r="B5" s="429">
        <v>2</v>
      </c>
      <c r="C5" s="417" t="s">
        <v>159</v>
      </c>
      <c r="D5" s="422">
        <v>26793</v>
      </c>
      <c r="E5" s="422">
        <v>2054</v>
      </c>
      <c r="F5" s="417">
        <v>157</v>
      </c>
      <c r="G5" s="417">
        <v>91</v>
      </c>
      <c r="H5" s="424">
        <v>29095</v>
      </c>
      <c r="I5" s="422">
        <v>71810</v>
      </c>
      <c r="J5" s="422">
        <v>1182</v>
      </c>
      <c r="K5" s="417">
        <v>55</v>
      </c>
      <c r="L5" s="422">
        <v>78</v>
      </c>
      <c r="M5" s="423">
        <v>73125</v>
      </c>
      <c r="N5" s="430">
        <v>102220</v>
      </c>
    </row>
    <row r="6" spans="2:14" x14ac:dyDescent="0.25">
      <c r="B6" s="429">
        <v>3</v>
      </c>
      <c r="C6" s="417" t="s">
        <v>165</v>
      </c>
      <c r="D6" s="422">
        <v>62648</v>
      </c>
      <c r="E6" s="422">
        <v>4811</v>
      </c>
      <c r="F6" s="422">
        <v>177</v>
      </c>
      <c r="G6" s="417">
        <v>38</v>
      </c>
      <c r="H6" s="424">
        <v>67674</v>
      </c>
      <c r="I6" s="422">
        <v>134596</v>
      </c>
      <c r="J6" s="422">
        <v>2859</v>
      </c>
      <c r="K6" s="417">
        <v>105</v>
      </c>
      <c r="L6" s="417">
        <v>37</v>
      </c>
      <c r="M6" s="423">
        <v>137597</v>
      </c>
      <c r="N6" s="430">
        <v>205271</v>
      </c>
    </row>
    <row r="7" spans="2:14" x14ac:dyDescent="0.25">
      <c r="B7" s="429">
        <v>4</v>
      </c>
      <c r="C7" s="417"/>
      <c r="D7" s="422"/>
      <c r="E7" s="422"/>
      <c r="F7" s="422"/>
      <c r="G7" s="417"/>
      <c r="H7" s="424">
        <f>SUM(Table1[[#This Row],[WM1]:[WMO]])</f>
        <v>0</v>
      </c>
      <c r="I7" s="422"/>
      <c r="J7" s="422"/>
      <c r="K7" s="417"/>
      <c r="L7" s="417"/>
      <c r="M7" s="423">
        <f>SUM(Table1[[#This Row],[YM1]:[YMO]])</f>
        <v>0</v>
      </c>
      <c r="N7" s="430">
        <f>SUM(Table1[[#This Row],[White Total]],Table1[[#This Row],[Yellow Total]])</f>
        <v>0</v>
      </c>
    </row>
    <row r="8" spans="2:14" x14ac:dyDescent="0.25">
      <c r="B8" s="429">
        <v>5</v>
      </c>
      <c r="C8" s="417"/>
      <c r="D8" s="422"/>
      <c r="E8" s="422"/>
      <c r="F8" s="422"/>
      <c r="G8" s="417"/>
      <c r="H8" s="424">
        <f>SUM(Table1[[#This Row],[WM1]:[WMO]])</f>
        <v>0</v>
      </c>
      <c r="I8" s="422"/>
      <c r="J8" s="422"/>
      <c r="K8" s="422"/>
      <c r="L8" s="417"/>
      <c r="M8" s="423">
        <f>SUM(Table1[[#This Row],[YM1]:[YMO]])</f>
        <v>0</v>
      </c>
      <c r="N8" s="430">
        <f>SUM(Table1[[#This Row],[White Total]],Table1[[#This Row],[Yellow Total]])</f>
        <v>0</v>
      </c>
    </row>
    <row r="9" spans="2:14" x14ac:dyDescent="0.25">
      <c r="B9" s="429">
        <v>6</v>
      </c>
      <c r="C9" s="417"/>
      <c r="D9" s="422"/>
      <c r="E9" s="422"/>
      <c r="F9" s="422"/>
      <c r="G9" s="417"/>
      <c r="H9" s="424">
        <f>SUM(Table1[[#This Row],[WM1]:[WMO]])</f>
        <v>0</v>
      </c>
      <c r="I9" s="422"/>
      <c r="J9" s="422"/>
      <c r="K9" s="422"/>
      <c r="L9" s="417"/>
      <c r="M9" s="423">
        <f>SUM(Table1[[#This Row],[YM1]:[YMO]])</f>
        <v>0</v>
      </c>
      <c r="N9" s="430">
        <f>SUM(Table1[[#This Row],[White Total]],Table1[[#This Row],[Yellow Total]])</f>
        <v>0</v>
      </c>
    </row>
    <row r="10" spans="2:14" x14ac:dyDescent="0.25">
      <c r="B10" s="429">
        <v>7</v>
      </c>
      <c r="C10" s="417"/>
      <c r="D10" s="422"/>
      <c r="E10" s="422"/>
      <c r="F10" s="422"/>
      <c r="G10" s="417"/>
      <c r="H10" s="424">
        <f>SUM(Table1[[#This Row],[WM1]:[WMO]])</f>
        <v>0</v>
      </c>
      <c r="I10" s="422"/>
      <c r="J10" s="422"/>
      <c r="K10" s="422"/>
      <c r="L10" s="417"/>
      <c r="M10" s="423">
        <f>SUM(Table1[[#This Row],[YM1]:[YMO]])</f>
        <v>0</v>
      </c>
      <c r="N10" s="430">
        <f>SUM(Table1[[#This Row],[White Total]],Table1[[#This Row],[Yellow Total]])</f>
        <v>0</v>
      </c>
    </row>
    <row r="11" spans="2:14" x14ac:dyDescent="0.25">
      <c r="B11" s="429">
        <v>8</v>
      </c>
      <c r="C11" s="417"/>
      <c r="D11" s="422"/>
      <c r="E11" s="422"/>
      <c r="F11" s="422"/>
      <c r="G11" s="422"/>
      <c r="H11" s="424">
        <f>SUM(Table1[[#This Row],[WM1]:[WMO]])</f>
        <v>0</v>
      </c>
      <c r="I11" s="422"/>
      <c r="J11" s="422"/>
      <c r="K11" s="422"/>
      <c r="L11" s="417"/>
      <c r="M11" s="423">
        <f>SUM(Table1[[#This Row],[YM1]:[YMO]])</f>
        <v>0</v>
      </c>
      <c r="N11" s="430">
        <f>SUM(Table1[[#This Row],[White Total]],Table1[[#This Row],[Yellow Total]])</f>
        <v>0</v>
      </c>
    </row>
    <row r="12" spans="2:14" x14ac:dyDescent="0.25">
      <c r="B12" s="429">
        <v>9</v>
      </c>
      <c r="C12" s="417"/>
      <c r="D12" s="422"/>
      <c r="E12" s="422"/>
      <c r="F12" s="422"/>
      <c r="G12" s="417"/>
      <c r="H12" s="424">
        <f>SUM(Table1[[#This Row],[WM1]:[WMO]])</f>
        <v>0</v>
      </c>
      <c r="I12" s="422"/>
      <c r="J12" s="422"/>
      <c r="K12" s="422"/>
      <c r="L12" s="417"/>
      <c r="M12" s="423">
        <f>SUM(Table1[[#This Row],[YM1]:[YMO]])</f>
        <v>0</v>
      </c>
      <c r="N12" s="430">
        <f>SUM(Table1[[#This Row],[White Total]],Table1[[#This Row],[Yellow Total]])</f>
        <v>0</v>
      </c>
    </row>
    <row r="13" spans="2:14" x14ac:dyDescent="0.25">
      <c r="B13" s="429">
        <v>10</v>
      </c>
      <c r="C13" s="417"/>
      <c r="D13" s="422"/>
      <c r="E13" s="422"/>
      <c r="F13" s="422"/>
      <c r="G13" s="422"/>
      <c r="H13" s="424">
        <f>SUM(Table1[[#This Row],[WM1]:[WMO]])</f>
        <v>0</v>
      </c>
      <c r="I13" s="422"/>
      <c r="J13" s="422"/>
      <c r="K13" s="422"/>
      <c r="L13" s="417"/>
      <c r="M13" s="423">
        <f>SUM(Table1[[#This Row],[YM1]:[YMO]])</f>
        <v>0</v>
      </c>
      <c r="N13" s="430">
        <f>SUM(Table1[[#This Row],[White Total]],Table1[[#This Row],[Yellow Total]])</f>
        <v>0</v>
      </c>
    </row>
    <row r="14" spans="2:14" x14ac:dyDescent="0.25">
      <c r="B14" s="429">
        <v>11</v>
      </c>
      <c r="C14" s="417"/>
      <c r="D14" s="422"/>
      <c r="E14" s="422"/>
      <c r="F14" s="422"/>
      <c r="G14" s="422"/>
      <c r="H14" s="424">
        <f>SUM(Table1[[#This Row],[WM1]:[WMO]])</f>
        <v>0</v>
      </c>
      <c r="I14" s="422"/>
      <c r="J14" s="422"/>
      <c r="K14" s="422"/>
      <c r="L14" s="417"/>
      <c r="M14" s="423">
        <f>SUM(Table1[[#This Row],[YM1]:[YMO]])</f>
        <v>0</v>
      </c>
      <c r="N14" s="430">
        <f>SUM(Table1[[#This Row],[White Total]],Table1[[#This Row],[Yellow Total]])</f>
        <v>0</v>
      </c>
    </row>
    <row r="15" spans="2:14" x14ac:dyDescent="0.25">
      <c r="B15" s="429">
        <v>12</v>
      </c>
      <c r="C15" s="417"/>
      <c r="D15" s="422"/>
      <c r="E15" s="422"/>
      <c r="F15" s="422"/>
      <c r="G15" s="417"/>
      <c r="H15" s="424">
        <f>SUM(Table1[[#This Row],[WM1]:[WMO]])</f>
        <v>0</v>
      </c>
      <c r="I15" s="422"/>
      <c r="J15" s="422"/>
      <c r="K15" s="422"/>
      <c r="L15" s="417"/>
      <c r="M15" s="423">
        <f>SUM(Table1[[#This Row],[YM1]:[YMO]])</f>
        <v>0</v>
      </c>
      <c r="N15" s="430">
        <f>SUM(Table1[[#This Row],[White Total]],Table1[[#This Row],[Yellow Total]])</f>
        <v>0</v>
      </c>
    </row>
    <row r="16" spans="2:14" x14ac:dyDescent="0.25">
      <c r="B16" s="429">
        <v>13</v>
      </c>
      <c r="C16" s="417"/>
      <c r="D16" s="422"/>
      <c r="E16" s="422"/>
      <c r="F16" s="422"/>
      <c r="G16" s="422"/>
      <c r="H16" s="424">
        <f>SUM(Table1[[#This Row],[WM1]:[WMO]])</f>
        <v>0</v>
      </c>
      <c r="I16" s="422"/>
      <c r="J16" s="422"/>
      <c r="K16" s="422"/>
      <c r="L16" s="417"/>
      <c r="M16" s="423">
        <f>SUM(Table1[[#This Row],[YM1]:[YMO]])</f>
        <v>0</v>
      </c>
      <c r="N16" s="430">
        <f>SUM(Table1[[#This Row],[White Total]],Table1[[#This Row],[Yellow Total]])</f>
        <v>0</v>
      </c>
    </row>
    <row r="17" spans="2:14" x14ac:dyDescent="0.25">
      <c r="B17" s="429">
        <v>14</v>
      </c>
      <c r="C17" s="417"/>
      <c r="D17" s="422"/>
      <c r="E17" s="422"/>
      <c r="F17" s="422"/>
      <c r="G17" s="417"/>
      <c r="H17" s="424">
        <f>SUM(Table1[[#This Row],[WM1]:[WMO]])</f>
        <v>0</v>
      </c>
      <c r="I17" s="422"/>
      <c r="J17" s="422"/>
      <c r="K17" s="422"/>
      <c r="L17" s="417"/>
      <c r="M17" s="423">
        <f>SUM(Table1[[#This Row],[YM1]:[YMO]])</f>
        <v>0</v>
      </c>
      <c r="N17" s="430">
        <f>SUM(Table1[[#This Row],[White Total]],Table1[[#This Row],[Yellow Total]])</f>
        <v>0</v>
      </c>
    </row>
    <row r="18" spans="2:14" x14ac:dyDescent="0.25">
      <c r="B18" s="429">
        <v>15</v>
      </c>
      <c r="C18" s="417"/>
      <c r="D18" s="422"/>
      <c r="E18" s="422"/>
      <c r="F18" s="422"/>
      <c r="G18" s="417"/>
      <c r="H18" s="424">
        <f>SUM(Table1[[#This Row],[WM1]:[WMO]])</f>
        <v>0</v>
      </c>
      <c r="I18" s="422"/>
      <c r="J18" s="422"/>
      <c r="K18" s="422"/>
      <c r="L18" s="417"/>
      <c r="M18" s="423">
        <f>SUM(Table1[[#This Row],[YM1]:[YMO]])</f>
        <v>0</v>
      </c>
      <c r="N18" s="430">
        <f>SUM(Table1[[#This Row],[White Total]],Table1[[#This Row],[Yellow Total]])</f>
        <v>0</v>
      </c>
    </row>
    <row r="19" spans="2:14" x14ac:dyDescent="0.25">
      <c r="B19" s="429">
        <v>16</v>
      </c>
      <c r="C19" s="417"/>
      <c r="D19" s="422"/>
      <c r="E19" s="422"/>
      <c r="F19" s="422"/>
      <c r="G19" s="417"/>
      <c r="H19" s="424">
        <f>SUM(Table1[[#This Row],[WM1]:[WMO]])</f>
        <v>0</v>
      </c>
      <c r="I19" s="422"/>
      <c r="J19" s="422"/>
      <c r="K19" s="422"/>
      <c r="L19" s="422"/>
      <c r="M19" s="423">
        <f>SUM(Table1[[#This Row],[YM1]:[YMO]])</f>
        <v>0</v>
      </c>
      <c r="N19" s="430">
        <f>SUM(Table1[[#This Row],[White Total]],Table1[[#This Row],[Yellow Total]])</f>
        <v>0</v>
      </c>
    </row>
    <row r="20" spans="2:14" x14ac:dyDescent="0.25">
      <c r="B20" s="429">
        <v>17</v>
      </c>
      <c r="C20" s="417"/>
      <c r="D20" s="422"/>
      <c r="E20" s="422"/>
      <c r="F20" s="422"/>
      <c r="G20" s="417"/>
      <c r="H20" s="424">
        <f>SUM(Table1[[#This Row],[WM1]:[WMO]])</f>
        <v>0</v>
      </c>
      <c r="I20" s="422"/>
      <c r="J20" s="422"/>
      <c r="K20" s="422"/>
      <c r="L20" s="417"/>
      <c r="M20" s="423">
        <f>SUM(Table1[[#This Row],[YM1]:[YMO]])</f>
        <v>0</v>
      </c>
      <c r="N20" s="430">
        <f>SUM(Table1[[#This Row],[White Total]],Table1[[#This Row],[Yellow Total]])</f>
        <v>0</v>
      </c>
    </row>
    <row r="21" spans="2:14" x14ac:dyDescent="0.25">
      <c r="B21" s="429">
        <v>18</v>
      </c>
      <c r="C21" s="417"/>
      <c r="D21" s="422"/>
      <c r="E21" s="422"/>
      <c r="F21" s="422"/>
      <c r="G21" s="422"/>
      <c r="H21" s="424">
        <f>SUM(Table1[[#This Row],[WM1]:[WMO]])</f>
        <v>0</v>
      </c>
      <c r="I21" s="422"/>
      <c r="J21" s="422"/>
      <c r="K21" s="417"/>
      <c r="L21" s="417"/>
      <c r="M21" s="423">
        <f>SUM(Table1[[#This Row],[YM1]:[YMO]])</f>
        <v>0</v>
      </c>
      <c r="N21" s="430">
        <f>SUM(Table1[[#This Row],[White Total]],Table1[[#This Row],[Yellow Total]])</f>
        <v>0</v>
      </c>
    </row>
    <row r="22" spans="2:14" x14ac:dyDescent="0.25">
      <c r="B22" s="429">
        <v>19</v>
      </c>
      <c r="C22" s="417"/>
      <c r="D22" s="422"/>
      <c r="E22" s="422"/>
      <c r="F22" s="422"/>
      <c r="G22" s="422"/>
      <c r="H22" s="424">
        <f>SUM(Table1[[#This Row],[WM1]:[WMO]])</f>
        <v>0</v>
      </c>
      <c r="I22" s="422"/>
      <c r="J22" s="422"/>
      <c r="K22" s="417"/>
      <c r="L22" s="417"/>
      <c r="M22" s="423">
        <f>SUM(Table1[[#This Row],[YM1]:[YMO]])</f>
        <v>0</v>
      </c>
      <c r="N22" s="430">
        <f>SUM(Table1[[#This Row],[White Total]],Table1[[#This Row],[Yellow Total]])</f>
        <v>0</v>
      </c>
    </row>
    <row r="23" spans="2:14" x14ac:dyDescent="0.25">
      <c r="B23" s="429">
        <v>20</v>
      </c>
      <c r="C23" s="417"/>
      <c r="D23" s="422"/>
      <c r="E23" s="422"/>
      <c r="F23" s="422"/>
      <c r="G23" s="417"/>
      <c r="H23" s="424">
        <f>SUM(Table1[[#This Row],[WM1]:[WMO]])</f>
        <v>0</v>
      </c>
      <c r="I23" s="422"/>
      <c r="J23" s="422"/>
      <c r="K23" s="417"/>
      <c r="L23" s="417"/>
      <c r="M23" s="423">
        <f>SUM(Table1[[#This Row],[YM1]:[YMO]])</f>
        <v>0</v>
      </c>
      <c r="N23" s="430">
        <f>SUM(Table1[[#This Row],[White Total]],Table1[[#This Row],[Yellow Total]])</f>
        <v>0</v>
      </c>
    </row>
    <row r="24" spans="2:14" x14ac:dyDescent="0.25">
      <c r="B24" s="429">
        <v>21</v>
      </c>
      <c r="C24" s="417"/>
      <c r="D24" s="422"/>
      <c r="E24" s="422"/>
      <c r="F24" s="422"/>
      <c r="G24" s="417"/>
      <c r="H24" s="424">
        <f>SUM(Table1[[#This Row],[WM1]:[WMO]])</f>
        <v>0</v>
      </c>
      <c r="I24" s="422"/>
      <c r="J24" s="422"/>
      <c r="K24" s="417"/>
      <c r="L24" s="417"/>
      <c r="M24" s="423">
        <f>SUM(Table1[[#This Row],[YM1]:[YMO]])</f>
        <v>0</v>
      </c>
      <c r="N24" s="430">
        <f>SUM(Table1[[#This Row],[White Total]],Table1[[#This Row],[Yellow Total]])</f>
        <v>0</v>
      </c>
    </row>
    <row r="25" spans="2:14" x14ac:dyDescent="0.25">
      <c r="B25" s="429">
        <v>22</v>
      </c>
      <c r="C25" s="417"/>
      <c r="D25" s="422"/>
      <c r="E25" s="422"/>
      <c r="F25" s="422"/>
      <c r="G25" s="417"/>
      <c r="H25" s="424">
        <f>SUM(Table1[[#This Row],[WM1]:[WMO]])</f>
        <v>0</v>
      </c>
      <c r="I25" s="422"/>
      <c r="J25" s="422"/>
      <c r="K25" s="417"/>
      <c r="L25" s="417"/>
      <c r="M25" s="423">
        <f>SUM(Table1[[#This Row],[YM1]:[YMO]])</f>
        <v>0</v>
      </c>
      <c r="N25" s="430">
        <f>SUM(Table1[[#This Row],[White Total]],Table1[[#This Row],[Yellow Total]])</f>
        <v>0</v>
      </c>
    </row>
    <row r="26" spans="2:14" x14ac:dyDescent="0.25">
      <c r="B26" s="429">
        <v>23</v>
      </c>
      <c r="C26" s="417"/>
      <c r="D26" s="422"/>
      <c r="E26" s="422"/>
      <c r="F26" s="422"/>
      <c r="G26" s="417"/>
      <c r="H26" s="424">
        <f>SUM(Table1[[#This Row],[WM1]:[WMO]])</f>
        <v>0</v>
      </c>
      <c r="I26" s="422"/>
      <c r="J26" s="422"/>
      <c r="K26" s="417"/>
      <c r="L26" s="417"/>
      <c r="M26" s="423">
        <f>SUM(Table1[[#This Row],[YM1]:[YMO]])</f>
        <v>0</v>
      </c>
      <c r="N26" s="430">
        <f>SUM(Table1[[#This Row],[White Total]],Table1[[#This Row],[Yellow Total]])</f>
        <v>0</v>
      </c>
    </row>
    <row r="27" spans="2:14" x14ac:dyDescent="0.25">
      <c r="B27" s="429">
        <v>24</v>
      </c>
      <c r="C27" s="417"/>
      <c r="D27" s="422"/>
      <c r="E27" s="422"/>
      <c r="F27" s="422"/>
      <c r="G27" s="417"/>
      <c r="H27" s="424">
        <f>SUM(Table1[[#This Row],[WM1]:[WMO]])</f>
        <v>0</v>
      </c>
      <c r="I27" s="422"/>
      <c r="J27" s="422"/>
      <c r="K27" s="417"/>
      <c r="L27" s="417"/>
      <c r="M27" s="423">
        <f>SUM(Table1[[#This Row],[YM1]:[YMO]])</f>
        <v>0</v>
      </c>
      <c r="N27" s="430">
        <f>SUM(Table1[[#This Row],[White Total]],Table1[[#This Row],[Yellow Total]])</f>
        <v>0</v>
      </c>
    </row>
    <row r="28" spans="2:14" x14ac:dyDescent="0.25">
      <c r="B28" s="429">
        <v>25</v>
      </c>
      <c r="C28" s="417"/>
      <c r="D28" s="422"/>
      <c r="E28" s="422"/>
      <c r="F28" s="422"/>
      <c r="G28" s="417"/>
      <c r="H28" s="424">
        <f>SUM(Table1[[#This Row],[WM1]:[WMO]])</f>
        <v>0</v>
      </c>
      <c r="I28" s="422"/>
      <c r="J28" s="422"/>
      <c r="K28" s="417"/>
      <c r="L28" s="417"/>
      <c r="M28" s="423">
        <f>SUM(Table1[[#This Row],[YM1]:[YMO]])</f>
        <v>0</v>
      </c>
      <c r="N28" s="430">
        <f>SUM(Table1[[#This Row],[White Total]],Table1[[#This Row],[Yellow Total]])</f>
        <v>0</v>
      </c>
    </row>
    <row r="29" spans="2:14" x14ac:dyDescent="0.25">
      <c r="B29" s="429">
        <v>26</v>
      </c>
      <c r="C29" s="417"/>
      <c r="D29" s="422"/>
      <c r="E29" s="422"/>
      <c r="F29" s="422"/>
      <c r="G29" s="417"/>
      <c r="H29" s="424">
        <f>SUM(Table1[[#This Row],[WM1]:[WMO]])</f>
        <v>0</v>
      </c>
      <c r="I29" s="422"/>
      <c r="J29" s="422"/>
      <c r="K29" s="417"/>
      <c r="L29" s="417"/>
      <c r="M29" s="423">
        <f>SUM(Table1[[#This Row],[YM1]:[YMO]])</f>
        <v>0</v>
      </c>
      <c r="N29" s="430">
        <f>SUM(Table1[[#This Row],[White Total]],Table1[[#This Row],[Yellow Total]])</f>
        <v>0</v>
      </c>
    </row>
    <row r="30" spans="2:14" x14ac:dyDescent="0.25">
      <c r="B30" s="429">
        <v>27</v>
      </c>
      <c r="C30" s="417"/>
      <c r="D30" s="422"/>
      <c r="E30" s="422"/>
      <c r="F30" s="422"/>
      <c r="G30" s="417"/>
      <c r="H30" s="424">
        <f>SUM(Table1[[#This Row],[WM1]:[WMO]])</f>
        <v>0</v>
      </c>
      <c r="I30" s="422"/>
      <c r="J30" s="422"/>
      <c r="K30" s="417"/>
      <c r="L30" s="417"/>
      <c r="M30" s="423">
        <f>SUM(Table1[[#This Row],[YM1]:[YMO]])</f>
        <v>0</v>
      </c>
      <c r="N30" s="430">
        <f>SUM(Table1[[#This Row],[White Total]],Table1[[#This Row],[Yellow Total]])</f>
        <v>0</v>
      </c>
    </row>
    <row r="31" spans="2:14" x14ac:dyDescent="0.25">
      <c r="B31" s="429">
        <v>28</v>
      </c>
      <c r="C31" s="417"/>
      <c r="D31" s="422"/>
      <c r="E31" s="422"/>
      <c r="F31" s="422"/>
      <c r="G31" s="417"/>
      <c r="H31" s="424">
        <f>SUM(Table1[[#This Row],[WM1]:[WMO]])</f>
        <v>0</v>
      </c>
      <c r="I31" s="422"/>
      <c r="J31" s="422"/>
      <c r="K31" s="417"/>
      <c r="L31" s="417"/>
      <c r="M31" s="423">
        <f>SUM(Table1[[#This Row],[YM1]:[YMO]])</f>
        <v>0</v>
      </c>
      <c r="N31" s="430">
        <f>SUM(Table1[[#This Row],[White Total]],Table1[[#This Row],[Yellow Total]])</f>
        <v>0</v>
      </c>
    </row>
    <row r="32" spans="2:14" x14ac:dyDescent="0.25">
      <c r="B32" s="429">
        <v>29</v>
      </c>
      <c r="C32" s="417"/>
      <c r="D32" s="422"/>
      <c r="E32" s="422"/>
      <c r="F32" s="422"/>
      <c r="G32" s="417"/>
      <c r="H32" s="424">
        <f>SUM(Table1[[#This Row],[WM1]:[WMO]])</f>
        <v>0</v>
      </c>
      <c r="I32" s="422"/>
      <c r="J32" s="422"/>
      <c r="K32" s="417"/>
      <c r="L32" s="417"/>
      <c r="M32" s="423">
        <f>SUM(Table1[[#This Row],[YM1]:[YMO]])</f>
        <v>0</v>
      </c>
      <c r="N32" s="430">
        <f>SUM(Table1[[#This Row],[White Total]],Table1[[#This Row],[Yellow Total]])</f>
        <v>0</v>
      </c>
    </row>
    <row r="33" spans="2:14" x14ac:dyDescent="0.25">
      <c r="B33" s="429">
        <v>30</v>
      </c>
      <c r="C33" s="417"/>
      <c r="D33" s="422"/>
      <c r="E33" s="422"/>
      <c r="F33" s="422"/>
      <c r="G33" s="417"/>
      <c r="H33" s="424">
        <f>SUM(Table1[[#This Row],[WM1]:[WMO]])</f>
        <v>0</v>
      </c>
      <c r="I33" s="422"/>
      <c r="J33" s="422"/>
      <c r="K33" s="417"/>
      <c r="L33" s="417"/>
      <c r="M33" s="423">
        <f>SUM(Table1[[#This Row],[YM1]:[YMO]])</f>
        <v>0</v>
      </c>
      <c r="N33" s="430">
        <f>SUM(Table1[[#This Row],[White Total]],Table1[[#This Row],[Yellow Total]])</f>
        <v>0</v>
      </c>
    </row>
    <row r="34" spans="2:14" x14ac:dyDescent="0.25">
      <c r="B34" s="429">
        <v>31</v>
      </c>
      <c r="C34" s="417"/>
      <c r="D34" s="422"/>
      <c r="E34" s="422"/>
      <c r="F34" s="422"/>
      <c r="G34" s="417"/>
      <c r="H34" s="424">
        <f>SUM(Table1[[#This Row],[WM1]:[WMO]])</f>
        <v>0</v>
      </c>
      <c r="I34" s="422"/>
      <c r="J34" s="422"/>
      <c r="K34" s="417"/>
      <c r="L34" s="417"/>
      <c r="M34" s="423">
        <f>SUM(Table1[[#This Row],[YM1]:[YMO]])</f>
        <v>0</v>
      </c>
      <c r="N34" s="430">
        <f>SUM(Table1[[#This Row],[White Total]],Table1[[#This Row],[Yellow Total]])</f>
        <v>0</v>
      </c>
    </row>
    <row r="35" spans="2:14" x14ac:dyDescent="0.25">
      <c r="B35" s="429">
        <v>32</v>
      </c>
      <c r="C35" s="417"/>
      <c r="D35" s="422"/>
      <c r="E35" s="422"/>
      <c r="F35" s="422"/>
      <c r="G35" s="417"/>
      <c r="H35" s="424">
        <f>SUM(Table1[[#This Row],[WM1]:[WMO]])</f>
        <v>0</v>
      </c>
      <c r="I35" s="422"/>
      <c r="J35" s="422"/>
      <c r="K35" s="417"/>
      <c r="L35" s="417"/>
      <c r="M35" s="423">
        <f>SUM(Table1[[#This Row],[YM1]:[YMO]])</f>
        <v>0</v>
      </c>
      <c r="N35" s="430">
        <f>SUM(Table1[[#This Row],[White Total]],Table1[[#This Row],[Yellow Total]])</f>
        <v>0</v>
      </c>
    </row>
    <row r="36" spans="2:14" x14ac:dyDescent="0.25">
      <c r="B36" s="429">
        <v>33</v>
      </c>
      <c r="C36" s="417"/>
      <c r="D36" s="422"/>
      <c r="E36" s="422"/>
      <c r="F36" s="422"/>
      <c r="G36" s="417"/>
      <c r="H36" s="424">
        <f>SUM(Table1[[#This Row],[WM1]:[WMO]])</f>
        <v>0</v>
      </c>
      <c r="I36" s="422"/>
      <c r="J36" s="422"/>
      <c r="K36" s="417"/>
      <c r="L36" s="417"/>
      <c r="M36" s="423">
        <f>SUM(Table1[[#This Row],[YM1]:[YMO]])</f>
        <v>0</v>
      </c>
      <c r="N36" s="430">
        <f>SUM(Table1[[#This Row],[White Total]],Table1[[#This Row],[Yellow Total]])</f>
        <v>0</v>
      </c>
    </row>
    <row r="37" spans="2:14" x14ac:dyDescent="0.25">
      <c r="B37" s="429">
        <v>34</v>
      </c>
      <c r="C37" s="417"/>
      <c r="D37" s="422"/>
      <c r="E37" s="422"/>
      <c r="F37" s="422"/>
      <c r="G37" s="417"/>
      <c r="H37" s="424">
        <f>SUM(Table1[[#This Row],[WM1]:[WMO]])</f>
        <v>0</v>
      </c>
      <c r="I37" s="422"/>
      <c r="J37" s="422"/>
      <c r="K37" s="417"/>
      <c r="L37" s="417"/>
      <c r="M37" s="423">
        <f>SUM(Table1[[#This Row],[YM1]:[YMO]])</f>
        <v>0</v>
      </c>
      <c r="N37" s="430">
        <f>SUM(Table1[[#This Row],[White Total]],Table1[[#This Row],[Yellow Total]])</f>
        <v>0</v>
      </c>
    </row>
    <row r="38" spans="2:14" x14ac:dyDescent="0.25">
      <c r="B38" s="429">
        <v>35</v>
      </c>
      <c r="C38" s="417"/>
      <c r="D38" s="422"/>
      <c r="E38" s="422"/>
      <c r="F38" s="422"/>
      <c r="G38" s="417"/>
      <c r="H38" s="424">
        <f>SUM(Table1[[#This Row],[WM1]:[WMO]])</f>
        <v>0</v>
      </c>
      <c r="I38" s="422"/>
      <c r="J38" s="422"/>
      <c r="K38" s="417"/>
      <c r="L38" s="417"/>
      <c r="M38" s="423">
        <f>SUM(Table1[[#This Row],[YM1]:[YMO]])</f>
        <v>0</v>
      </c>
      <c r="N38" s="430">
        <f>SUM(Table1[[#This Row],[White Total]],Table1[[#This Row],[Yellow Total]])</f>
        <v>0</v>
      </c>
    </row>
    <row r="39" spans="2:14" x14ac:dyDescent="0.25">
      <c r="B39" s="429">
        <v>36</v>
      </c>
      <c r="C39" s="417"/>
      <c r="D39" s="422"/>
      <c r="E39" s="422"/>
      <c r="F39" s="422"/>
      <c r="G39" s="417"/>
      <c r="H39" s="424">
        <f>SUM(Table1[[#This Row],[WM1]:[WMO]])</f>
        <v>0</v>
      </c>
      <c r="I39" s="422"/>
      <c r="J39" s="422"/>
      <c r="K39" s="417"/>
      <c r="L39" s="417"/>
      <c r="M39" s="423">
        <f>SUM(Table1[[#This Row],[YM1]:[YMO]])</f>
        <v>0</v>
      </c>
      <c r="N39" s="430">
        <f>SUM(Table1[[#This Row],[White Total]],Table1[[#This Row],[Yellow Total]])</f>
        <v>0</v>
      </c>
    </row>
    <row r="40" spans="2:14" x14ac:dyDescent="0.25">
      <c r="B40" s="429">
        <v>37</v>
      </c>
      <c r="C40" s="417"/>
      <c r="D40" s="422"/>
      <c r="E40" s="422"/>
      <c r="F40" s="422"/>
      <c r="G40" s="417"/>
      <c r="H40" s="424">
        <f>SUM(Table1[[#This Row],[WM1]:[WMO]])</f>
        <v>0</v>
      </c>
      <c r="I40" s="422"/>
      <c r="J40" s="422"/>
      <c r="K40" s="417"/>
      <c r="L40" s="417"/>
      <c r="M40" s="423">
        <f>SUM(Table1[[#This Row],[YM1]:[YMO]])</f>
        <v>0</v>
      </c>
      <c r="N40" s="430">
        <f>SUM(Table1[[#This Row],[White Total]],Table1[[#This Row],[Yellow Total]])</f>
        <v>0</v>
      </c>
    </row>
    <row r="41" spans="2:14" x14ac:dyDescent="0.25">
      <c r="B41" s="429">
        <v>38</v>
      </c>
      <c r="C41" s="417"/>
      <c r="D41" s="422"/>
      <c r="E41" s="422"/>
      <c r="F41" s="422"/>
      <c r="G41" s="417"/>
      <c r="H41" s="424">
        <f>SUM(Table1[[#This Row],[WM1]:[WMO]])</f>
        <v>0</v>
      </c>
      <c r="I41" s="422"/>
      <c r="J41" s="422"/>
      <c r="K41" s="417"/>
      <c r="L41" s="417"/>
      <c r="M41" s="423">
        <f>SUM(Table1[[#This Row],[YM1]:[YMO]])</f>
        <v>0</v>
      </c>
      <c r="N41" s="430">
        <f>SUM(Table1[[#This Row],[White Total]],Table1[[#This Row],[Yellow Total]])</f>
        <v>0</v>
      </c>
    </row>
    <row r="42" spans="2:14" x14ac:dyDescent="0.25">
      <c r="B42" s="429">
        <v>39</v>
      </c>
      <c r="C42" s="417"/>
      <c r="D42" s="422"/>
      <c r="E42" s="422"/>
      <c r="F42" s="422"/>
      <c r="G42" s="417"/>
      <c r="H42" s="424">
        <f>SUM(Table1[[#This Row],[WM1]:[WMO]])</f>
        <v>0</v>
      </c>
      <c r="I42" s="422"/>
      <c r="J42" s="422"/>
      <c r="K42" s="417"/>
      <c r="L42" s="417"/>
      <c r="M42" s="423">
        <f>SUM(Table1[[#This Row],[YM1]:[YMO]])</f>
        <v>0</v>
      </c>
      <c r="N42" s="430">
        <f>SUM(Table1[[#This Row],[White Total]],Table1[[#This Row],[Yellow Total]])</f>
        <v>0</v>
      </c>
    </row>
    <row r="43" spans="2:14" x14ac:dyDescent="0.25">
      <c r="B43" s="429">
        <v>40</v>
      </c>
      <c r="C43" s="417"/>
      <c r="D43" s="422"/>
      <c r="E43" s="422"/>
      <c r="F43" s="422"/>
      <c r="G43" s="417"/>
      <c r="H43" s="424">
        <f>SUM(Table1[[#This Row],[WM1]:[WMO]])</f>
        <v>0</v>
      </c>
      <c r="I43" s="422"/>
      <c r="J43" s="422"/>
      <c r="K43" s="417"/>
      <c r="L43" s="417"/>
      <c r="M43" s="423">
        <f>SUM(Table1[[#This Row],[YM1]:[YMO]])</f>
        <v>0</v>
      </c>
      <c r="N43" s="430">
        <f>SUM(Table1[[#This Row],[White Total]],Table1[[#This Row],[Yellow Total]])</f>
        <v>0</v>
      </c>
    </row>
    <row r="44" spans="2:14" x14ac:dyDescent="0.25">
      <c r="B44" s="429">
        <v>41</v>
      </c>
      <c r="C44" s="417"/>
      <c r="D44" s="422"/>
      <c r="E44" s="422"/>
      <c r="F44" s="422"/>
      <c r="G44" s="417"/>
      <c r="H44" s="424">
        <f>SUM(Table1[[#This Row],[WM1]:[WMO]])</f>
        <v>0</v>
      </c>
      <c r="I44" s="422"/>
      <c r="J44" s="422"/>
      <c r="K44" s="417"/>
      <c r="L44" s="417"/>
      <c r="M44" s="423">
        <f>SUM(Table1[[#This Row],[YM1]:[YMO]])</f>
        <v>0</v>
      </c>
      <c r="N44" s="430">
        <f>SUM(Table1[[#This Row],[White Total]],Table1[[#This Row],[Yellow Total]])</f>
        <v>0</v>
      </c>
    </row>
    <row r="45" spans="2:14" x14ac:dyDescent="0.25">
      <c r="B45" s="429">
        <v>42</v>
      </c>
      <c r="C45" s="417"/>
      <c r="D45" s="422"/>
      <c r="E45" s="422"/>
      <c r="F45" s="422"/>
      <c r="G45" s="417"/>
      <c r="H45" s="424">
        <f>SUM(Table1[[#This Row],[WM1]:[WMO]])</f>
        <v>0</v>
      </c>
      <c r="I45" s="422"/>
      <c r="J45" s="422"/>
      <c r="K45" s="417"/>
      <c r="L45" s="417"/>
      <c r="M45" s="423">
        <f>SUM(Table1[[#This Row],[YM1]:[YMO]])</f>
        <v>0</v>
      </c>
      <c r="N45" s="430">
        <f>SUM(Table1[[#This Row],[White Total]],Table1[[#This Row],[Yellow Total]])</f>
        <v>0</v>
      </c>
    </row>
    <row r="46" spans="2:14" x14ac:dyDescent="0.25">
      <c r="B46" s="429">
        <v>43</v>
      </c>
      <c r="C46" s="417"/>
      <c r="D46" s="422"/>
      <c r="E46" s="422"/>
      <c r="F46" s="422"/>
      <c r="G46" s="417"/>
      <c r="H46" s="424">
        <f>SUM(Table1[[#This Row],[WM1]:[WMO]])</f>
        <v>0</v>
      </c>
      <c r="I46" s="422"/>
      <c r="J46" s="422"/>
      <c r="K46" s="417"/>
      <c r="L46" s="417"/>
      <c r="M46" s="423">
        <f>SUM(Table1[[#This Row],[YM1]:[YMO]])</f>
        <v>0</v>
      </c>
      <c r="N46" s="430">
        <f>SUM(Table1[[#This Row],[White Total]],Table1[[#This Row],[Yellow Total]])</f>
        <v>0</v>
      </c>
    </row>
    <row r="47" spans="2:14" x14ac:dyDescent="0.25">
      <c r="B47" s="429">
        <v>44</v>
      </c>
      <c r="C47" s="417"/>
      <c r="D47" s="422"/>
      <c r="E47" s="422"/>
      <c r="F47" s="422"/>
      <c r="G47" s="417"/>
      <c r="H47" s="424">
        <f>SUM(Table1[[#This Row],[WM1]:[WMO]])</f>
        <v>0</v>
      </c>
      <c r="I47" s="422"/>
      <c r="J47" s="422"/>
      <c r="K47" s="417"/>
      <c r="L47" s="417"/>
      <c r="M47" s="423">
        <f>SUM(Table1[[#This Row],[YM1]:[YMO]])</f>
        <v>0</v>
      </c>
      <c r="N47" s="430">
        <f>SUM(Table1[[#This Row],[White Total]],Table1[[#This Row],[Yellow Total]])</f>
        <v>0</v>
      </c>
    </row>
    <row r="48" spans="2:14" x14ac:dyDescent="0.25">
      <c r="B48" s="429">
        <v>45</v>
      </c>
      <c r="C48" s="417"/>
      <c r="D48" s="422"/>
      <c r="E48" s="422"/>
      <c r="F48" s="422"/>
      <c r="G48" s="417"/>
      <c r="H48" s="424">
        <f>SUM(Table1[[#This Row],[WM1]:[WMO]])</f>
        <v>0</v>
      </c>
      <c r="I48" s="422"/>
      <c r="J48" s="422"/>
      <c r="K48" s="417"/>
      <c r="L48" s="417"/>
      <c r="M48" s="423">
        <f>SUM(Table1[[#This Row],[YM1]:[YMO]])</f>
        <v>0</v>
      </c>
      <c r="N48" s="430">
        <f>SUM(Table1[[#This Row],[White Total]],Table1[[#This Row],[Yellow Total]])</f>
        <v>0</v>
      </c>
    </row>
    <row r="49" spans="2:14" x14ac:dyDescent="0.25">
      <c r="B49" s="429">
        <v>46</v>
      </c>
      <c r="C49" s="417"/>
      <c r="D49" s="422"/>
      <c r="E49" s="422"/>
      <c r="F49" s="422"/>
      <c r="G49" s="417"/>
      <c r="H49" s="424">
        <f>SUM(Table1[[#This Row],[WM1]:[WMO]])</f>
        <v>0</v>
      </c>
      <c r="I49" s="422"/>
      <c r="J49" s="422"/>
      <c r="K49" s="417"/>
      <c r="L49" s="417"/>
      <c r="M49" s="423">
        <f>SUM(Table1[[#This Row],[YM1]:[YMO]])</f>
        <v>0</v>
      </c>
      <c r="N49" s="430">
        <f>SUM(Table1[[#This Row],[White Total]],Table1[[#This Row],[Yellow Total]])</f>
        <v>0</v>
      </c>
    </row>
    <row r="50" spans="2:14" x14ac:dyDescent="0.25">
      <c r="B50" s="429">
        <v>47</v>
      </c>
      <c r="C50" s="417"/>
      <c r="D50" s="422"/>
      <c r="E50" s="422"/>
      <c r="F50" s="422"/>
      <c r="G50" s="417"/>
      <c r="H50" s="424">
        <f>SUM(Table1[[#This Row],[WM1]:[WMO]])</f>
        <v>0</v>
      </c>
      <c r="I50" s="422"/>
      <c r="J50" s="422"/>
      <c r="K50" s="417"/>
      <c r="L50" s="417"/>
      <c r="M50" s="423">
        <f>SUM(Table1[[#This Row],[YM1]:[YMO]])</f>
        <v>0</v>
      </c>
      <c r="N50" s="430">
        <f>SUM(Table1[[#This Row],[White Total]],Table1[[#This Row],[Yellow Total]])</f>
        <v>0</v>
      </c>
    </row>
    <row r="51" spans="2:14" x14ac:dyDescent="0.25">
      <c r="B51" s="429">
        <v>48</v>
      </c>
      <c r="C51" s="417"/>
      <c r="D51" s="422"/>
      <c r="E51" s="422"/>
      <c r="F51" s="422"/>
      <c r="G51" s="417"/>
      <c r="H51" s="424">
        <f>SUM(Table1[[#This Row],[WM1]:[WMO]])</f>
        <v>0</v>
      </c>
      <c r="I51" s="422"/>
      <c r="J51" s="422"/>
      <c r="K51" s="417"/>
      <c r="L51" s="417"/>
      <c r="M51" s="423">
        <f>SUM(Table1[[#This Row],[YM1]:[YMO]])</f>
        <v>0</v>
      </c>
      <c r="N51" s="430">
        <f>SUM(Table1[[#This Row],[White Total]],Table1[[#This Row],[Yellow Total]])</f>
        <v>0</v>
      </c>
    </row>
    <row r="52" spans="2:14" x14ac:dyDescent="0.25">
      <c r="B52" s="429">
        <v>49</v>
      </c>
      <c r="C52" s="417"/>
      <c r="D52" s="422"/>
      <c r="E52" s="422"/>
      <c r="F52" s="422"/>
      <c r="G52" s="417"/>
      <c r="H52" s="424">
        <f>SUM(Table1[[#This Row],[WM1]:[WMO]])</f>
        <v>0</v>
      </c>
      <c r="I52" s="422"/>
      <c r="J52" s="422"/>
      <c r="K52" s="417"/>
      <c r="L52" s="417"/>
      <c r="M52" s="423">
        <f>SUM(Table1[[#This Row],[YM1]:[YMO]])</f>
        <v>0</v>
      </c>
      <c r="N52" s="430">
        <f>SUM(Table1[[#This Row],[White Total]],Table1[[#This Row],[Yellow Total]])</f>
        <v>0</v>
      </c>
    </row>
    <row r="53" spans="2:14" x14ac:dyDescent="0.25">
      <c r="B53" s="429">
        <v>50</v>
      </c>
      <c r="C53" s="417"/>
      <c r="D53" s="422"/>
      <c r="E53" s="422"/>
      <c r="F53" s="422"/>
      <c r="G53" s="417"/>
      <c r="H53" s="424">
        <f>SUM(Table1[[#This Row],[WM1]:[WMO]])</f>
        <v>0</v>
      </c>
      <c r="I53" s="422"/>
      <c r="J53" s="422"/>
      <c r="K53" s="417"/>
      <c r="L53" s="417"/>
      <c r="M53" s="423">
        <f>SUM(Table1[[#This Row],[YM1]:[YMO]])</f>
        <v>0</v>
      </c>
      <c r="N53" s="430">
        <f>SUM(Table1[[#This Row],[White Total]],Table1[[#This Row],[Yellow Total]])</f>
        <v>0</v>
      </c>
    </row>
    <row r="54" spans="2:14" x14ac:dyDescent="0.25">
      <c r="B54" s="429">
        <v>51</v>
      </c>
      <c r="C54" s="417"/>
      <c r="D54" s="422"/>
      <c r="E54" s="422"/>
      <c r="F54" s="422"/>
      <c r="G54" s="417"/>
      <c r="H54" s="424">
        <f>SUM(Table1[[#This Row],[WM1]:[WMO]])</f>
        <v>0</v>
      </c>
      <c r="I54" s="422"/>
      <c r="J54" s="422"/>
      <c r="K54" s="417"/>
      <c r="L54" s="417"/>
      <c r="M54" s="423">
        <f>SUM(Table1[[#This Row],[YM1]:[YMO]])</f>
        <v>0</v>
      </c>
      <c r="N54" s="430">
        <f>SUM(Table1[[#This Row],[White Total]],Table1[[#This Row],[Yellow Total]])</f>
        <v>0</v>
      </c>
    </row>
    <row r="55" spans="2:14" x14ac:dyDescent="0.25">
      <c r="B55" s="429">
        <v>52</v>
      </c>
      <c r="C55" s="417"/>
      <c r="D55" s="422"/>
      <c r="E55" s="422"/>
      <c r="F55" s="422"/>
      <c r="G55" s="417"/>
      <c r="H55" s="424">
        <f>SUM(Table1[[#This Row],[WM1]:[WMO]])</f>
        <v>0</v>
      </c>
      <c r="I55" s="422"/>
      <c r="J55" s="422"/>
      <c r="K55" s="417"/>
      <c r="L55" s="417"/>
      <c r="M55" s="423">
        <f>SUM(Table1[[#This Row],[YM1]:[YMO]])</f>
        <v>0</v>
      </c>
      <c r="N55" s="430">
        <f>SUM(Table1[[#This Row],[White Total]],Table1[[#This Row],[Yellow Total]])</f>
        <v>0</v>
      </c>
    </row>
    <row r="56" spans="2:14" x14ac:dyDescent="0.25">
      <c r="B56" s="431" t="s">
        <v>55</v>
      </c>
      <c r="C56" s="432"/>
      <c r="D56" s="433">
        <f>SUM(D4:D55)</f>
        <v>115418</v>
      </c>
      <c r="E56" s="433">
        <f>SUM(E4:E55)</f>
        <v>9635</v>
      </c>
      <c r="F56" s="433">
        <f t="shared" ref="F56:G56" si="0">SUM(F4:F55)</f>
        <v>675</v>
      </c>
      <c r="G56" s="433">
        <f t="shared" si="0"/>
        <v>173</v>
      </c>
      <c r="H56" s="424">
        <f>SUM(Table1[[#This Row],[WM1]:[WMO]])</f>
        <v>125901</v>
      </c>
      <c r="I56" s="434">
        <f>SUM(I4:I55)</f>
        <v>273852</v>
      </c>
      <c r="J56" s="434">
        <f t="shared" ref="J56:L56" si="1">SUM(J4:J55)</f>
        <v>5124</v>
      </c>
      <c r="K56" s="434">
        <f t="shared" si="1"/>
        <v>160</v>
      </c>
      <c r="L56" s="434">
        <f t="shared" si="1"/>
        <v>119</v>
      </c>
      <c r="M56" s="435">
        <f>SUM(Table1[[#This Row],[YM1]:[YMO]])</f>
        <v>279255</v>
      </c>
      <c r="N56" s="430">
        <f>SUM(Table1[[#This Row],[White Total]],M56)</f>
        <v>405156</v>
      </c>
    </row>
    <row r="59" spans="2:14" x14ac:dyDescent="0.25">
      <c r="B59" s="320"/>
      <c r="D59" s="320"/>
      <c r="E59" s="320"/>
      <c r="F59" s="320"/>
    </row>
    <row r="60" spans="2:14" x14ac:dyDescent="0.25">
      <c r="B60" s="540" t="s">
        <v>56</v>
      </c>
      <c r="C60" s="541"/>
      <c r="D60" s="542" t="s">
        <v>57</v>
      </c>
      <c r="E60" s="543"/>
      <c r="F60" s="320"/>
    </row>
    <row r="61" spans="2:14" x14ac:dyDescent="0.25">
      <c r="B61" s="418" t="s">
        <v>44</v>
      </c>
      <c r="C61" s="419">
        <f>D56/$H$56</f>
        <v>0.91673616571750816</v>
      </c>
      <c r="D61" s="418" t="s">
        <v>49</v>
      </c>
      <c r="E61" s="420">
        <f>I56/M56</f>
        <v>0.98065209217381966</v>
      </c>
      <c r="F61" s="320"/>
    </row>
    <row r="62" spans="2:14" x14ac:dyDescent="0.25">
      <c r="B62" s="418" t="s">
        <v>45</v>
      </c>
      <c r="C62" s="419">
        <f>E56/$H$56</f>
        <v>7.6528383412363676E-2</v>
      </c>
      <c r="D62" s="418" t="s">
        <v>50</v>
      </c>
      <c r="E62" s="420">
        <f>J56/M56</f>
        <v>1.8348820970081108E-2</v>
      </c>
      <c r="F62" s="320"/>
    </row>
    <row r="63" spans="2:14" x14ac:dyDescent="0.25">
      <c r="B63" s="418" t="s">
        <v>46</v>
      </c>
      <c r="C63" s="419">
        <f>F56/$H$56</f>
        <v>5.3613553506326401E-3</v>
      </c>
      <c r="D63" s="418" t="s">
        <v>51</v>
      </c>
      <c r="E63" s="420">
        <f>K56/M56</f>
        <v>5.7295303575585039E-4</v>
      </c>
      <c r="F63" s="320"/>
    </row>
    <row r="64" spans="2:14" x14ac:dyDescent="0.25">
      <c r="B64" s="418" t="s">
        <v>47</v>
      </c>
      <c r="C64" s="419">
        <f>G56/$H$56</f>
        <v>1.3740955194954767E-3</v>
      </c>
      <c r="D64" s="418" t="s">
        <v>52</v>
      </c>
      <c r="E64" s="420">
        <f>L56/M56</f>
        <v>4.2613382034341373E-4</v>
      </c>
      <c r="F64" s="320"/>
    </row>
    <row r="65" spans="2:6" x14ac:dyDescent="0.25">
      <c r="B65" s="320"/>
      <c r="D65" s="320"/>
      <c r="E65" s="320"/>
      <c r="F65" s="320"/>
    </row>
    <row r="66" spans="2:6" x14ac:dyDescent="0.25">
      <c r="D66" s="320"/>
      <c r="E66" s="320"/>
      <c r="F66" s="320"/>
    </row>
  </sheetData>
  <mergeCells count="2">
    <mergeCell ref="B60:C60"/>
    <mergeCell ref="D60:E6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4"/>
  <sheetViews>
    <sheetView topLeftCell="D1" zoomScale="98" zoomScaleNormal="85" workbookViewId="0">
      <selection activeCell="K27" sqref="K27"/>
    </sheetView>
  </sheetViews>
  <sheetFormatPr defaultColWidth="8.77734375" defaultRowHeight="13.2" x14ac:dyDescent="0.25"/>
  <cols>
    <col min="1" max="1" width="26.33203125" style="42" customWidth="1"/>
    <col min="2" max="4" width="11.77734375" style="44" customWidth="1"/>
    <col min="5" max="5" width="11.44140625" style="44" customWidth="1"/>
    <col min="6" max="8" width="11.77734375" style="44" customWidth="1"/>
    <col min="9" max="9" width="13.109375" style="44" customWidth="1"/>
    <col min="10" max="10" width="11.44140625" customWidth="1"/>
    <col min="11" max="11" width="12.44140625" customWidth="1"/>
    <col min="12" max="20" width="12.44140625" style="193" customWidth="1"/>
    <col min="21" max="21" width="11.33203125" bestFit="1" customWidth="1"/>
  </cols>
  <sheetData>
    <row r="1" spans="1:22" ht="17.399999999999999" x14ac:dyDescent="0.3">
      <c r="A1" s="196" t="s">
        <v>130</v>
      </c>
    </row>
    <row r="2" spans="1:22" ht="13.8" thickBot="1" x14ac:dyDescent="0.3">
      <c r="A2" s="326"/>
    </row>
    <row r="3" spans="1:22" ht="13.8" thickBot="1" x14ac:dyDescent="0.3">
      <c r="A3" s="43" t="s">
        <v>103</v>
      </c>
      <c r="B3" s="327"/>
      <c r="C3" s="327"/>
      <c r="D3" s="327"/>
      <c r="E3" s="327"/>
      <c r="F3" s="327"/>
      <c r="G3" s="327"/>
      <c r="H3" s="327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</row>
    <row r="4" spans="1:22" ht="13.8" thickBot="1" x14ac:dyDescent="0.3">
      <c r="A4" s="371" t="s">
        <v>95</v>
      </c>
      <c r="B4" s="62" t="str">
        <f>'Summary -White maize'!D76</f>
        <v>2008/09</v>
      </c>
      <c r="C4" s="46" t="str">
        <f>'Summary -White maize'!E76</f>
        <v>2009/10</v>
      </c>
      <c r="D4" s="62" t="e">
        <f>'Summary -White maize'!#REF!</f>
        <v>#REF!</v>
      </c>
      <c r="E4" s="62" t="str">
        <f>'Summary -White maize'!F76</f>
        <v>2011/12</v>
      </c>
      <c r="F4" s="62" t="str">
        <f>'Summary -White maize'!G76</f>
        <v>2012/13</v>
      </c>
      <c r="G4" s="62" t="str">
        <f>'Summary -White maize'!H76</f>
        <v>2013/14</v>
      </c>
      <c r="H4" s="63" t="str">
        <f>'Summary -White maize'!I76</f>
        <v>2014/15</v>
      </c>
      <c r="I4" s="233" t="s">
        <v>66</v>
      </c>
      <c r="J4" s="233" t="s">
        <v>67</v>
      </c>
      <c r="K4" s="233" t="s">
        <v>68</v>
      </c>
      <c r="L4" s="233" t="s">
        <v>69</v>
      </c>
      <c r="M4" s="233" t="s">
        <v>70</v>
      </c>
      <c r="N4" s="233" t="s">
        <v>71</v>
      </c>
      <c r="O4" s="233" t="s">
        <v>72</v>
      </c>
      <c r="P4" s="233" t="s">
        <v>73</v>
      </c>
      <c r="Q4" s="233" t="s">
        <v>74</v>
      </c>
      <c r="R4" s="233" t="s">
        <v>117</v>
      </c>
      <c r="S4" s="233" t="s">
        <v>131</v>
      </c>
      <c r="T4" s="233" t="s">
        <v>148</v>
      </c>
      <c r="U4" s="233" t="s">
        <v>132</v>
      </c>
    </row>
    <row r="5" spans="1:22" ht="13.8" thickBot="1" x14ac:dyDescent="0.3">
      <c r="A5" s="329" t="s">
        <v>133</v>
      </c>
      <c r="B5" s="47">
        <f>'Summary -White maize'!D77</f>
        <v>328341</v>
      </c>
      <c r="C5" s="47">
        <f>'Summary -White maize'!E77</f>
        <v>115703</v>
      </c>
      <c r="D5" s="47" t="e">
        <f>'Summary -White maize'!#REF!</f>
        <v>#REF!</v>
      </c>
      <c r="E5" s="47">
        <f>'Summary -White maize'!F77</f>
        <v>406000</v>
      </c>
      <c r="F5" s="47">
        <f>'Summary -White maize'!G77</f>
        <v>510398</v>
      </c>
      <c r="G5" s="47">
        <f>'Summary -White maize'!H77</f>
        <v>269777</v>
      </c>
      <c r="H5" s="47">
        <f>'Summary -White maize'!I77</f>
        <v>305123</v>
      </c>
      <c r="I5" s="47">
        <f>'Summary -White maize'!J77</f>
        <v>174836</v>
      </c>
      <c r="J5" s="47">
        <f>'Summary -White maize'!K77</f>
        <v>288056</v>
      </c>
      <c r="K5" s="47">
        <f>'Summary -White maize'!L77</f>
        <v>610419</v>
      </c>
      <c r="L5" s="47">
        <f>'Summary -White maize'!M77</f>
        <v>117369</v>
      </c>
      <c r="M5" s="47">
        <f>'Summary -White maize'!N77</f>
        <v>85898</v>
      </c>
      <c r="N5" s="47">
        <f>'Summary -White maize'!O77</f>
        <v>131241</v>
      </c>
      <c r="O5" s="47">
        <f>'Summary -White maize'!P77</f>
        <v>437036</v>
      </c>
      <c r="P5" s="47">
        <f>'Summary -White maize'!Q77</f>
        <v>141188</v>
      </c>
      <c r="Q5" s="47">
        <f>'Summary -White maize'!R77</f>
        <v>194205</v>
      </c>
      <c r="R5" s="47">
        <f>'Summary -White maize'!S77</f>
        <v>398292</v>
      </c>
      <c r="S5" s="47">
        <f>'Summary -White maize'!T77</f>
        <v>252386</v>
      </c>
      <c r="T5" s="47"/>
      <c r="U5" s="47">
        <f>AVERAGE(N5:R5)</f>
        <v>260392.4</v>
      </c>
    </row>
    <row r="6" spans="1:22" ht="13.8" thickBot="1" x14ac:dyDescent="0.3">
      <c r="A6" s="330" t="s">
        <v>134</v>
      </c>
      <c r="B6" s="47">
        <f>'Summary -White maize'!D78</f>
        <v>1960000</v>
      </c>
      <c r="C6" s="47">
        <f>'Summary -White maize'!E78</f>
        <v>1417000</v>
      </c>
      <c r="D6" s="47" t="e">
        <f>'Summary -White maize'!#REF!</f>
        <v>#REF!</v>
      </c>
      <c r="E6" s="47">
        <f>'Summary -White maize'!F78</f>
        <v>9731000</v>
      </c>
      <c r="F6" s="47">
        <f>'Summary -White maize'!G78</f>
        <v>11016607</v>
      </c>
      <c r="G6" s="47">
        <f>'Summary -White maize'!H78</f>
        <v>10495155</v>
      </c>
      <c r="H6" s="47">
        <f>'Summary -White maize'!I78</f>
        <v>13275986</v>
      </c>
      <c r="I6" s="47">
        <f>'Summary -White maize'!J78</f>
        <v>9057930</v>
      </c>
      <c r="J6" s="47">
        <f>'Summary -White maize'!K78</f>
        <v>6675981</v>
      </c>
      <c r="K6" s="47">
        <f>'Summary -White maize'!L78</f>
        <v>15385208</v>
      </c>
      <c r="L6" s="47">
        <f>'Summary -White maize'!M78</f>
        <v>6224103</v>
      </c>
      <c r="M6" s="368">
        <f>'Summary -White maize'!N78</f>
        <v>5311233</v>
      </c>
      <c r="N6" s="368">
        <f>'Summary -White maize'!O78</f>
        <v>8169298</v>
      </c>
      <c r="O6" s="368">
        <f>'Summary -White maize'!P78</f>
        <v>7999725</v>
      </c>
      <c r="P6" s="368">
        <f>'Summary -White maize'!Q78</f>
        <v>7541586</v>
      </c>
      <c r="Q6" s="368">
        <f>'Summary -White maize'!R78</f>
        <v>8079331</v>
      </c>
      <c r="R6" s="368">
        <f>'Summary -White maize'!S78</f>
        <v>5439775</v>
      </c>
      <c r="S6" s="368">
        <f>'Summary -White maize'!T78</f>
        <v>8415537</v>
      </c>
      <c r="T6" s="368"/>
      <c r="U6" s="368">
        <f>AVERAGE(N6:R6)</f>
        <v>7445943</v>
      </c>
    </row>
    <row r="7" spans="1:22" ht="14.4" thickBot="1" x14ac:dyDescent="0.35">
      <c r="A7" s="51" t="s">
        <v>135</v>
      </c>
      <c r="B7" s="52">
        <f>'Summary -White maize'!D79</f>
        <v>2288341</v>
      </c>
      <c r="C7" s="52">
        <f>'Summary -White maize'!E79</f>
        <v>1532703</v>
      </c>
      <c r="D7" s="52" t="e">
        <f>'Summary -White maize'!#REF!</f>
        <v>#REF!</v>
      </c>
      <c r="E7" s="53">
        <f>'Summary -White maize'!F79</f>
        <v>10137000</v>
      </c>
      <c r="F7" s="52">
        <f>'Summary -White maize'!G79</f>
        <v>11527005</v>
      </c>
      <c r="G7" s="52">
        <f>'Summary -White maize'!H79</f>
        <v>10764932</v>
      </c>
      <c r="H7" s="52">
        <f>'Summary -White maize'!I79</f>
        <v>13581109</v>
      </c>
      <c r="I7" s="52">
        <f>'Summary -White maize'!J79</f>
        <v>9232766</v>
      </c>
      <c r="J7" s="52">
        <f>'Summary -White maize'!K79</f>
        <v>6964037</v>
      </c>
      <c r="K7" s="52">
        <f>'Summary -White maize'!L79</f>
        <v>15995627</v>
      </c>
      <c r="L7" s="52">
        <f>'Summary -White maize'!M79</f>
        <v>6341472</v>
      </c>
      <c r="M7" s="52">
        <f>'Summary -White maize'!N79</f>
        <v>5397131</v>
      </c>
      <c r="N7" s="52">
        <f>'Summary -White maize'!O79</f>
        <v>8300539</v>
      </c>
      <c r="O7" s="52">
        <f>'Summary -White maize'!P79</f>
        <v>8436761</v>
      </c>
      <c r="P7" s="52">
        <f>'Summary -White maize'!Q79</f>
        <v>7682774</v>
      </c>
      <c r="Q7" s="52">
        <f>'Summary -White maize'!R79</f>
        <v>8273536</v>
      </c>
      <c r="R7" s="52">
        <f>'Summary -White maize'!S79</f>
        <v>5838067</v>
      </c>
      <c r="S7" s="52">
        <f>'Summary -White maize'!T79</f>
        <v>8667923</v>
      </c>
      <c r="T7" s="472"/>
      <c r="U7" s="369">
        <f>AVERAGE(N7:R7)</f>
        <v>7706335.4000000004</v>
      </c>
    </row>
    <row r="8" spans="1:22" ht="15" thickTop="1" thickBot="1" x14ac:dyDescent="0.35">
      <c r="A8" s="64" t="s">
        <v>136</v>
      </c>
      <c r="B8" s="65">
        <f>'Summary -White maize'!D81</f>
        <v>0.31026917941828047</v>
      </c>
      <c r="C8" s="55">
        <f>'Summary -White maize'!E81</f>
        <v>0.22843082622285965</v>
      </c>
      <c r="D8" s="65" t="e">
        <f>'Summary -White maize'!#REF!</f>
        <v>#REF!</v>
      </c>
      <c r="E8" s="61">
        <f>'Summary -White maize'!F81</f>
        <v>1.7032142813937827</v>
      </c>
      <c r="F8" s="61">
        <f>'Summary -White maize'!G81</f>
        <v>1.6977545964325518</v>
      </c>
      <c r="G8" s="61">
        <f>'Summary -White maize'!H81</f>
        <v>1.9587354695117669</v>
      </c>
      <c r="H8" s="61">
        <f>'Summary -White maize'!I81</f>
        <v>1.7934176646194588</v>
      </c>
      <c r="I8" s="61">
        <f>'Summary -White maize'!J81</f>
        <v>1.9963212098017467</v>
      </c>
      <c r="J8" s="61">
        <f>'Summary -White maize'!K81</f>
        <v>2.0680458911318005</v>
      </c>
      <c r="K8" s="61">
        <f>'Summary -White maize'!L81</f>
        <v>1.6512467224114793</v>
      </c>
      <c r="L8" s="61">
        <f>'Summary -White maize'!M81</f>
        <v>0.9606020395179321</v>
      </c>
      <c r="M8" s="61">
        <f>'Summary -White maize'!N81</f>
        <v>1.0022527390900651</v>
      </c>
      <c r="N8" s="61">
        <f>'Summary -White maize'!O81</f>
        <v>0.98683070770189185</v>
      </c>
      <c r="O8" s="61">
        <f>'Summary -White maize'!P81</f>
        <v>1.0046155036913551</v>
      </c>
      <c r="P8" s="61">
        <f>'Summary -White maize'!Q81</f>
        <v>1.0012738172813762</v>
      </c>
      <c r="Q8" s="61">
        <f>'Summary -White maize'!R81</f>
        <v>0.99862051318261458</v>
      </c>
      <c r="R8" s="61">
        <f>'Summary -White maize'!S81</f>
        <v>0.9920249787595582</v>
      </c>
      <c r="S8" s="61">
        <f>'Summary -White maize'!T81</f>
        <v>0.97396223446989494</v>
      </c>
      <c r="T8" s="61"/>
      <c r="U8" s="194">
        <f>AVERAGE(N8:R8)</f>
        <v>0.99667310412335919</v>
      </c>
      <c r="V8" s="305"/>
    </row>
    <row r="9" spans="1:22" ht="13.8" thickBot="1" x14ac:dyDescent="0.3">
      <c r="A9" s="331"/>
      <c r="B9" s="327"/>
      <c r="C9" s="327"/>
      <c r="D9" s="327"/>
      <c r="E9" s="327"/>
      <c r="F9" s="327"/>
      <c r="G9" s="327"/>
      <c r="H9" s="327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</row>
    <row r="10" spans="1:22" ht="13.8" thickBot="1" x14ac:dyDescent="0.3">
      <c r="A10" s="66" t="s">
        <v>58</v>
      </c>
      <c r="B10" s="332"/>
      <c r="C10" s="332"/>
      <c r="D10" s="332"/>
      <c r="E10" s="332"/>
      <c r="F10" s="332"/>
      <c r="G10" s="332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</row>
    <row r="11" spans="1:22" ht="13.8" thickBot="1" x14ac:dyDescent="0.3">
      <c r="A11" s="372" t="s">
        <v>95</v>
      </c>
      <c r="B11" s="45" t="str">
        <f>'Summary -Yellow maize'!D77</f>
        <v>2008/09</v>
      </c>
      <c r="C11" s="46" t="str">
        <f>'Summary -Yellow maize'!E77</f>
        <v>2009/10</v>
      </c>
      <c r="D11" s="45" t="str">
        <f>'Summary -Yellow maize'!F77</f>
        <v>2010/11</v>
      </c>
      <c r="E11" s="45" t="str">
        <f>'Summary -Yellow maize'!G77</f>
        <v>2011/12</v>
      </c>
      <c r="F11" s="45" t="str">
        <f>'Summary -Yellow maize'!H77</f>
        <v>2012/13</v>
      </c>
      <c r="G11" s="45" t="str">
        <f>'Summary -Yellow maize'!I77</f>
        <v>2013/14</v>
      </c>
      <c r="H11" s="46" t="str">
        <f>'Summary -Yellow maize'!J77</f>
        <v>2014/15</v>
      </c>
      <c r="I11" s="233" t="s">
        <v>66</v>
      </c>
      <c r="J11" s="233" t="s">
        <v>67</v>
      </c>
      <c r="K11" s="233" t="s">
        <v>68</v>
      </c>
      <c r="L11" s="233" t="s">
        <v>137</v>
      </c>
      <c r="M11" s="233" t="s">
        <v>138</v>
      </c>
      <c r="N11" s="233" t="s">
        <v>139</v>
      </c>
      <c r="O11" s="233" t="s">
        <v>140</v>
      </c>
      <c r="P11" s="233" t="s">
        <v>141</v>
      </c>
      <c r="Q11" s="233" t="s">
        <v>74</v>
      </c>
      <c r="R11" s="233" t="s">
        <v>117</v>
      </c>
      <c r="S11" s="233" t="str">
        <f>S4</f>
        <v>2025/26</v>
      </c>
      <c r="T11" s="233"/>
      <c r="U11" s="233" t="s">
        <v>132</v>
      </c>
    </row>
    <row r="12" spans="1:22" ht="13.8" thickBot="1" x14ac:dyDescent="0.3">
      <c r="A12" s="329" t="s">
        <v>133</v>
      </c>
      <c r="B12" s="47">
        <f>'Summary -Yellow maize'!D78</f>
        <v>340692</v>
      </c>
      <c r="C12" s="47">
        <f>'Summary -Yellow maize'!E78</f>
        <v>236016</v>
      </c>
      <c r="D12" s="47">
        <f>'Summary -Yellow maize'!F78</f>
        <v>91500</v>
      </c>
      <c r="E12" s="48">
        <f>'Summary -Yellow maize'!G78</f>
        <v>182000</v>
      </c>
      <c r="F12" s="47">
        <f>'Summary -Yellow maize'!H78</f>
        <v>243045</v>
      </c>
      <c r="G12" s="47">
        <f>'Summary -Yellow maize'!I78</f>
        <v>526969</v>
      </c>
      <c r="H12" s="47">
        <f>'Summary -Yellow maize'!J78</f>
        <v>173661</v>
      </c>
      <c r="I12" s="47">
        <f>'Summary -Yellow maize'!K78</f>
        <v>367120</v>
      </c>
      <c r="J12" s="47">
        <f>'Summary -Yellow maize'!L78</f>
        <v>449955</v>
      </c>
      <c r="K12" s="47">
        <f>'Summary -Yellow maize'!M78</f>
        <v>300642</v>
      </c>
      <c r="L12" s="47">
        <f>'Summary -Yellow maize'!N78</f>
        <v>122548</v>
      </c>
      <c r="M12" s="47">
        <f>'Summary -Yellow maize'!O78</f>
        <v>181045</v>
      </c>
      <c r="N12" s="47">
        <f>'Summary -Yellow maize'!P78</f>
        <v>216491</v>
      </c>
      <c r="O12" s="47">
        <f>'Summary -Yellow maize'!Q78</f>
        <v>520271</v>
      </c>
      <c r="P12" s="47">
        <f>'Summary -Yellow maize'!R78</f>
        <v>272860</v>
      </c>
      <c r="Q12" s="47">
        <f>'Summary -Yellow maize'!S78</f>
        <v>509294</v>
      </c>
      <c r="R12" s="47">
        <f>'Summary -Yellow maize'!T78</f>
        <v>709366</v>
      </c>
      <c r="S12" s="47">
        <f>'Summary -Yellow maize'!U78</f>
        <v>386162</v>
      </c>
      <c r="T12" s="47"/>
      <c r="U12" s="47">
        <f>AVERAGE(N12:R12)</f>
        <v>445656.4</v>
      </c>
    </row>
    <row r="13" spans="1:22" ht="13.8" thickBot="1" x14ac:dyDescent="0.3">
      <c r="A13" s="330" t="s">
        <v>134</v>
      </c>
      <c r="B13" s="49">
        <f>'Summary -Yellow maize'!D79</f>
        <v>66000</v>
      </c>
      <c r="C13" s="49">
        <f>'Summary -Yellow maize'!E79</f>
        <v>61000</v>
      </c>
      <c r="D13" s="49">
        <f>'Summary -Yellow maize'!F79</f>
        <v>23000</v>
      </c>
      <c r="E13" s="50">
        <f>'Summary -Yellow maize'!G79</f>
        <v>3862943</v>
      </c>
      <c r="F13" s="49">
        <f>'Summary -Yellow maize'!H79</f>
        <v>4480629</v>
      </c>
      <c r="G13" s="49">
        <f>'Summary -Yellow maize'!I79</f>
        <v>5328942</v>
      </c>
      <c r="H13" s="49">
        <f>'Summary -Yellow maize'!J79</f>
        <v>5861623</v>
      </c>
      <c r="I13" s="49">
        <f>'Summary -Yellow maize'!K79</f>
        <v>4538679</v>
      </c>
      <c r="J13" s="49">
        <f>'Summary -Yellow maize'!L79</f>
        <v>3622244</v>
      </c>
      <c r="K13" s="49">
        <f>'Summary -Yellow maize'!M79</f>
        <v>6234595</v>
      </c>
      <c r="L13" s="49">
        <f>'Summary -Yellow maize'!N79</f>
        <v>5495238</v>
      </c>
      <c r="M13" s="49">
        <f>'Summary -Yellow maize'!O79</f>
        <v>5228088</v>
      </c>
      <c r="N13" s="49">
        <f>'Summary -Yellow maize'!P79</f>
        <v>6152378</v>
      </c>
      <c r="O13" s="49">
        <f>'Summary -Yellow maize'!Q79</f>
        <v>6867055</v>
      </c>
      <c r="P13" s="49">
        <f>'Summary -Yellow maize'!R79</f>
        <v>6965800</v>
      </c>
      <c r="Q13" s="49">
        <f>'Summary -Yellow maize'!S79</f>
        <v>7047106</v>
      </c>
      <c r="R13" s="370">
        <f>'Summary -Yellow maize'!T79</f>
        <v>5581675</v>
      </c>
      <c r="S13" s="370">
        <f>'Summary -Yellow maize'!U79</f>
        <v>7868946</v>
      </c>
      <c r="T13" s="370"/>
      <c r="U13" s="369">
        <f>AVERAGE(N13:R13)</f>
        <v>6522802.7999999998</v>
      </c>
    </row>
    <row r="14" spans="1:22" ht="14.4" thickBot="1" x14ac:dyDescent="0.35">
      <c r="A14" s="51" t="s">
        <v>135</v>
      </c>
      <c r="B14" s="52">
        <f>'Summary -Yellow maize'!D80</f>
        <v>406692</v>
      </c>
      <c r="C14" s="52">
        <f>'Summary -Yellow maize'!E80</f>
        <v>297016</v>
      </c>
      <c r="D14" s="52">
        <f>'Summary -Yellow maize'!F80</f>
        <v>114500</v>
      </c>
      <c r="E14" s="53">
        <f>'Summary -Yellow maize'!G80</f>
        <v>4044943</v>
      </c>
      <c r="F14" s="52">
        <f>'Summary -Yellow maize'!H80</f>
        <v>4723674</v>
      </c>
      <c r="G14" s="52">
        <f>'Summary -Yellow maize'!I80</f>
        <v>5855911</v>
      </c>
      <c r="H14" s="52">
        <f>'Summary -Yellow maize'!J80</f>
        <v>6035284</v>
      </c>
      <c r="I14" s="52">
        <f>'Summary -Yellow maize'!K80</f>
        <v>4905799</v>
      </c>
      <c r="J14" s="52">
        <f>'Summary -Yellow maize'!L80</f>
        <v>4072199</v>
      </c>
      <c r="K14" s="52">
        <f>'Summary -Yellow maize'!M80</f>
        <v>6535237</v>
      </c>
      <c r="L14" s="52">
        <f>'Summary -Yellow maize'!N80</f>
        <v>5617786</v>
      </c>
      <c r="M14" s="52">
        <f>'Summary -Yellow maize'!O80</f>
        <v>5409133</v>
      </c>
      <c r="N14" s="52">
        <f>'Summary -Yellow maize'!P80</f>
        <v>6368869</v>
      </c>
      <c r="O14" s="52">
        <f>'Summary -Yellow maize'!Q80</f>
        <v>7387326</v>
      </c>
      <c r="P14" s="52">
        <f>'Summary -Yellow maize'!R80</f>
        <v>7238660</v>
      </c>
      <c r="Q14" s="52">
        <f>'Summary -Yellow maize'!S80</f>
        <v>7556400</v>
      </c>
      <c r="R14" s="52">
        <f>'Summary -Yellow maize'!T80</f>
        <v>6291041</v>
      </c>
      <c r="S14" s="52">
        <f>'Summary -Yellow maize'!U80</f>
        <v>8255108</v>
      </c>
      <c r="T14" s="52"/>
      <c r="U14" s="52">
        <f t="shared" ref="U14" si="0">AVERAGE(L14:Q14)</f>
        <v>6596362.333333333</v>
      </c>
    </row>
    <row r="15" spans="1:22" ht="15" thickTop="1" thickBot="1" x14ac:dyDescent="0.35">
      <c r="A15" s="64" t="s">
        <v>136</v>
      </c>
      <c r="B15" s="65">
        <f>'Summary -Yellow maize'!D82</f>
        <v>8.4973267473402767E-2</v>
      </c>
      <c r="C15" s="55">
        <f>'Summary -Yellow maize'!E82</f>
        <v>5.981792966998796E-2</v>
      </c>
      <c r="D15" s="65">
        <f>'Summary -Yellow maize'!F82</f>
        <v>2.5017550521796186E-2</v>
      </c>
      <c r="E15" s="61">
        <f>'Summary -Yellow maize'!G82</f>
        <v>1.028139389706159</v>
      </c>
      <c r="F15" s="61">
        <f>'Summary -Yellow maize'!H82</f>
        <v>0.96449360897212477</v>
      </c>
      <c r="G15" s="61">
        <f>'Summary -Yellow maize'!I82</f>
        <v>0.99982584735930813</v>
      </c>
      <c r="H15" s="61">
        <f>'Summary -Yellow maize'!J82</f>
        <v>0.98013640388229428</v>
      </c>
      <c r="I15" s="61">
        <f>'Summary -Yellow maize'!K82</f>
        <v>1.0099265477871697</v>
      </c>
      <c r="J15" s="61">
        <f>'Summary -Yellow maize'!L82</f>
        <v>0.99727257320974816</v>
      </c>
      <c r="K15" s="61">
        <f>'Summary -Yellow maize'!M82</f>
        <v>0.99744154456654455</v>
      </c>
      <c r="L15" s="61">
        <f>'Summary -Yellow maize'!N82</f>
        <v>0.99960604982206402</v>
      </c>
      <c r="M15" s="61">
        <f>'Summary -Yellow maize'!O82</f>
        <v>1.0054150557620818</v>
      </c>
      <c r="N15" s="61">
        <f>'Summary -Yellow maize'!P82</f>
        <v>1.0027346296150517</v>
      </c>
      <c r="O15" s="61">
        <f>'Summary -Yellow maize'!Q82</f>
        <v>1.0129337721102427</v>
      </c>
      <c r="P15" s="61">
        <f>'Summary -Yellow maize'!R82</f>
        <v>1.0011977869986168</v>
      </c>
      <c r="Q15" s="61">
        <f>'Summary -Yellow maize'!S82</f>
        <v>1.0122085500036166</v>
      </c>
      <c r="R15" s="61">
        <f>'Summary -Yellow maize'!T82</f>
        <v>0.99149582348305754</v>
      </c>
      <c r="S15" s="61">
        <f>'Summary -Yellow maize'!U82</f>
        <v>1.1307670075132354</v>
      </c>
      <c r="T15" s="61"/>
      <c r="U15" s="194">
        <f>AVERAGE(N15:R15)</f>
        <v>1.0041141124421171</v>
      </c>
      <c r="V15" s="305"/>
    </row>
    <row r="16" spans="1:22" ht="13.8" thickBot="1" x14ac:dyDescent="0.3">
      <c r="A16" s="331"/>
      <c r="B16" s="327"/>
      <c r="C16" s="327"/>
      <c r="D16" s="327"/>
      <c r="E16" s="327"/>
      <c r="F16" s="327"/>
      <c r="G16" s="327"/>
      <c r="H16" s="327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</row>
    <row r="17" spans="1:22" ht="13.8" thickBot="1" x14ac:dyDescent="0.3">
      <c r="A17" s="66" t="s">
        <v>116</v>
      </c>
      <c r="B17" s="332"/>
      <c r="C17" s="332"/>
      <c r="D17" s="332"/>
      <c r="E17" s="332"/>
      <c r="F17" s="332"/>
      <c r="G17" s="332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</row>
    <row r="18" spans="1:22" ht="13.8" thickBot="1" x14ac:dyDescent="0.3">
      <c r="A18" s="372" t="s">
        <v>95</v>
      </c>
      <c r="B18" s="45" t="str">
        <f>'Summary -Total maize'!D77</f>
        <v>2008/09</v>
      </c>
      <c r="C18" s="46" t="str">
        <f>'Summary -Total maize'!E77</f>
        <v>2009/10</v>
      </c>
      <c r="D18" s="45" t="str">
        <f>'Summary -Total maize'!F77</f>
        <v>2010/11</v>
      </c>
      <c r="E18" s="45" t="str">
        <f>'Summary -Total maize'!G77</f>
        <v>2011/12</v>
      </c>
      <c r="F18" s="45" t="str">
        <f>'Summary -Total maize'!H77</f>
        <v>2012/13</v>
      </c>
      <c r="G18" s="45" t="str">
        <f>'Summary -Total maize'!I77</f>
        <v>2013/14</v>
      </c>
      <c r="H18" s="46" t="str">
        <f>'Summary -Total maize'!J77</f>
        <v>2014/15</v>
      </c>
      <c r="I18" s="233" t="s">
        <v>66</v>
      </c>
      <c r="J18" s="233" t="s">
        <v>67</v>
      </c>
      <c r="K18" s="233" t="s">
        <v>68</v>
      </c>
      <c r="L18" s="233" t="s">
        <v>137</v>
      </c>
      <c r="M18" s="233" t="s">
        <v>138</v>
      </c>
      <c r="N18" s="233" t="s">
        <v>139</v>
      </c>
      <c r="O18" s="233" t="s">
        <v>140</v>
      </c>
      <c r="P18" s="233" t="s">
        <v>141</v>
      </c>
      <c r="Q18" s="233" t="s">
        <v>74</v>
      </c>
      <c r="R18" s="233" t="s">
        <v>117</v>
      </c>
      <c r="S18" s="233" t="str">
        <f>S4</f>
        <v>2025/26</v>
      </c>
      <c r="T18" s="233"/>
      <c r="U18" s="233" t="s">
        <v>132</v>
      </c>
    </row>
    <row r="19" spans="1:22" x14ac:dyDescent="0.25">
      <c r="A19" s="329" t="s">
        <v>133</v>
      </c>
      <c r="B19" s="47">
        <f>'Summary -Total maize'!D78</f>
        <v>669033</v>
      </c>
      <c r="C19" s="47">
        <f>'Summary -Total maize'!E78</f>
        <v>351719</v>
      </c>
      <c r="D19" s="47">
        <f>'Summary -Total maize'!F78</f>
        <v>135500</v>
      </c>
      <c r="E19" s="48">
        <f>'Summary -Total maize'!G78</f>
        <v>182240</v>
      </c>
      <c r="F19" s="47">
        <f>'Summary -Total maize'!H78</f>
        <v>753443</v>
      </c>
      <c r="G19" s="47">
        <f>'Summary -Total maize'!I78</f>
        <v>426034</v>
      </c>
      <c r="H19" s="47">
        <f>'Summary -Total maize'!J78</f>
        <v>478784</v>
      </c>
      <c r="I19" s="47">
        <f>'Summary -Total maize'!K78</f>
        <v>541956</v>
      </c>
      <c r="J19" s="47">
        <f>'Summary -Total maize'!L78</f>
        <v>821008</v>
      </c>
      <c r="K19" s="47">
        <f>'Summary -Total maize'!M78</f>
        <v>804193</v>
      </c>
      <c r="L19" s="47">
        <f>'Summary -Total maize'!N78</f>
        <v>239917</v>
      </c>
      <c r="M19" s="47">
        <f>'Summary -Total maize'!O78</f>
        <v>266943</v>
      </c>
      <c r="N19" s="47">
        <f>'Summary -Total maize'!P78</f>
        <v>347732</v>
      </c>
      <c r="O19" s="47">
        <f>'Summary -Total maize'!Q78</f>
        <v>957307</v>
      </c>
      <c r="P19" s="47">
        <f>'Summary -Total maize'!R78</f>
        <v>414048</v>
      </c>
      <c r="Q19" s="47">
        <f>'Summary -Total maize'!S78</f>
        <v>703499</v>
      </c>
      <c r="R19" s="47">
        <f>'Summary -Total maize'!T78</f>
        <v>1107658</v>
      </c>
      <c r="S19" s="47">
        <f>'Summary -Total maize'!U78</f>
        <v>630453</v>
      </c>
      <c r="T19" s="47"/>
      <c r="U19" s="47">
        <f>AVERAGE(N19:R19)</f>
        <v>706048.8</v>
      </c>
    </row>
    <row r="20" spans="1:22" ht="13.8" thickBot="1" x14ac:dyDescent="0.3">
      <c r="A20" s="330" t="s">
        <v>134</v>
      </c>
      <c r="B20" s="49">
        <f>'Summary -Total maize'!D79</f>
        <v>11445000</v>
      </c>
      <c r="C20" s="49">
        <f>'Summary -Total maize'!E79</f>
        <v>11253000</v>
      </c>
      <c r="D20" s="49">
        <f>'Summary -Total maize'!F79</f>
        <v>11747000</v>
      </c>
      <c r="E20" s="50">
        <f>'Summary -Total maize'!G79</f>
        <v>9731000</v>
      </c>
      <c r="F20" s="49">
        <f>'Summary -Total maize'!H79</f>
        <v>11016607</v>
      </c>
      <c r="G20" s="49">
        <f>'Summary -Total maize'!I79</f>
        <v>10495155</v>
      </c>
      <c r="H20" s="49">
        <f>'Summary -Total maize'!J79</f>
        <v>13275986</v>
      </c>
      <c r="I20" s="49">
        <f>'Summary -Total maize'!K79</f>
        <v>9057930</v>
      </c>
      <c r="J20" s="49">
        <f>'Summary -Total maize'!L79</f>
        <v>6675981</v>
      </c>
      <c r="K20" s="49">
        <f>'Summary -Total maize'!M79</f>
        <v>15385208</v>
      </c>
      <c r="L20" s="49">
        <f>'Summary -Total maize'!N79</f>
        <v>11720705</v>
      </c>
      <c r="M20" s="49">
        <f>'Summary -Total maize'!O79</f>
        <v>10537705</v>
      </c>
      <c r="N20" s="49">
        <f>'Summary -Total maize'!P79</f>
        <v>14317510</v>
      </c>
      <c r="O20" s="49">
        <f>'Summary -Total maize'!Q79</f>
        <v>14865206</v>
      </c>
      <c r="P20" s="49">
        <f>'Summary -Total maize'!R79</f>
        <v>14507386</v>
      </c>
      <c r="Q20" s="49">
        <f>'Summary -Total maize'!S79</f>
        <v>15126437</v>
      </c>
      <c r="R20" s="49">
        <f>'Summary -Total maize'!T79</f>
        <v>11409996</v>
      </c>
      <c r="S20" s="49">
        <f>'Summary -Total maize'!U79</f>
        <v>16284483</v>
      </c>
      <c r="T20" s="49"/>
      <c r="U20" s="49">
        <f>AVERAGE(N20:R20)</f>
        <v>14045307</v>
      </c>
    </row>
    <row r="21" spans="1:22" ht="14.4" thickBot="1" x14ac:dyDescent="0.35">
      <c r="A21" s="51" t="s">
        <v>135</v>
      </c>
      <c r="B21" s="52">
        <f>'Summary -Total maize'!D80</f>
        <v>12114033</v>
      </c>
      <c r="C21" s="52">
        <f>'Summary -Total maize'!E80</f>
        <v>11604719</v>
      </c>
      <c r="D21" s="52">
        <f>'Summary -Total maize'!F80</f>
        <v>11882500</v>
      </c>
      <c r="E21" s="53">
        <f>'Summary -Total maize'!G80</f>
        <v>9913240</v>
      </c>
      <c r="F21" s="52">
        <f>'Summary -Total maize'!H80</f>
        <v>11770050</v>
      </c>
      <c r="G21" s="52">
        <f>'Summary -Total maize'!I80</f>
        <v>10921189</v>
      </c>
      <c r="H21" s="52">
        <f>'Summary -Total maize'!J80</f>
        <v>13754770</v>
      </c>
      <c r="I21" s="52">
        <f>'Summary -Total maize'!K80</f>
        <v>9599886</v>
      </c>
      <c r="J21" s="52">
        <f>'Summary -Total maize'!L80</f>
        <v>7496989</v>
      </c>
      <c r="K21" s="52">
        <f>'Summary -Total maize'!M80</f>
        <v>16189401</v>
      </c>
      <c r="L21" s="52">
        <f>'Summary -Total maize'!N80</f>
        <v>11960622</v>
      </c>
      <c r="M21" s="52">
        <f>'Summary -Total maize'!O80</f>
        <v>10804648</v>
      </c>
      <c r="N21" s="52">
        <f>'Summary -Total maize'!P80</f>
        <v>14665242</v>
      </c>
      <c r="O21" s="52">
        <f>'Summary -Total maize'!Q80</f>
        <v>15822513</v>
      </c>
      <c r="P21" s="52">
        <f>'Summary -Total maize'!R80</f>
        <v>14921434</v>
      </c>
      <c r="Q21" s="52">
        <f>'Summary -Total maize'!S80</f>
        <v>15829936</v>
      </c>
      <c r="R21" s="52">
        <f>'Summary -Total maize'!T80</f>
        <v>12517654</v>
      </c>
      <c r="S21" s="52">
        <f>'Summary -Total maize'!U80</f>
        <v>16914936</v>
      </c>
      <c r="T21" s="52"/>
      <c r="U21" s="52">
        <f t="shared" ref="U21" si="1">AVERAGE(L21:Q21)</f>
        <v>14000732.5</v>
      </c>
    </row>
    <row r="22" spans="1:22" ht="15" thickTop="1" thickBot="1" x14ac:dyDescent="0.35">
      <c r="A22" s="54" t="s">
        <v>136</v>
      </c>
      <c r="B22" s="55">
        <f>'Summary -Total maize'!D82</f>
        <v>0.99734971131769012</v>
      </c>
      <c r="C22" s="55">
        <f>'Summary -Total maize'!E82</f>
        <v>0.99821727238976854</v>
      </c>
      <c r="D22" s="55">
        <f>'Summary -Total maize'!F82</f>
        <v>1.0295477831039794</v>
      </c>
      <c r="E22" s="56">
        <f>'Summary -Total maize'!G82</f>
        <v>1.0027631205742629</v>
      </c>
      <c r="F22" s="56">
        <f>'Summary -Total maize'!H82</f>
        <v>1.0070951563121411</v>
      </c>
      <c r="G22" s="56">
        <f>'Summary -Total maize'!I82</f>
        <v>0.96198291010253079</v>
      </c>
      <c r="H22" s="56">
        <f>'Summary -Total maize'!J82</f>
        <v>1.001778614658666</v>
      </c>
      <c r="I22" s="56">
        <f>'Summary -Total maize'!K82</f>
        <v>1.0123824277851656</v>
      </c>
      <c r="J22" s="56">
        <f>'Summary -Total maize'!L82</f>
        <v>1.006201360823237</v>
      </c>
      <c r="K22" s="56">
        <f>'Summary -Total maize'!M82</f>
        <v>0.99694568631073344</v>
      </c>
      <c r="L22" s="56">
        <f>'Summary -Total maize'!N82</f>
        <v>1.0000520066889631</v>
      </c>
      <c r="M22" s="56">
        <f>'Summary -Total maize'!O82</f>
        <v>1.0036830469112865</v>
      </c>
      <c r="N22" s="56">
        <f>'Summary -Total maize'!P82</f>
        <v>0.9933909601220906</v>
      </c>
      <c r="O22" s="56">
        <f>'Summary -Total maize'!Q82</f>
        <v>1.0083814288445605</v>
      </c>
      <c r="P22" s="56">
        <f>'Summary -Total maize'!R82</f>
        <v>1.0012369321613097</v>
      </c>
      <c r="Q22" s="56">
        <f>'Summary -Total maize'!S82</f>
        <v>1.005060943573822</v>
      </c>
      <c r="R22" s="56">
        <f>'Summary -Total maize'!T82</f>
        <v>0.77197513428841014</v>
      </c>
      <c r="S22" s="56">
        <f>'Summary -Total maize'!U82</f>
        <v>1.0441254066332923</v>
      </c>
      <c r="T22" s="56"/>
      <c r="U22" s="195">
        <f>AVERAGE(N22:R22)</f>
        <v>0.95600907979803862</v>
      </c>
      <c r="V22" s="305"/>
    </row>
    <row r="23" spans="1:22" x14ac:dyDescent="0.25">
      <c r="A23" s="326" t="s">
        <v>142</v>
      </c>
      <c r="K23" s="320"/>
      <c r="L23" s="320"/>
      <c r="M23" s="320"/>
      <c r="N23" s="320"/>
      <c r="O23" s="320"/>
      <c r="P23" s="320"/>
      <c r="Q23" s="320"/>
      <c r="R23" s="320"/>
      <c r="S23" s="320"/>
      <c r="T23" s="320"/>
    </row>
    <row r="24" spans="1:22" x14ac:dyDescent="0.25">
      <c r="A24" s="326" t="s">
        <v>143</v>
      </c>
    </row>
  </sheetData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FAEB-9F24-432B-87AB-3A95274C3947}">
  <dimension ref="A1"/>
  <sheetViews>
    <sheetView workbookViewId="0">
      <selection activeCell="U19" sqref="U19"/>
    </sheetView>
  </sheetViews>
  <sheetFormatPr defaultColWidth="8.77734375" defaultRowHeight="13.2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Production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Deliveries</Category>
    <Content xmlns="65f53dc4-d250-4e55-bddf-148ce7e458c8">Physical Deliveries by Producers
</Content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CA998-762E-406A-A611-ED362E894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45AD4-A44E-4D57-9139-6772E57C882F}">
  <ds:schemaRefs>
    <ds:schemaRef ds:uri="http://schemas.microsoft.com/office/2006/documentManagement/types"/>
    <ds:schemaRef ds:uri="http://purl.org/dc/dcmitype/"/>
    <ds:schemaRef ds:uri="65f53dc4-d250-4e55-bddf-148ce7e458c8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6160AD-FD46-4C0F-B7FB-D6026B0D773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C1390F2-5C7B-44CB-BF73-E27DCE79E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Table-SAGIS deliver vs CEC est</vt:lpstr>
      <vt:lpstr>Mielies-Maize 2025</vt:lpstr>
      <vt:lpstr>Mielies-Maize 2026</vt:lpstr>
      <vt:lpstr>Summary -White maize</vt:lpstr>
      <vt:lpstr>Summary -Yellow maize</vt:lpstr>
      <vt:lpstr>Summary -Total maize</vt:lpstr>
      <vt:lpstr>Maize Grading Information</vt:lpstr>
      <vt:lpstr>Summary- Producer deliveries</vt:lpstr>
      <vt:lpstr>Producer deliveries</vt:lpstr>
      <vt:lpstr>WM-producer deliveries  </vt:lpstr>
      <vt:lpstr>YM-producer deliveries </vt:lpstr>
      <vt:lpstr>Weeklikse wit- en geellewerings</vt:lpstr>
      <vt:lpstr>Weeklikse totale lewerings</vt:lpstr>
      <vt:lpstr>Lewerings tot datum </vt:lpstr>
      <vt:lpstr>Lewerings tot datum (WM)</vt:lpstr>
      <vt:lpstr>Lewerings tot datum (YM)</vt:lpstr>
      <vt:lpstr>Chart1</vt:lpstr>
      <vt:lpstr>Lewerings tot datum (TM)</vt:lpstr>
      <vt:lpstr>Weeklikse kumulatiewe lewerings</vt:lpstr>
      <vt:lpstr>White 2025 vs 2026</vt:lpstr>
      <vt:lpstr>Yellow 2025 vs 2026</vt:lpstr>
      <vt:lpstr>Lewerings tot datum (TM)1</vt:lpstr>
      <vt:lpstr>'Summary- Producer deliveries'!Print_Area</vt:lpstr>
      <vt:lpstr>'Summary -Total maize'!Print_Area</vt:lpstr>
      <vt:lpstr>'Summary -White maize'!Print_Area</vt:lpstr>
      <vt:lpstr>'Summary -Yellow maize'!Print_Area</vt:lpstr>
      <vt:lpstr>'Table-SAGIS deliver vs CEC est'!Print_Area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Wessel Lemmer (Grain SA)</dc:creator>
  <cp:keywords/>
  <dc:description/>
  <cp:lastModifiedBy>Cathrine Mathekga</cp:lastModifiedBy>
  <cp:revision/>
  <dcterms:created xsi:type="dcterms:W3CDTF">2005-11-02T09:45:58Z</dcterms:created>
  <dcterms:modified xsi:type="dcterms:W3CDTF">2026-05-24T13:04:17Z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0x01010099528AF1E56B9447927F1E6F610AF402</vt:lpwstr>
  </property>
  <property fmtid="{D5CDD505-2E9C-101B-9397-08002B2CF9AE}" pid="3" name="display_urn:schemas-microsoft-com:office:office#Editor">
    <vt:lpwstr>Luzelle Botha</vt:lpwstr>
  </property>
  <property fmtid="{D5CDD505-2E9C-101B-9397-08002B2CF9AE}" pid="4" name="Order">
    <vt:lpwstr>11268800.0000000</vt:lpwstr>
  </property>
  <property fmtid="{D5CDD505-2E9C-101B-9397-08002B2CF9AE}" pid="5" name="display_urn:schemas-microsoft-com:office:office#Author">
    <vt:lpwstr>Luzelle Botha</vt:lpwstr>
  </property>
  <property fmtid="{D5CDD505-2E9C-101B-9397-08002B2CF9AE}" pid="6" name="MediaServiceImageTags">
    <vt:lpwstr/>
  </property>
  <property fmtid="{D5CDD505-2E9C-101B-9397-08002B2CF9AE}" pid="7" name="SourceDoc">
    <vt:bool>true</vt:bool>
  </property>
  <property fmtid="{D5CDD505-2E9C-101B-9397-08002B2CF9AE}" pid="8" name="Cleaned">
    <vt:bool>false</vt:bool>
  </property>
</Properties>
</file>