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insa2019-my.sharepoint.com/personal/luzelle_grainsa_co_za/Documents/Documents/"/>
    </mc:Choice>
  </mc:AlternateContent>
  <xr:revisionPtr revIDLastSave="0" documentId="8_{C62A885E-1E4F-4C92-AADC-6B3804656882}" xr6:coauthVersionLast="47" xr6:coauthVersionMax="47" xr10:uidLastSave="{00000000-0000-0000-0000-000000000000}"/>
  <bookViews>
    <workbookView xWindow="-96" yWindow="-96" windowWidth="23232" windowHeight="12432" tabRatio="889" firstSheet="2" activeTab="1" xr2:uid="{00000000-000D-0000-FFFF-FFFF00000000}"/>
  </bookViews>
  <sheets>
    <sheet name="Export destin -Uitvoer bestem." sheetId="9" r:id="rId1"/>
    <sheet name="Geelmielie uitvoere" sheetId="19" r:id="rId2"/>
    <sheet name="Witmielie uitvoere" sheetId="18" r:id="rId3"/>
    <sheet name="Weeklikse uitvoere" sheetId="11" r:id="rId4"/>
    <sheet name="Cumulative WM Exports" sheetId="16" r:id="rId5"/>
    <sheet name="Cumulative Total Maize Exports" sheetId="14" r:id="rId6"/>
    <sheet name="Chart - Cum. uitvoere-exports" sheetId="12" r:id="rId7"/>
    <sheet name="Chart - Cum. invoere-impor " sheetId="13" r:id="rId8"/>
    <sheet name="Imports from - Invoere vanaf " sheetId="8" r:id="rId9"/>
    <sheet name="Vorige Weekliks-Previous Weekly" sheetId="33" r:id="rId10"/>
    <sheet name="Weekliks-Weekly" sheetId="34" r:id="rId11"/>
    <sheet name="Sheet1" sheetId="30" r:id="rId12"/>
    <sheet name="Cummulative exports" sheetId="31" r:id="rId13"/>
    <sheet name="White Imports other countries" sheetId="25" state="hidden" r:id="rId14"/>
    <sheet name="Yellow Imports other countries" sheetId="26" state="hidden" r:id="rId15"/>
    <sheet name="White export for import" sheetId="27" state="hidden" r:id="rId16"/>
    <sheet name="Yellow export for import" sheetId="28" state="hidden" r:id="rId17"/>
    <sheet name="WM Imports per harbour" sheetId="23" state="hidden" r:id="rId18"/>
    <sheet name="YM Imports per harbour" sheetId="24" state="hidden" r:id="rId19"/>
  </sheets>
  <definedNames>
    <definedName name="_xlnm.Print_Area" localSheetId="0">'Export destin -Uitvoer bestem.'!$A$1:$U$97</definedName>
    <definedName name="_xlnm.Print_Area" localSheetId="8">'Imports from - Invoere vanaf '!$A$1:$G$24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0" i="9" l="1"/>
  <c r="P61" i="9"/>
  <c r="P60" i="9"/>
  <c r="P59" i="9"/>
  <c r="P58" i="9"/>
  <c r="P57" i="9"/>
  <c r="P14" i="9"/>
  <c r="P13" i="9"/>
  <c r="P12" i="9"/>
  <c r="P11" i="9"/>
  <c r="P10" i="9"/>
  <c r="P9" i="9"/>
  <c r="P5" i="9"/>
  <c r="B4" i="8"/>
  <c r="P4" i="9"/>
  <c r="C4" i="9"/>
  <c r="P85" i="9"/>
  <c r="P77" i="9"/>
  <c r="P76" i="9"/>
  <c r="P73" i="9"/>
  <c r="B15" i="8"/>
  <c r="P51" i="9"/>
  <c r="O54" i="9" l="1"/>
  <c r="O98" i="9"/>
  <c r="P92" i="9"/>
  <c r="M9" i="34"/>
  <c r="N9" i="34"/>
  <c r="S9" i="34"/>
  <c r="T9" i="34"/>
  <c r="U9" i="34"/>
  <c r="P53" i="9" l="1"/>
  <c r="V9" i="34"/>
  <c r="T10" i="9"/>
  <c r="T11" i="9"/>
  <c r="S8" i="9"/>
  <c r="S10" i="9"/>
  <c r="S9" i="9"/>
  <c r="S11" i="9"/>
  <c r="T8" i="9"/>
  <c r="T9" i="9"/>
  <c r="P62" i="9"/>
  <c r="P95" i="9"/>
  <c r="A4" i="9"/>
  <c r="S18" i="9"/>
  <c r="T18" i="9" l="1"/>
  <c r="T61" i="34"/>
  <c r="S61" i="34"/>
  <c r="J61" i="34"/>
  <c r="I61" i="34"/>
  <c r="T60" i="34"/>
  <c r="S60" i="34"/>
  <c r="J60" i="34"/>
  <c r="I60" i="34"/>
  <c r="T59" i="34"/>
  <c r="S59" i="34"/>
  <c r="J59" i="34"/>
  <c r="I59" i="34"/>
  <c r="F59" i="34"/>
  <c r="F60" i="34" s="1"/>
  <c r="F61" i="34" s="1"/>
  <c r="E59" i="34"/>
  <c r="U59" i="34" s="1"/>
  <c r="T58" i="34"/>
  <c r="S58" i="34"/>
  <c r="J58" i="34"/>
  <c r="I58" i="34"/>
  <c r="F58" i="34"/>
  <c r="E58" i="34"/>
  <c r="U58" i="34" s="1"/>
  <c r="T57" i="34"/>
  <c r="S57" i="34"/>
  <c r="J57" i="34"/>
  <c r="I57" i="34"/>
  <c r="F57" i="34"/>
  <c r="E57" i="34"/>
  <c r="U57" i="34" s="1"/>
  <c r="T56" i="34"/>
  <c r="S56" i="34"/>
  <c r="J56" i="34"/>
  <c r="I56" i="34"/>
  <c r="F56" i="34"/>
  <c r="E56" i="34"/>
  <c r="U56" i="34" s="1"/>
  <c r="T55" i="34"/>
  <c r="S55" i="34"/>
  <c r="J55" i="34"/>
  <c r="I55" i="34"/>
  <c r="F55" i="34"/>
  <c r="E55" i="34"/>
  <c r="U55" i="34" s="1"/>
  <c r="T54" i="34"/>
  <c r="S54" i="34"/>
  <c r="J54" i="34"/>
  <c r="I54" i="34"/>
  <c r="F54" i="34"/>
  <c r="E54" i="34"/>
  <c r="U54" i="34" s="1"/>
  <c r="T53" i="34"/>
  <c r="S53" i="34"/>
  <c r="J53" i="34"/>
  <c r="I53" i="34"/>
  <c r="F53" i="34"/>
  <c r="E53" i="34"/>
  <c r="U53" i="34" s="1"/>
  <c r="T52" i="34"/>
  <c r="S52" i="34"/>
  <c r="J52" i="34"/>
  <c r="I52" i="34"/>
  <c r="F52" i="34"/>
  <c r="E52" i="34"/>
  <c r="U52" i="34" s="1"/>
  <c r="T51" i="34"/>
  <c r="S51" i="34"/>
  <c r="J51" i="34"/>
  <c r="I51" i="34"/>
  <c r="F51" i="34"/>
  <c r="E51" i="34"/>
  <c r="T50" i="34"/>
  <c r="S50" i="34"/>
  <c r="J50" i="34"/>
  <c r="I50" i="34"/>
  <c r="F50" i="34"/>
  <c r="E50" i="34"/>
  <c r="U50" i="34" s="1"/>
  <c r="T49" i="34"/>
  <c r="S49" i="34"/>
  <c r="J49" i="34"/>
  <c r="I49" i="34"/>
  <c r="F49" i="34"/>
  <c r="E49" i="34"/>
  <c r="T48" i="34"/>
  <c r="S48" i="34"/>
  <c r="J48" i="34"/>
  <c r="I48" i="34"/>
  <c r="F48" i="34"/>
  <c r="E48" i="34"/>
  <c r="U48" i="34" s="1"/>
  <c r="T47" i="34"/>
  <c r="S47" i="34"/>
  <c r="J47" i="34"/>
  <c r="I47" i="34"/>
  <c r="F47" i="34"/>
  <c r="E47" i="34"/>
  <c r="T46" i="34"/>
  <c r="S46" i="34"/>
  <c r="J46" i="34"/>
  <c r="I46" i="34"/>
  <c r="F46" i="34"/>
  <c r="E46" i="34"/>
  <c r="U46" i="34" s="1"/>
  <c r="T45" i="34"/>
  <c r="S45" i="34"/>
  <c r="J45" i="34"/>
  <c r="I45" i="34"/>
  <c r="F45" i="34"/>
  <c r="E45" i="34"/>
  <c r="U45" i="34" s="1"/>
  <c r="T44" i="34"/>
  <c r="S44" i="34"/>
  <c r="J44" i="34"/>
  <c r="I44" i="34"/>
  <c r="F44" i="34"/>
  <c r="E44" i="34"/>
  <c r="U44" i="34" s="1"/>
  <c r="T43" i="34"/>
  <c r="S43" i="34"/>
  <c r="J43" i="34"/>
  <c r="I43" i="34"/>
  <c r="F43" i="34"/>
  <c r="E43" i="34"/>
  <c r="U43" i="34" s="1"/>
  <c r="T42" i="34"/>
  <c r="S42" i="34"/>
  <c r="J42" i="34"/>
  <c r="I42" i="34"/>
  <c r="F42" i="34"/>
  <c r="E42" i="34"/>
  <c r="U42" i="34" s="1"/>
  <c r="T41" i="34"/>
  <c r="S41" i="34"/>
  <c r="J41" i="34"/>
  <c r="I41" i="34"/>
  <c r="F41" i="34"/>
  <c r="E41" i="34"/>
  <c r="U41" i="34" s="1"/>
  <c r="T40" i="34"/>
  <c r="S40" i="34"/>
  <c r="J40" i="34"/>
  <c r="I40" i="34"/>
  <c r="F40" i="34"/>
  <c r="E40" i="34"/>
  <c r="U40" i="34" s="1"/>
  <c r="T39" i="34"/>
  <c r="S39" i="34"/>
  <c r="J39" i="34"/>
  <c r="I39" i="34"/>
  <c r="F39" i="34"/>
  <c r="E39" i="34"/>
  <c r="U39" i="34" s="1"/>
  <c r="T38" i="34"/>
  <c r="S38" i="34"/>
  <c r="J38" i="34"/>
  <c r="I38" i="34"/>
  <c r="F38" i="34"/>
  <c r="E38" i="34"/>
  <c r="U38" i="34" s="1"/>
  <c r="T37" i="34"/>
  <c r="S37" i="34"/>
  <c r="J37" i="34"/>
  <c r="I37" i="34"/>
  <c r="F37" i="34"/>
  <c r="E37" i="34"/>
  <c r="U37" i="34" s="1"/>
  <c r="T36" i="34"/>
  <c r="S36" i="34"/>
  <c r="J36" i="34"/>
  <c r="I36" i="34"/>
  <c r="F36" i="34"/>
  <c r="E36" i="34"/>
  <c r="U36" i="34" s="1"/>
  <c r="T35" i="34"/>
  <c r="S35" i="34"/>
  <c r="J35" i="34"/>
  <c r="I35" i="34"/>
  <c r="F35" i="34"/>
  <c r="E35" i="34"/>
  <c r="U35" i="34" s="1"/>
  <c r="T34" i="34"/>
  <c r="S34" i="34"/>
  <c r="J34" i="34"/>
  <c r="I34" i="34"/>
  <c r="F34" i="34"/>
  <c r="E34" i="34"/>
  <c r="U34" i="34" s="1"/>
  <c r="T33" i="34"/>
  <c r="S33" i="34"/>
  <c r="J33" i="34"/>
  <c r="I33" i="34"/>
  <c r="F33" i="34"/>
  <c r="E33" i="34"/>
  <c r="U33" i="34" s="1"/>
  <c r="T32" i="34"/>
  <c r="S32" i="34"/>
  <c r="J32" i="34"/>
  <c r="I32" i="34"/>
  <c r="F32" i="34"/>
  <c r="E32" i="34"/>
  <c r="U32" i="34" s="1"/>
  <c r="T31" i="34"/>
  <c r="S31" i="34"/>
  <c r="J31" i="34"/>
  <c r="I31" i="34"/>
  <c r="F31" i="34"/>
  <c r="E31" i="34"/>
  <c r="U31" i="34" s="1"/>
  <c r="T30" i="34"/>
  <c r="S30" i="34"/>
  <c r="J30" i="34"/>
  <c r="I30" i="34"/>
  <c r="F30" i="34"/>
  <c r="E30" i="34"/>
  <c r="U30" i="34" s="1"/>
  <c r="T29" i="34"/>
  <c r="S29" i="34"/>
  <c r="J29" i="34"/>
  <c r="I29" i="34"/>
  <c r="F29" i="34"/>
  <c r="E29" i="34"/>
  <c r="U29" i="34" s="1"/>
  <c r="U28" i="34"/>
  <c r="T28" i="34"/>
  <c r="J28" i="34"/>
  <c r="I28" i="34"/>
  <c r="F28" i="34"/>
  <c r="E28" i="34"/>
  <c r="T27" i="34"/>
  <c r="S27" i="34"/>
  <c r="J27" i="34"/>
  <c r="I27" i="34"/>
  <c r="F27" i="34"/>
  <c r="E27" i="34"/>
  <c r="U27" i="34" s="1"/>
  <c r="T26" i="34"/>
  <c r="S26" i="34"/>
  <c r="J26" i="34"/>
  <c r="I26" i="34"/>
  <c r="F26" i="34"/>
  <c r="E26" i="34"/>
  <c r="U26" i="34" s="1"/>
  <c r="U25" i="34"/>
  <c r="T25" i="34"/>
  <c r="S25" i="34"/>
  <c r="J25" i="34"/>
  <c r="I25" i="34"/>
  <c r="F25" i="34"/>
  <c r="E25" i="34"/>
  <c r="T24" i="34"/>
  <c r="S24" i="34"/>
  <c r="J24" i="34"/>
  <c r="I24" i="34"/>
  <c r="F24" i="34"/>
  <c r="E24" i="34"/>
  <c r="U24" i="34" s="1"/>
  <c r="T23" i="34"/>
  <c r="S23" i="34"/>
  <c r="J23" i="34"/>
  <c r="I23" i="34"/>
  <c r="F23" i="34"/>
  <c r="E23" i="34"/>
  <c r="U23" i="34" s="1"/>
  <c r="T22" i="34"/>
  <c r="S22" i="34"/>
  <c r="Q22" i="34"/>
  <c r="Q23" i="34" s="1"/>
  <c r="Q24" i="34" s="1"/>
  <c r="Q25" i="34" s="1"/>
  <c r="Q26" i="34" s="1"/>
  <c r="Q27" i="34" s="1"/>
  <c r="Q28" i="34" s="1"/>
  <c r="Q29" i="34" s="1"/>
  <c r="J22" i="34"/>
  <c r="I22" i="34"/>
  <c r="F22" i="34"/>
  <c r="E22" i="34"/>
  <c r="U22" i="34" s="1"/>
  <c r="U21" i="34"/>
  <c r="T21" i="34"/>
  <c r="S21" i="34"/>
  <c r="J21" i="34"/>
  <c r="I21" i="34"/>
  <c r="F21" i="34"/>
  <c r="E21" i="34"/>
  <c r="U20" i="34"/>
  <c r="T20" i="34"/>
  <c r="S20" i="34"/>
  <c r="J20" i="34"/>
  <c r="I20" i="34"/>
  <c r="F20" i="34"/>
  <c r="E20" i="34"/>
  <c r="T19" i="34"/>
  <c r="S19" i="34"/>
  <c r="R19" i="34"/>
  <c r="R20" i="34" s="1"/>
  <c r="R21" i="34" s="1"/>
  <c r="R22" i="34" s="1"/>
  <c r="R23" i="34" s="1"/>
  <c r="R24" i="34" s="1"/>
  <c r="R25" i="34" s="1"/>
  <c r="R26" i="34" s="1"/>
  <c r="R27" i="34" s="1"/>
  <c r="R28" i="34" s="1"/>
  <c r="R29" i="34" s="1"/>
  <c r="Q19" i="34"/>
  <c r="Q20" i="34" s="1"/>
  <c r="Q21" i="34" s="1"/>
  <c r="J19" i="34"/>
  <c r="I19" i="34"/>
  <c r="F19" i="34"/>
  <c r="E19" i="34"/>
  <c r="U19" i="34" s="1"/>
  <c r="T18" i="34"/>
  <c r="S18" i="34"/>
  <c r="Q18" i="34"/>
  <c r="J18" i="34"/>
  <c r="I18" i="34"/>
  <c r="F18" i="34"/>
  <c r="E18" i="34"/>
  <c r="U18" i="34" s="1"/>
  <c r="U17" i="34"/>
  <c r="T17" i="34"/>
  <c r="S17" i="34"/>
  <c r="R17" i="34"/>
  <c r="R18" i="34" s="1"/>
  <c r="Q17" i="34"/>
  <c r="J17" i="34"/>
  <c r="I17" i="34"/>
  <c r="F17" i="34"/>
  <c r="E17" i="34"/>
  <c r="U16" i="34"/>
  <c r="T16" i="34"/>
  <c r="S16" i="34"/>
  <c r="J16" i="34"/>
  <c r="I16" i="34"/>
  <c r="F16" i="34"/>
  <c r="E16" i="34"/>
  <c r="T15" i="34"/>
  <c r="S15" i="34"/>
  <c r="J15" i="34"/>
  <c r="I15" i="34"/>
  <c r="F15" i="34"/>
  <c r="E15" i="34"/>
  <c r="U15" i="34" s="1"/>
  <c r="U14" i="34"/>
  <c r="T14" i="34"/>
  <c r="S14" i="34"/>
  <c r="J14" i="34"/>
  <c r="I14" i="34"/>
  <c r="F14" i="34"/>
  <c r="E14" i="34"/>
  <c r="T13" i="34"/>
  <c r="S13" i="34"/>
  <c r="J13" i="34"/>
  <c r="I13" i="34"/>
  <c r="F13" i="34"/>
  <c r="E13" i="34"/>
  <c r="U13" i="34" s="1"/>
  <c r="T12" i="34"/>
  <c r="S12" i="34"/>
  <c r="J12" i="34"/>
  <c r="I12" i="34"/>
  <c r="F12" i="34"/>
  <c r="E12" i="34"/>
  <c r="T11" i="34"/>
  <c r="S11" i="34"/>
  <c r="J11" i="34"/>
  <c r="I11" i="34"/>
  <c r="F11" i="34"/>
  <c r="E11" i="34"/>
  <c r="T10" i="34"/>
  <c r="S10" i="34"/>
  <c r="J10" i="34"/>
  <c r="I10" i="34"/>
  <c r="F10" i="34"/>
  <c r="E10" i="34"/>
  <c r="B10" i="34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A10" i="34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N10" i="34"/>
  <c r="N11" i="34" s="1"/>
  <c r="N12" i="34" s="1"/>
  <c r="N13" i="34" s="1"/>
  <c r="N14" i="34" s="1"/>
  <c r="N15" i="34" s="1"/>
  <c r="N16" i="34" s="1"/>
  <c r="N17" i="34" s="1"/>
  <c r="N18" i="34" s="1"/>
  <c r="N19" i="34" s="1"/>
  <c r="N20" i="34" s="1"/>
  <c r="N21" i="34" s="1"/>
  <c r="N22" i="34" s="1"/>
  <c r="N23" i="34" s="1"/>
  <c r="N24" i="34" s="1"/>
  <c r="N25" i="34" s="1"/>
  <c r="N26" i="34" s="1"/>
  <c r="N27" i="34" s="1"/>
  <c r="N28" i="34" s="1"/>
  <c r="N29" i="34" s="1"/>
  <c r="N30" i="34" s="1"/>
  <c r="N31" i="34" s="1"/>
  <c r="N32" i="34" s="1"/>
  <c r="N33" i="34" s="1"/>
  <c r="N34" i="34" s="1"/>
  <c r="N35" i="34" s="1"/>
  <c r="N36" i="34" s="1"/>
  <c r="N37" i="34" s="1"/>
  <c r="N38" i="34" s="1"/>
  <c r="N39" i="34" s="1"/>
  <c r="N40" i="34" s="1"/>
  <c r="N41" i="34" s="1"/>
  <c r="N42" i="34" s="1"/>
  <c r="N43" i="34" s="1"/>
  <c r="N44" i="34" s="1"/>
  <c r="N45" i="34" s="1"/>
  <c r="N46" i="34" s="1"/>
  <c r="N47" i="34" s="1"/>
  <c r="N48" i="34" s="1"/>
  <c r="N49" i="34" s="1"/>
  <c r="N50" i="34" s="1"/>
  <c r="N51" i="34" s="1"/>
  <c r="N52" i="34" s="1"/>
  <c r="N53" i="34" s="1"/>
  <c r="N54" i="34" s="1"/>
  <c r="N55" i="34" s="1"/>
  <c r="N56" i="34" s="1"/>
  <c r="N57" i="34" s="1"/>
  <c r="N58" i="34" s="1"/>
  <c r="N59" i="34" s="1"/>
  <c r="N60" i="34" s="1"/>
  <c r="N61" i="34" s="1"/>
  <c r="J9" i="34"/>
  <c r="I9" i="34"/>
  <c r="F9" i="34"/>
  <c r="E9" i="34"/>
  <c r="O90" i="9"/>
  <c r="O61" i="9"/>
  <c r="O60" i="9"/>
  <c r="O59" i="9"/>
  <c r="O58" i="9"/>
  <c r="O57" i="9"/>
  <c r="O14" i="9"/>
  <c r="O13" i="9"/>
  <c r="O12" i="9"/>
  <c r="O11" i="9"/>
  <c r="O10" i="9"/>
  <c r="O9" i="9"/>
  <c r="T33" i="9" l="1"/>
  <c r="S33" i="9"/>
  <c r="P97" i="9"/>
  <c r="U10" i="34"/>
  <c r="U12" i="34"/>
  <c r="U11" i="34"/>
  <c r="M10" i="34"/>
  <c r="U51" i="34"/>
  <c r="U49" i="34"/>
  <c r="U47" i="34"/>
  <c r="E60" i="34"/>
  <c r="E61" i="34" l="1"/>
  <c r="U61" i="34" s="1"/>
  <c r="U60" i="34"/>
  <c r="V10" i="34"/>
  <c r="M11" i="34"/>
  <c r="V11" i="34" l="1"/>
  <c r="M12" i="34"/>
  <c r="V12" i="34" l="1"/>
  <c r="M13" i="34"/>
  <c r="V13" i="34" l="1"/>
  <c r="M14" i="34"/>
  <c r="V14" i="34" l="1"/>
  <c r="M15" i="34"/>
  <c r="V15" i="34" l="1"/>
  <c r="M16" i="34"/>
  <c r="V16" i="34" l="1"/>
  <c r="M17" i="34"/>
  <c r="V17" i="34" l="1"/>
  <c r="M18" i="34"/>
  <c r="V18" i="34" l="1"/>
  <c r="M19" i="34"/>
  <c r="M20" i="34" l="1"/>
  <c r="V19" i="34"/>
  <c r="V20" i="34" l="1"/>
  <c r="M21" i="34"/>
  <c r="M22" i="34" l="1"/>
  <c r="V21" i="34"/>
  <c r="V22" i="34" l="1"/>
  <c r="M23" i="34"/>
  <c r="V23" i="34" l="1"/>
  <c r="M24" i="34"/>
  <c r="V24" i="34" l="1"/>
  <c r="M25" i="34"/>
  <c r="V25" i="34" l="1"/>
  <c r="M26" i="34"/>
  <c r="V26" i="34" l="1"/>
  <c r="M27" i="34"/>
  <c r="V27" i="34" l="1"/>
  <c r="M28" i="34"/>
  <c r="V28" i="34" l="1"/>
  <c r="M29" i="34"/>
  <c r="M30" i="34" l="1"/>
  <c r="V29" i="34"/>
  <c r="V30" i="34" l="1"/>
  <c r="M31" i="34"/>
  <c r="M32" i="34" l="1"/>
  <c r="V31" i="34"/>
  <c r="V32" i="34" l="1"/>
  <c r="M33" i="34"/>
  <c r="M34" i="34" l="1"/>
  <c r="V33" i="34"/>
  <c r="V34" i="34" l="1"/>
  <c r="M35" i="34"/>
  <c r="M36" i="34" l="1"/>
  <c r="V35" i="34"/>
  <c r="V36" i="34" l="1"/>
  <c r="M37" i="34"/>
  <c r="M38" i="34" l="1"/>
  <c r="V37" i="34"/>
  <c r="V38" i="34" l="1"/>
  <c r="M39" i="34"/>
  <c r="M40" i="34" l="1"/>
  <c r="V39" i="34"/>
  <c r="V40" i="34" l="1"/>
  <c r="M41" i="34"/>
  <c r="M42" i="34" l="1"/>
  <c r="V41" i="34"/>
  <c r="V42" i="34" l="1"/>
  <c r="M43" i="34"/>
  <c r="M44" i="34" l="1"/>
  <c r="V43" i="34"/>
  <c r="V44" i="34" l="1"/>
  <c r="M45" i="34"/>
  <c r="M46" i="34" l="1"/>
  <c r="V45" i="34"/>
  <c r="V46" i="34" l="1"/>
  <c r="M47" i="34"/>
  <c r="M48" i="34" l="1"/>
  <c r="V47" i="34"/>
  <c r="V48" i="34" l="1"/>
  <c r="M49" i="34"/>
  <c r="M50" i="34" l="1"/>
  <c r="V49" i="34"/>
  <c r="V50" i="34" l="1"/>
  <c r="M51" i="34"/>
  <c r="M52" i="34" l="1"/>
  <c r="V51" i="34"/>
  <c r="V52" i="34" l="1"/>
  <c r="M53" i="34"/>
  <c r="M54" i="34" l="1"/>
  <c r="V53" i="34"/>
  <c r="V54" i="34" l="1"/>
  <c r="M55" i="34"/>
  <c r="M56" i="34" l="1"/>
  <c r="V55" i="34"/>
  <c r="V56" i="34" l="1"/>
  <c r="M57" i="34"/>
  <c r="M58" i="34" l="1"/>
  <c r="V57" i="34"/>
  <c r="V58" i="34" l="1"/>
  <c r="M59" i="34"/>
  <c r="M60" i="34" l="1"/>
  <c r="V59" i="34"/>
  <c r="V60" i="34" l="1"/>
  <c r="M61" i="34"/>
  <c r="V61" i="34" s="1"/>
  <c r="O77" i="9" l="1"/>
  <c r="O87" i="9"/>
  <c r="N57" i="9" l="1"/>
  <c r="O83" i="9"/>
  <c r="O52" i="9"/>
  <c r="T61" i="33" l="1"/>
  <c r="S61" i="33"/>
  <c r="J61" i="33"/>
  <c r="I61" i="33"/>
  <c r="T60" i="33"/>
  <c r="S60" i="33"/>
  <c r="J60" i="33"/>
  <c r="I60" i="33"/>
  <c r="T59" i="33"/>
  <c r="S59" i="33"/>
  <c r="J59" i="33"/>
  <c r="I59" i="33"/>
  <c r="F59" i="33"/>
  <c r="F60" i="33" s="1"/>
  <c r="F61" i="33" s="1"/>
  <c r="E59" i="33"/>
  <c r="U59" i="33" s="1"/>
  <c r="T58" i="33"/>
  <c r="S58" i="33"/>
  <c r="J58" i="33"/>
  <c r="I58" i="33"/>
  <c r="F58" i="33"/>
  <c r="E58" i="33"/>
  <c r="U58" i="33" s="1"/>
  <c r="T57" i="33"/>
  <c r="S57" i="33"/>
  <c r="J57" i="33"/>
  <c r="I57" i="33"/>
  <c r="F57" i="33"/>
  <c r="E57" i="33"/>
  <c r="U57" i="33" s="1"/>
  <c r="T56" i="33"/>
  <c r="S56" i="33"/>
  <c r="J56" i="33"/>
  <c r="I56" i="33"/>
  <c r="F56" i="33"/>
  <c r="E56" i="33"/>
  <c r="U56" i="33" s="1"/>
  <c r="T55" i="33"/>
  <c r="S55" i="33"/>
  <c r="J55" i="33"/>
  <c r="I55" i="33"/>
  <c r="F55" i="33"/>
  <c r="E55" i="33"/>
  <c r="U55" i="33" s="1"/>
  <c r="T54" i="33"/>
  <c r="S54" i="33"/>
  <c r="J54" i="33"/>
  <c r="I54" i="33"/>
  <c r="F54" i="33"/>
  <c r="E54" i="33"/>
  <c r="U54" i="33" s="1"/>
  <c r="T53" i="33"/>
  <c r="S53" i="33"/>
  <c r="J53" i="33"/>
  <c r="I53" i="33"/>
  <c r="F53" i="33"/>
  <c r="E53" i="33"/>
  <c r="U53" i="33" s="1"/>
  <c r="T52" i="33"/>
  <c r="S52" i="33"/>
  <c r="J52" i="33"/>
  <c r="I52" i="33"/>
  <c r="F52" i="33"/>
  <c r="E52" i="33"/>
  <c r="U52" i="33" s="1"/>
  <c r="T51" i="33"/>
  <c r="S51" i="33"/>
  <c r="J51" i="33"/>
  <c r="I51" i="33"/>
  <c r="F51" i="33"/>
  <c r="E51" i="33"/>
  <c r="U51" i="33" s="1"/>
  <c r="T50" i="33"/>
  <c r="S50" i="33"/>
  <c r="J50" i="33"/>
  <c r="I50" i="33"/>
  <c r="F50" i="33"/>
  <c r="E50" i="33"/>
  <c r="U50" i="33" s="1"/>
  <c r="T49" i="33"/>
  <c r="S49" i="33"/>
  <c r="J49" i="33"/>
  <c r="I49" i="33"/>
  <c r="F49" i="33"/>
  <c r="E49" i="33"/>
  <c r="U49" i="33" s="1"/>
  <c r="T48" i="33"/>
  <c r="S48" i="33"/>
  <c r="J48" i="33"/>
  <c r="I48" i="33"/>
  <c r="F48" i="33"/>
  <c r="E48" i="33"/>
  <c r="U48" i="33" s="1"/>
  <c r="T47" i="33"/>
  <c r="S47" i="33"/>
  <c r="J47" i="33"/>
  <c r="I47" i="33"/>
  <c r="F47" i="33"/>
  <c r="E47" i="33"/>
  <c r="U47" i="33" s="1"/>
  <c r="T46" i="33"/>
  <c r="S46" i="33"/>
  <c r="J46" i="33"/>
  <c r="I46" i="33"/>
  <c r="F46" i="33"/>
  <c r="E46" i="33"/>
  <c r="U46" i="33" s="1"/>
  <c r="T45" i="33"/>
  <c r="S45" i="33"/>
  <c r="J45" i="33"/>
  <c r="I45" i="33"/>
  <c r="F45" i="33"/>
  <c r="E45" i="33"/>
  <c r="U45" i="33" s="1"/>
  <c r="T44" i="33"/>
  <c r="S44" i="33"/>
  <c r="J44" i="33"/>
  <c r="I44" i="33"/>
  <c r="F44" i="33"/>
  <c r="E44" i="33"/>
  <c r="U44" i="33" s="1"/>
  <c r="T43" i="33"/>
  <c r="S43" i="33"/>
  <c r="J43" i="33"/>
  <c r="I43" i="33"/>
  <c r="F43" i="33"/>
  <c r="E43" i="33"/>
  <c r="U43" i="33" s="1"/>
  <c r="T42" i="33"/>
  <c r="S42" i="33"/>
  <c r="J42" i="33"/>
  <c r="I42" i="33"/>
  <c r="F42" i="33"/>
  <c r="E42" i="33"/>
  <c r="U42" i="33" s="1"/>
  <c r="T41" i="33"/>
  <c r="S41" i="33"/>
  <c r="J41" i="33"/>
  <c r="I41" i="33"/>
  <c r="F41" i="33"/>
  <c r="E41" i="33"/>
  <c r="U41" i="33" s="1"/>
  <c r="T40" i="33"/>
  <c r="S40" i="33"/>
  <c r="J40" i="33"/>
  <c r="I40" i="33"/>
  <c r="F40" i="33"/>
  <c r="E40" i="33"/>
  <c r="U40" i="33" s="1"/>
  <c r="T39" i="33"/>
  <c r="S39" i="33"/>
  <c r="J39" i="33"/>
  <c r="I39" i="33"/>
  <c r="F39" i="33"/>
  <c r="E39" i="33"/>
  <c r="U39" i="33" s="1"/>
  <c r="T38" i="33"/>
  <c r="S38" i="33"/>
  <c r="J38" i="33"/>
  <c r="I38" i="33"/>
  <c r="F38" i="33"/>
  <c r="E38" i="33"/>
  <c r="U38" i="33" s="1"/>
  <c r="T37" i="33"/>
  <c r="S37" i="33"/>
  <c r="J37" i="33"/>
  <c r="I37" i="33"/>
  <c r="F37" i="33"/>
  <c r="E37" i="33"/>
  <c r="U37" i="33" s="1"/>
  <c r="T36" i="33"/>
  <c r="S36" i="33"/>
  <c r="J36" i="33"/>
  <c r="I36" i="33"/>
  <c r="F36" i="33"/>
  <c r="E36" i="33"/>
  <c r="U36" i="33" s="1"/>
  <c r="T35" i="33"/>
  <c r="S35" i="33"/>
  <c r="J35" i="33"/>
  <c r="I35" i="33"/>
  <c r="F35" i="33"/>
  <c r="E35" i="33"/>
  <c r="U35" i="33" s="1"/>
  <c r="T34" i="33"/>
  <c r="S34" i="33"/>
  <c r="J34" i="33"/>
  <c r="I34" i="33"/>
  <c r="F34" i="33"/>
  <c r="E34" i="33"/>
  <c r="U34" i="33" s="1"/>
  <c r="T33" i="33"/>
  <c r="S33" i="33"/>
  <c r="J33" i="33"/>
  <c r="I33" i="33"/>
  <c r="F33" i="33"/>
  <c r="E33" i="33"/>
  <c r="U33" i="33" s="1"/>
  <c r="T32" i="33"/>
  <c r="S32" i="33"/>
  <c r="J32" i="33"/>
  <c r="I32" i="33"/>
  <c r="F32" i="33"/>
  <c r="E32" i="33"/>
  <c r="U32" i="33" s="1"/>
  <c r="T31" i="33"/>
  <c r="S31" i="33"/>
  <c r="J31" i="33"/>
  <c r="I31" i="33"/>
  <c r="F31" i="33"/>
  <c r="E31" i="33"/>
  <c r="U31" i="33" s="1"/>
  <c r="T30" i="33"/>
  <c r="S30" i="33"/>
  <c r="J30" i="33"/>
  <c r="I30" i="33"/>
  <c r="F30" i="33"/>
  <c r="E30" i="33"/>
  <c r="U30" i="33" s="1"/>
  <c r="T29" i="33"/>
  <c r="S29" i="33"/>
  <c r="J29" i="33"/>
  <c r="I29" i="33"/>
  <c r="F29" i="33"/>
  <c r="U29" i="33" s="1"/>
  <c r="E29" i="33"/>
  <c r="T28" i="33"/>
  <c r="J28" i="33"/>
  <c r="I28" i="33"/>
  <c r="F28" i="33"/>
  <c r="E28" i="33"/>
  <c r="U28" i="33" s="1"/>
  <c r="U27" i="33"/>
  <c r="T27" i="33"/>
  <c r="S27" i="33"/>
  <c r="J27" i="33"/>
  <c r="I27" i="33"/>
  <c r="F27" i="33"/>
  <c r="E27" i="33"/>
  <c r="T26" i="33"/>
  <c r="S26" i="33"/>
  <c r="J26" i="33"/>
  <c r="I26" i="33"/>
  <c r="F26" i="33"/>
  <c r="E26" i="33"/>
  <c r="U26" i="33" s="1"/>
  <c r="U25" i="33"/>
  <c r="T25" i="33"/>
  <c r="S25" i="33"/>
  <c r="J25" i="33"/>
  <c r="I25" i="33"/>
  <c r="F25" i="33"/>
  <c r="E25" i="33"/>
  <c r="T24" i="33"/>
  <c r="S24" i="33"/>
  <c r="J24" i="33"/>
  <c r="I24" i="33"/>
  <c r="F24" i="33"/>
  <c r="E24" i="33"/>
  <c r="U24" i="33" s="1"/>
  <c r="U23" i="33"/>
  <c r="T23" i="33"/>
  <c r="S23" i="33"/>
  <c r="J23" i="33"/>
  <c r="I23" i="33"/>
  <c r="F23" i="33"/>
  <c r="E23" i="33"/>
  <c r="T22" i="33"/>
  <c r="S22" i="33"/>
  <c r="J22" i="33"/>
  <c r="I22" i="33"/>
  <c r="F22" i="33"/>
  <c r="E22" i="33"/>
  <c r="U22" i="33" s="1"/>
  <c r="U21" i="33"/>
  <c r="T21" i="33"/>
  <c r="S21" i="33"/>
  <c r="J21" i="33"/>
  <c r="I21" i="33"/>
  <c r="F21" i="33"/>
  <c r="E21" i="33"/>
  <c r="T20" i="33"/>
  <c r="S20" i="33"/>
  <c r="J20" i="33"/>
  <c r="I20" i="33"/>
  <c r="F20" i="33"/>
  <c r="E20" i="33"/>
  <c r="U20" i="33" s="1"/>
  <c r="U19" i="33"/>
  <c r="T19" i="33"/>
  <c r="S19" i="33"/>
  <c r="J19" i="33"/>
  <c r="I19" i="33"/>
  <c r="F19" i="33"/>
  <c r="E19" i="33"/>
  <c r="T18" i="33"/>
  <c r="S18" i="33"/>
  <c r="J18" i="33"/>
  <c r="I18" i="33"/>
  <c r="F18" i="33"/>
  <c r="E18" i="33"/>
  <c r="U18" i="33" s="1"/>
  <c r="U17" i="33"/>
  <c r="T17" i="33"/>
  <c r="S17" i="33"/>
  <c r="R17" i="33"/>
  <c r="R18" i="33" s="1"/>
  <c r="R19" i="33" s="1"/>
  <c r="R20" i="33" s="1"/>
  <c r="R21" i="33" s="1"/>
  <c r="R22" i="33" s="1"/>
  <c r="R23" i="33" s="1"/>
  <c r="R24" i="33" s="1"/>
  <c r="R25" i="33" s="1"/>
  <c r="R26" i="33" s="1"/>
  <c r="R27" i="33" s="1"/>
  <c r="R28" i="33" s="1"/>
  <c r="R29" i="33" s="1"/>
  <c r="Q17" i="33"/>
  <c r="Q18" i="33" s="1"/>
  <c r="Q19" i="33" s="1"/>
  <c r="Q20" i="33" s="1"/>
  <c r="Q21" i="33" s="1"/>
  <c r="Q22" i="33" s="1"/>
  <c r="Q23" i="33" s="1"/>
  <c r="Q24" i="33" s="1"/>
  <c r="Q25" i="33" s="1"/>
  <c r="Q26" i="33" s="1"/>
  <c r="Q27" i="33" s="1"/>
  <c r="Q28" i="33" s="1"/>
  <c r="Q29" i="33" s="1"/>
  <c r="J17" i="33"/>
  <c r="I17" i="33"/>
  <c r="F17" i="33"/>
  <c r="E17" i="33"/>
  <c r="T16" i="33"/>
  <c r="S16" i="33"/>
  <c r="J16" i="33"/>
  <c r="I16" i="33"/>
  <c r="F16" i="33"/>
  <c r="E16" i="33"/>
  <c r="U16" i="33" s="1"/>
  <c r="T15" i="33"/>
  <c r="S15" i="33"/>
  <c r="J15" i="33"/>
  <c r="I15" i="33"/>
  <c r="F15" i="33"/>
  <c r="E15" i="33"/>
  <c r="U15" i="33" s="1"/>
  <c r="T14" i="33"/>
  <c r="S14" i="33"/>
  <c r="J14" i="33"/>
  <c r="I14" i="33"/>
  <c r="F14" i="33"/>
  <c r="E14" i="33"/>
  <c r="U14" i="33" s="1"/>
  <c r="T13" i="33"/>
  <c r="S13" i="33"/>
  <c r="J13" i="33"/>
  <c r="I13" i="33"/>
  <c r="F13" i="33"/>
  <c r="E13" i="33"/>
  <c r="U13" i="33" s="1"/>
  <c r="T12" i="33"/>
  <c r="S12" i="33"/>
  <c r="J12" i="33"/>
  <c r="I12" i="33"/>
  <c r="F12" i="33"/>
  <c r="E12" i="33"/>
  <c r="U12" i="33" s="1"/>
  <c r="T11" i="33"/>
  <c r="S11" i="33"/>
  <c r="J11" i="33"/>
  <c r="I11" i="33"/>
  <c r="F11" i="33"/>
  <c r="E11" i="33"/>
  <c r="U11" i="33" s="1"/>
  <c r="T10" i="33"/>
  <c r="S10" i="33"/>
  <c r="J10" i="33"/>
  <c r="I10" i="33"/>
  <c r="F10" i="33"/>
  <c r="E10" i="33"/>
  <c r="U10" i="33" s="1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A10" i="33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T9" i="33"/>
  <c r="S9" i="33"/>
  <c r="N9" i="33"/>
  <c r="N10" i="33" s="1"/>
  <c r="N11" i="33" s="1"/>
  <c r="N12" i="33" s="1"/>
  <c r="N13" i="33" s="1"/>
  <c r="N14" i="33" s="1"/>
  <c r="N15" i="33" s="1"/>
  <c r="N16" i="33" s="1"/>
  <c r="N17" i="33" s="1"/>
  <c r="N18" i="33" s="1"/>
  <c r="N19" i="33" s="1"/>
  <c r="N20" i="33" s="1"/>
  <c r="N21" i="33" s="1"/>
  <c r="N22" i="33" s="1"/>
  <c r="M9" i="33"/>
  <c r="J9" i="33"/>
  <c r="I9" i="33"/>
  <c r="F9" i="33"/>
  <c r="E9" i="33"/>
  <c r="U9" i="33" s="1"/>
  <c r="N90" i="9"/>
  <c r="N61" i="9"/>
  <c r="N60" i="9"/>
  <c r="N59" i="9"/>
  <c r="N58" i="9"/>
  <c r="N14" i="9"/>
  <c r="N13" i="9"/>
  <c r="N12" i="9"/>
  <c r="N11" i="9"/>
  <c r="N10" i="9"/>
  <c r="N9" i="9"/>
  <c r="N87" i="9"/>
  <c r="N23" i="33" l="1"/>
  <c r="N24" i="33" s="1"/>
  <c r="O97" i="9"/>
  <c r="O53" i="9"/>
  <c r="V9" i="33"/>
  <c r="E60" i="33"/>
  <c r="M10" i="33"/>
  <c r="N45" i="9"/>
  <c r="N25" i="33" l="1"/>
  <c r="N26" i="33" s="1"/>
  <c r="V10" i="33"/>
  <c r="M11" i="33"/>
  <c r="E61" i="33"/>
  <c r="U61" i="33" s="1"/>
  <c r="U60" i="33"/>
  <c r="N70" i="9"/>
  <c r="N27" i="33" l="1"/>
  <c r="N28" i="33" s="1"/>
  <c r="V11" i="33"/>
  <c r="M12" i="33"/>
  <c r="N64" i="9"/>
  <c r="N83" i="9"/>
  <c r="N79" i="9"/>
  <c r="N73" i="9"/>
  <c r="N26" i="9"/>
  <c r="N29" i="33" l="1"/>
  <c r="N30" i="33" s="1"/>
  <c r="N31" i="33" s="1"/>
  <c r="N32" i="33" s="1"/>
  <c r="V12" i="33"/>
  <c r="M13" i="33"/>
  <c r="N95" i="9"/>
  <c r="N63" i="9"/>
  <c r="N27" i="9"/>
  <c r="N62" i="9"/>
  <c r="N47" i="9"/>
  <c r="N33" i="33" l="1"/>
  <c r="V13" i="33"/>
  <c r="M14" i="33"/>
  <c r="N97" i="9"/>
  <c r="N34" i="33" l="1"/>
  <c r="N35" i="33" s="1"/>
  <c r="N36" i="33" s="1"/>
  <c r="V14" i="33"/>
  <c r="M15" i="33"/>
  <c r="M90" i="9"/>
  <c r="M73" i="9"/>
  <c r="M62" i="9"/>
  <c r="M61" i="9"/>
  <c r="M60" i="9"/>
  <c r="M59" i="9"/>
  <c r="M58" i="9"/>
  <c r="M57" i="9"/>
  <c r="M14" i="9"/>
  <c r="M13" i="9"/>
  <c r="M12" i="9"/>
  <c r="M11" i="9"/>
  <c r="M10" i="9"/>
  <c r="M9" i="9"/>
  <c r="M93" i="9"/>
  <c r="M35" i="9"/>
  <c r="M28" i="9"/>
  <c r="M27" i="9"/>
  <c r="M64" i="9"/>
  <c r="M88" i="9"/>
  <c r="M47" i="9"/>
  <c r="M46" i="9"/>
  <c r="M15" i="9"/>
  <c r="M63" i="9"/>
  <c r="M83" i="9"/>
  <c r="M65" i="9"/>
  <c r="M95" i="9"/>
  <c r="M44" i="9"/>
  <c r="M33" i="9"/>
  <c r="N37" i="33" l="1"/>
  <c r="N38" i="33" s="1"/>
  <c r="N39" i="33" s="1"/>
  <c r="V15" i="33"/>
  <c r="M16" i="33"/>
  <c r="N53" i="9"/>
  <c r="M53" i="9"/>
  <c r="N40" i="33" l="1"/>
  <c r="N41" i="33" s="1"/>
  <c r="N42" i="33" s="1"/>
  <c r="N43" i="33" s="1"/>
  <c r="N44" i="33" s="1"/>
  <c r="V16" i="33"/>
  <c r="M17" i="33"/>
  <c r="N45" i="33" l="1"/>
  <c r="N46" i="33" s="1"/>
  <c r="M18" i="33"/>
  <c r="V17" i="33"/>
  <c r="M97" i="9"/>
  <c r="L95" i="9"/>
  <c r="L65" i="9"/>
  <c r="L62" i="9"/>
  <c r="L61" i="9"/>
  <c r="L60" i="9"/>
  <c r="L59" i="9"/>
  <c r="L58" i="9"/>
  <c r="L57" i="9"/>
  <c r="L35" i="9"/>
  <c r="L16" i="9"/>
  <c r="L14" i="9"/>
  <c r="L13" i="9"/>
  <c r="L11" i="9"/>
  <c r="L10" i="9"/>
  <c r="L9" i="9"/>
  <c r="S35" i="9"/>
  <c r="L73" i="9"/>
  <c r="L63" i="9"/>
  <c r="B12" i="8"/>
  <c r="L83" i="9"/>
  <c r="I63" i="9"/>
  <c r="K63" i="9"/>
  <c r="L88" i="9"/>
  <c r="L70" i="9"/>
  <c r="L12" i="9"/>
  <c r="G54" i="30"/>
  <c r="N55" i="30"/>
  <c r="F55" i="30"/>
  <c r="E55" i="30"/>
  <c r="D55" i="30"/>
  <c r="C55" i="30"/>
  <c r="B55" i="30"/>
  <c r="I3" i="30"/>
  <c r="Q3" i="30"/>
  <c r="H3" i="30"/>
  <c r="H4" i="30" s="1"/>
  <c r="P3" i="30"/>
  <c r="T2" i="30"/>
  <c r="Q2" i="30"/>
  <c r="L2" i="30"/>
  <c r="L3" i="30" s="1"/>
  <c r="K2" i="30"/>
  <c r="S2" i="30" s="1"/>
  <c r="J2" i="30"/>
  <c r="R2" i="30" s="1"/>
  <c r="I2" i="30"/>
  <c r="H2" i="30"/>
  <c r="P2" i="30" s="1"/>
  <c r="G2" i="30"/>
  <c r="M2" i="30" s="1"/>
  <c r="U2" i="30" s="1"/>
  <c r="I4" i="30"/>
  <c r="Q4" i="30"/>
  <c r="I5" i="30"/>
  <c r="L90" i="9"/>
  <c r="L93" i="9"/>
  <c r="L89" i="9"/>
  <c r="K95" i="9"/>
  <c r="K90" i="9"/>
  <c r="K83" i="9"/>
  <c r="K80" i="9"/>
  <c r="K73" i="9"/>
  <c r="K62" i="9"/>
  <c r="K61" i="9"/>
  <c r="K60" i="9"/>
  <c r="K59" i="9"/>
  <c r="K58" i="9"/>
  <c r="K57" i="9"/>
  <c r="K35" i="9"/>
  <c r="K25" i="9"/>
  <c r="K14" i="9"/>
  <c r="K13" i="9"/>
  <c r="K12" i="9"/>
  <c r="K11" i="9"/>
  <c r="K10" i="9"/>
  <c r="K9" i="9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4" i="30"/>
  <c r="G3" i="30"/>
  <c r="J9" i="9"/>
  <c r="J10" i="9"/>
  <c r="J11" i="9"/>
  <c r="J12" i="9"/>
  <c r="J13" i="9"/>
  <c r="J14" i="9"/>
  <c r="J25" i="9"/>
  <c r="J36" i="9"/>
  <c r="J43" i="9"/>
  <c r="J50" i="9"/>
  <c r="J90" i="9"/>
  <c r="J61" i="9"/>
  <c r="J60" i="9"/>
  <c r="J59" i="9"/>
  <c r="J58" i="9"/>
  <c r="J57" i="9"/>
  <c r="J73" i="9"/>
  <c r="J74" i="9"/>
  <c r="J65" i="9"/>
  <c r="I95" i="9"/>
  <c r="I93" i="9"/>
  <c r="I74" i="9"/>
  <c r="I73" i="9"/>
  <c r="I70" i="9"/>
  <c r="I62" i="9"/>
  <c r="I61" i="9"/>
  <c r="I60" i="9"/>
  <c r="I59" i="9"/>
  <c r="I58" i="9"/>
  <c r="I57" i="9"/>
  <c r="I41" i="9"/>
  <c r="I35" i="9"/>
  <c r="I25" i="9"/>
  <c r="I14" i="9"/>
  <c r="I13" i="9"/>
  <c r="I11" i="9"/>
  <c r="I10" i="9"/>
  <c r="I9" i="9"/>
  <c r="H95" i="9"/>
  <c r="H61" i="9"/>
  <c r="H60" i="9"/>
  <c r="H59" i="9"/>
  <c r="H58" i="9"/>
  <c r="H14" i="9"/>
  <c r="H13" i="9"/>
  <c r="H11" i="9"/>
  <c r="H10" i="9"/>
  <c r="H9" i="9"/>
  <c r="H82" i="9"/>
  <c r="H73" i="9"/>
  <c r="H72" i="9"/>
  <c r="H65" i="9"/>
  <c r="H12" i="9"/>
  <c r="H57" i="9"/>
  <c r="H41" i="9"/>
  <c r="H36" i="9"/>
  <c r="H51" i="9"/>
  <c r="H90" i="9"/>
  <c r="H62" i="9"/>
  <c r="H70" i="9"/>
  <c r="H63" i="9"/>
  <c r="H27" i="9"/>
  <c r="H50" i="9"/>
  <c r="B8" i="8"/>
  <c r="B9" i="8"/>
  <c r="B10" i="8"/>
  <c r="B17" i="8"/>
  <c r="B18" i="8"/>
  <c r="B22" i="8"/>
  <c r="B20" i="8"/>
  <c r="B21" i="8"/>
  <c r="G90" i="9"/>
  <c r="G87" i="9"/>
  <c r="G72" i="9"/>
  <c r="G61" i="9"/>
  <c r="G60" i="9"/>
  <c r="G59" i="9"/>
  <c r="G58" i="9"/>
  <c r="G57" i="9"/>
  <c r="G52" i="9"/>
  <c r="G43" i="9"/>
  <c r="G31" i="9"/>
  <c r="G14" i="9"/>
  <c r="G13" i="9"/>
  <c r="G12" i="9"/>
  <c r="G11" i="9"/>
  <c r="G10" i="9"/>
  <c r="G9" i="9"/>
  <c r="F62" i="24"/>
  <c r="E62" i="24"/>
  <c r="D62" i="24"/>
  <c r="C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62" i="24"/>
  <c r="E62" i="23"/>
  <c r="D62" i="23"/>
  <c r="C62" i="23"/>
  <c r="F61" i="23"/>
  <c r="F60" i="23"/>
  <c r="F59" i="23"/>
  <c r="F58" i="23"/>
  <c r="F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63" i="28"/>
  <c r="E63" i="28"/>
  <c r="D63" i="28"/>
  <c r="C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H14" i="28"/>
  <c r="H15" i="28"/>
  <c r="H16" i="28"/>
  <c r="H17" i="28"/>
  <c r="G13" i="28"/>
  <c r="G12" i="28"/>
  <c r="G11" i="28"/>
  <c r="H11" i="28"/>
  <c r="H12" i="28"/>
  <c r="H13" i="28"/>
  <c r="I63" i="27"/>
  <c r="H63" i="27"/>
  <c r="G63" i="27"/>
  <c r="F63" i="27"/>
  <c r="E63" i="27"/>
  <c r="D63" i="27"/>
  <c r="C63" i="27"/>
  <c r="J62" i="27"/>
  <c r="J61" i="27"/>
  <c r="J60" i="27"/>
  <c r="J59" i="27"/>
  <c r="J58" i="27"/>
  <c r="J57" i="27"/>
  <c r="J56" i="27"/>
  <c r="J55" i="27"/>
  <c r="J54" i="27"/>
  <c r="J53" i="27"/>
  <c r="J52" i="27"/>
  <c r="J51" i="27"/>
  <c r="J50" i="27"/>
  <c r="J49" i="27"/>
  <c r="J48" i="27"/>
  <c r="J47" i="27"/>
  <c r="J46" i="27"/>
  <c r="J45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F63" i="26"/>
  <c r="E63" i="26"/>
  <c r="D63" i="26"/>
  <c r="C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H11" i="26"/>
  <c r="H12" i="26"/>
  <c r="H13" i="26"/>
  <c r="F61" i="9"/>
  <c r="F60" i="9"/>
  <c r="F59" i="9"/>
  <c r="F58" i="9"/>
  <c r="F57" i="9"/>
  <c r="F14" i="9"/>
  <c r="F13" i="9"/>
  <c r="F12" i="9"/>
  <c r="F11" i="9"/>
  <c r="F10" i="9"/>
  <c r="F9" i="9"/>
  <c r="F90" i="9"/>
  <c r="F96" i="9"/>
  <c r="F71" i="9"/>
  <c r="F72" i="9"/>
  <c r="D90" i="9"/>
  <c r="D78" i="9"/>
  <c r="D77" i="9"/>
  <c r="D72" i="9"/>
  <c r="D68" i="9"/>
  <c r="D63" i="9"/>
  <c r="D62" i="9"/>
  <c r="D61" i="9"/>
  <c r="D60" i="9"/>
  <c r="D59" i="9"/>
  <c r="D58" i="9"/>
  <c r="D57" i="9"/>
  <c r="E28" i="9"/>
  <c r="E14" i="9"/>
  <c r="E13" i="9"/>
  <c r="E12" i="9"/>
  <c r="E11" i="9"/>
  <c r="E10" i="9"/>
  <c r="E9" i="9"/>
  <c r="D15" i="9"/>
  <c r="D14" i="9"/>
  <c r="D13" i="9"/>
  <c r="D12" i="9"/>
  <c r="D11" i="9"/>
  <c r="D10" i="9"/>
  <c r="D9" i="9"/>
  <c r="B97" i="9"/>
  <c r="B53" i="9"/>
  <c r="C62" i="9"/>
  <c r="C59" i="9"/>
  <c r="C60" i="9"/>
  <c r="C58" i="9"/>
  <c r="C77" i="9"/>
  <c r="C57" i="9"/>
  <c r="C72" i="9"/>
  <c r="C63" i="9"/>
  <c r="C61" i="9"/>
  <c r="C12" i="9"/>
  <c r="C9" i="9"/>
  <c r="C13" i="9"/>
  <c r="C11" i="9"/>
  <c r="C35" i="9"/>
  <c r="C32" i="9"/>
  <c r="C15" i="9"/>
  <c r="C10" i="9"/>
  <c r="C28" i="9"/>
  <c r="C20" i="9"/>
  <c r="C14" i="9"/>
  <c r="U64" i="9"/>
  <c r="T64" i="9"/>
  <c r="S64" i="9"/>
  <c r="E97" i="9"/>
  <c r="G10" i="23"/>
  <c r="K11" i="27"/>
  <c r="K12" i="27"/>
  <c r="G63" i="28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G11" i="23"/>
  <c r="G12" i="23"/>
  <c r="G13" i="23"/>
  <c r="G14" i="23"/>
  <c r="F62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G63" i="26"/>
  <c r="J63" i="27"/>
  <c r="T55" i="9" l="1"/>
  <c r="T26" i="9"/>
  <c r="S26" i="9"/>
  <c r="H5" i="30"/>
  <c r="K3" i="30"/>
  <c r="T3" i="30"/>
  <c r="L4" i="30"/>
  <c r="P4" i="30"/>
  <c r="J3" i="30"/>
  <c r="Q5" i="30"/>
  <c r="I6" i="30"/>
  <c r="N2" i="30"/>
  <c r="V2" i="30" s="1"/>
  <c r="N47" i="33"/>
  <c r="N48" i="33" s="1"/>
  <c r="N49" i="33" s="1"/>
  <c r="N50" i="33" s="1"/>
  <c r="V18" i="33"/>
  <c r="M19" i="33"/>
  <c r="K53" i="9"/>
  <c r="C97" i="9"/>
  <c r="D53" i="9"/>
  <c r="I97" i="9"/>
  <c r="J97" i="9"/>
  <c r="I53" i="9"/>
  <c r="G97" i="9"/>
  <c r="J53" i="9"/>
  <c r="G53" i="9"/>
  <c r="H53" i="9"/>
  <c r="U33" i="9" s="1"/>
  <c r="U34" i="9" s="1"/>
  <c r="B98" i="9"/>
  <c r="D97" i="9"/>
  <c r="F53" i="9"/>
  <c r="F97" i="9"/>
  <c r="U53" i="9" s="1"/>
  <c r="U54" i="9" s="1"/>
  <c r="H97" i="9"/>
  <c r="T53" i="9" s="1"/>
  <c r="T54" i="9" s="1"/>
  <c r="K97" i="9"/>
  <c r="C53" i="9"/>
  <c r="E53" i="9"/>
  <c r="E98" i="9" s="1"/>
  <c r="M3" i="30"/>
  <c r="M4" i="30" s="1"/>
  <c r="B4" i="25"/>
  <c r="B5" i="25" s="1"/>
  <c r="B4" i="26"/>
  <c r="B5" i="26" s="1"/>
  <c r="B3" i="24"/>
  <c r="B4" i="24" s="1"/>
  <c r="B3" i="23"/>
  <c r="B4" i="23" s="1"/>
  <c r="B4" i="28"/>
  <c r="B5" i="28" s="1"/>
  <c r="B4" i="27"/>
  <c r="B5" i="27" s="1"/>
  <c r="U9" i="9"/>
  <c r="E16" i="8"/>
  <c r="E15" i="8"/>
  <c r="E8" i="8"/>
  <c r="S17" i="9"/>
  <c r="S19" i="9" s="1"/>
  <c r="U67" i="9"/>
  <c r="U18" i="9"/>
  <c r="U35" i="9"/>
  <c r="T67" i="9"/>
  <c r="U55" i="9"/>
  <c r="S55" i="9"/>
  <c r="B24" i="8"/>
  <c r="E7" i="8"/>
  <c r="U8" i="9"/>
  <c r="T12" i="9"/>
  <c r="U11" i="9"/>
  <c r="T17" i="9"/>
  <c r="L97" i="9"/>
  <c r="L53" i="9"/>
  <c r="U10" i="9"/>
  <c r="S12" i="9"/>
  <c r="S67" i="9"/>
  <c r="T35" i="9"/>
  <c r="T56" i="9" l="1"/>
  <c r="T34" i="9"/>
  <c r="T36" i="9" s="1"/>
  <c r="K4" i="30"/>
  <c r="S3" i="30"/>
  <c r="J4" i="30"/>
  <c r="R3" i="30"/>
  <c r="N3" i="30"/>
  <c r="V3" i="30" s="1"/>
  <c r="L5" i="30"/>
  <c r="T4" i="30"/>
  <c r="Q6" i="30"/>
  <c r="I7" i="30"/>
  <c r="H6" i="30"/>
  <c r="P5" i="30"/>
  <c r="N51" i="33"/>
  <c r="N52" i="33" s="1"/>
  <c r="N53" i="33" s="1"/>
  <c r="N54" i="33" s="1"/>
  <c r="N55" i="33" s="1"/>
  <c r="S53" i="9"/>
  <c r="S54" i="9" s="1"/>
  <c r="S56" i="9" s="1"/>
  <c r="S27" i="9"/>
  <c r="T27" i="9"/>
  <c r="S34" i="9"/>
  <c r="S36" i="9" s="1"/>
  <c r="V19" i="33"/>
  <c r="M20" i="33"/>
  <c r="D98" i="9"/>
  <c r="K98" i="9"/>
  <c r="S65" i="9"/>
  <c r="S66" i="9" s="1"/>
  <c r="S68" i="9" s="1"/>
  <c r="I98" i="9"/>
  <c r="U36" i="9"/>
  <c r="C98" i="9"/>
  <c r="J98" i="9"/>
  <c r="G98" i="9"/>
  <c r="F98" i="9"/>
  <c r="U56" i="9"/>
  <c r="H98" i="9"/>
  <c r="U26" i="9" s="1"/>
  <c r="E9" i="8"/>
  <c r="U3" i="30"/>
  <c r="M5" i="30"/>
  <c r="U4" i="30"/>
  <c r="E17" i="8"/>
  <c r="T19" i="9"/>
  <c r="U19" i="9" s="1"/>
  <c r="U17" i="9"/>
  <c r="U12" i="9"/>
  <c r="T5" i="30" l="1"/>
  <c r="L6" i="30"/>
  <c r="R4" i="30"/>
  <c r="J5" i="30"/>
  <c r="N4" i="30"/>
  <c r="V4" i="30" s="1"/>
  <c r="H7" i="30"/>
  <c r="P6" i="30"/>
  <c r="Q7" i="30"/>
  <c r="I8" i="30"/>
  <c r="S4" i="30"/>
  <c r="K5" i="30"/>
  <c r="N56" i="33"/>
  <c r="U27" i="9"/>
  <c r="V20" i="33"/>
  <c r="M21" i="33"/>
  <c r="T65" i="9"/>
  <c r="T66" i="9" s="1"/>
  <c r="T68" i="9" s="1"/>
  <c r="M6" i="30"/>
  <c r="U5" i="30"/>
  <c r="U65" i="9" l="1"/>
  <c r="U66" i="9" s="1"/>
  <c r="U68" i="9" s="1"/>
  <c r="P7" i="30"/>
  <c r="H8" i="30"/>
  <c r="J6" i="30"/>
  <c r="R5" i="30"/>
  <c r="N5" i="30"/>
  <c r="V5" i="30" s="1"/>
  <c r="S5" i="30"/>
  <c r="K6" i="30"/>
  <c r="I9" i="30"/>
  <c r="Q8" i="30"/>
  <c r="L7" i="30"/>
  <c r="T6" i="30"/>
  <c r="N57" i="33"/>
  <c r="V21" i="33"/>
  <c r="M22" i="33"/>
  <c r="U6" i="30"/>
  <c r="M7" i="30"/>
  <c r="S6" i="30" l="1"/>
  <c r="K7" i="30"/>
  <c r="R6" i="30"/>
  <c r="J7" i="30"/>
  <c r="N6" i="30"/>
  <c r="V6" i="30" s="1"/>
  <c r="T7" i="30"/>
  <c r="L8" i="30"/>
  <c r="H9" i="30"/>
  <c r="P8" i="30"/>
  <c r="Q9" i="30"/>
  <c r="I10" i="30"/>
  <c r="N58" i="33"/>
  <c r="V22" i="33"/>
  <c r="M23" i="33"/>
  <c r="M8" i="30"/>
  <c r="U7" i="30"/>
  <c r="P9" i="30" l="1"/>
  <c r="H10" i="30"/>
  <c r="J8" i="30"/>
  <c r="R7" i="30"/>
  <c r="N7" i="30"/>
  <c r="V7" i="30" s="1"/>
  <c r="L9" i="30"/>
  <c r="T8" i="30"/>
  <c r="Q10" i="30"/>
  <c r="I11" i="30"/>
  <c r="S7" i="30"/>
  <c r="K8" i="30"/>
  <c r="N59" i="33"/>
  <c r="V23" i="33"/>
  <c r="M24" i="33"/>
  <c r="U8" i="30"/>
  <c r="M9" i="30"/>
  <c r="S8" i="30" l="1"/>
  <c r="K9" i="30"/>
  <c r="T9" i="30"/>
  <c r="L10" i="30"/>
  <c r="R8" i="30"/>
  <c r="J9" i="30"/>
  <c r="N8" i="30"/>
  <c r="V8" i="30" s="1"/>
  <c r="Q11" i="30"/>
  <c r="I12" i="30"/>
  <c r="H11" i="30"/>
  <c r="P10" i="30"/>
  <c r="N60" i="33"/>
  <c r="N61" i="33" s="1"/>
  <c r="V24" i="33"/>
  <c r="M25" i="33"/>
  <c r="M10" i="30"/>
  <c r="U9" i="30"/>
  <c r="P11" i="30" l="1"/>
  <c r="H12" i="30"/>
  <c r="J10" i="30"/>
  <c r="R9" i="30"/>
  <c r="N9" i="30"/>
  <c r="V9" i="30" s="1"/>
  <c r="L11" i="30"/>
  <c r="T10" i="30"/>
  <c r="S9" i="30"/>
  <c r="K10" i="30"/>
  <c r="Q12" i="30"/>
  <c r="I13" i="30"/>
  <c r="V25" i="33"/>
  <c r="M26" i="33"/>
  <c r="M11" i="30"/>
  <c r="U10" i="30"/>
  <c r="Q13" i="30" l="1"/>
  <c r="I14" i="30"/>
  <c r="J11" i="30"/>
  <c r="R10" i="30"/>
  <c r="N10" i="30"/>
  <c r="V10" i="30" s="1"/>
  <c r="S10" i="30"/>
  <c r="K11" i="30"/>
  <c r="T11" i="30"/>
  <c r="L12" i="30"/>
  <c r="H13" i="30"/>
  <c r="P12" i="30"/>
  <c r="V26" i="33"/>
  <c r="M27" i="33"/>
  <c r="U11" i="30"/>
  <c r="M12" i="30"/>
  <c r="J12" i="30" l="1"/>
  <c r="R11" i="30"/>
  <c r="N11" i="30"/>
  <c r="V11" i="30" s="1"/>
  <c r="S11" i="30"/>
  <c r="K12" i="30"/>
  <c r="P13" i="30"/>
  <c r="H14" i="30"/>
  <c r="Q14" i="30"/>
  <c r="I15" i="30"/>
  <c r="L13" i="30"/>
  <c r="T12" i="30"/>
  <c r="V27" i="33"/>
  <c r="M28" i="33"/>
  <c r="U12" i="30"/>
  <c r="M13" i="30"/>
  <c r="H15" i="30" l="1"/>
  <c r="P14" i="30"/>
  <c r="S12" i="30"/>
  <c r="K13" i="30"/>
  <c r="T13" i="30"/>
  <c r="L14" i="30"/>
  <c r="Q15" i="30"/>
  <c r="I16" i="30"/>
  <c r="J13" i="30"/>
  <c r="R12" i="30"/>
  <c r="N12" i="30"/>
  <c r="V12" i="30" s="1"/>
  <c r="M29" i="33"/>
  <c r="V28" i="33"/>
  <c r="M14" i="30"/>
  <c r="U13" i="30"/>
  <c r="L15" i="30" l="1"/>
  <c r="T14" i="30"/>
  <c r="S13" i="30"/>
  <c r="K14" i="30"/>
  <c r="J14" i="30"/>
  <c r="R13" i="30"/>
  <c r="N13" i="30"/>
  <c r="V13" i="30" s="1"/>
  <c r="Q16" i="30"/>
  <c r="I17" i="30"/>
  <c r="P15" i="30"/>
  <c r="H16" i="30"/>
  <c r="M30" i="33"/>
  <c r="V29" i="33"/>
  <c r="U14" i="30"/>
  <c r="M15" i="30"/>
  <c r="R14" i="30" l="1"/>
  <c r="J15" i="30"/>
  <c r="N14" i="30"/>
  <c r="V14" i="30" s="1"/>
  <c r="S14" i="30"/>
  <c r="K15" i="30"/>
  <c r="H17" i="30"/>
  <c r="P16" i="30"/>
  <c r="Q17" i="30"/>
  <c r="I18" i="30"/>
  <c r="T15" i="30"/>
  <c r="L16" i="30"/>
  <c r="V30" i="33"/>
  <c r="M31" i="33"/>
  <c r="U15" i="30"/>
  <c r="M16" i="30"/>
  <c r="I19" i="30" l="1"/>
  <c r="Q18" i="30"/>
  <c r="J16" i="30"/>
  <c r="R15" i="30"/>
  <c r="N15" i="30"/>
  <c r="V15" i="30" s="1"/>
  <c r="H18" i="30"/>
  <c r="P17" i="30"/>
  <c r="S15" i="30"/>
  <c r="K16" i="30"/>
  <c r="T16" i="30"/>
  <c r="L17" i="30"/>
  <c r="M32" i="33"/>
  <c r="V31" i="33"/>
  <c r="U16" i="30"/>
  <c r="M17" i="30"/>
  <c r="K17" i="30" l="1"/>
  <c r="S16" i="30"/>
  <c r="P18" i="30"/>
  <c r="H19" i="30"/>
  <c r="L18" i="30"/>
  <c r="T17" i="30"/>
  <c r="R16" i="30"/>
  <c r="J17" i="30"/>
  <c r="N16" i="30"/>
  <c r="V16" i="30" s="1"/>
  <c r="Q19" i="30"/>
  <c r="I20" i="30"/>
  <c r="V32" i="33"/>
  <c r="M33" i="33"/>
  <c r="M18" i="30"/>
  <c r="U17" i="30"/>
  <c r="Q20" i="30" l="1"/>
  <c r="I21" i="30"/>
  <c r="P19" i="30"/>
  <c r="H20" i="30"/>
  <c r="L19" i="30"/>
  <c r="T18" i="30"/>
  <c r="R17" i="30"/>
  <c r="J18" i="30"/>
  <c r="N17" i="30"/>
  <c r="V17" i="30" s="1"/>
  <c r="K18" i="30"/>
  <c r="S17" i="30"/>
  <c r="M34" i="33"/>
  <c r="V33" i="33"/>
  <c r="U18" i="30"/>
  <c r="M19" i="30"/>
  <c r="P20" i="30" l="1"/>
  <c r="H21" i="30"/>
  <c r="S18" i="30"/>
  <c r="K19" i="30"/>
  <c r="Q21" i="30"/>
  <c r="I22" i="30"/>
  <c r="L20" i="30"/>
  <c r="T19" i="30"/>
  <c r="R18" i="30"/>
  <c r="J19" i="30"/>
  <c r="N18" i="30"/>
  <c r="V18" i="30" s="1"/>
  <c r="V34" i="33"/>
  <c r="M35" i="33"/>
  <c r="U19" i="30"/>
  <c r="M20" i="30"/>
  <c r="I23" i="30" l="1"/>
  <c r="Q22" i="30"/>
  <c r="K20" i="30"/>
  <c r="S19" i="30"/>
  <c r="J20" i="30"/>
  <c r="R19" i="30"/>
  <c r="N19" i="30"/>
  <c r="V19" i="30" s="1"/>
  <c r="T20" i="30"/>
  <c r="L21" i="30"/>
  <c r="H22" i="30"/>
  <c r="P21" i="30"/>
  <c r="M36" i="33"/>
  <c r="V35" i="33"/>
  <c r="U20" i="30"/>
  <c r="M21" i="30"/>
  <c r="R20" i="30" l="1"/>
  <c r="J21" i="30"/>
  <c r="N20" i="30"/>
  <c r="V20" i="30" s="1"/>
  <c r="S20" i="30"/>
  <c r="K21" i="30"/>
  <c r="H23" i="30"/>
  <c r="P22" i="30"/>
  <c r="L22" i="30"/>
  <c r="T21" i="30"/>
  <c r="Q23" i="30"/>
  <c r="I24" i="30"/>
  <c r="V36" i="33"/>
  <c r="M37" i="33"/>
  <c r="M22" i="30"/>
  <c r="U21" i="30"/>
  <c r="S21" i="30" l="1"/>
  <c r="K22" i="30"/>
  <c r="Q24" i="30"/>
  <c r="I25" i="30"/>
  <c r="H24" i="30"/>
  <c r="P23" i="30"/>
  <c r="J22" i="30"/>
  <c r="R21" i="30"/>
  <c r="N21" i="30"/>
  <c r="V21" i="30" s="1"/>
  <c r="L23" i="30"/>
  <c r="T22" i="30"/>
  <c r="M38" i="33"/>
  <c r="V37" i="33"/>
  <c r="U22" i="30"/>
  <c r="M23" i="30"/>
  <c r="R22" i="30" l="1"/>
  <c r="J23" i="30"/>
  <c r="N22" i="30"/>
  <c r="V22" i="30" s="1"/>
  <c r="P24" i="30"/>
  <c r="H25" i="30"/>
  <c r="Q25" i="30"/>
  <c r="I26" i="30"/>
  <c r="L24" i="30"/>
  <c r="L25" i="30" s="1"/>
  <c r="L26" i="30" s="1"/>
  <c r="L27" i="30" s="1"/>
  <c r="L28" i="30" s="1"/>
  <c r="L29" i="30" s="1"/>
  <c r="L30" i="30" s="1"/>
  <c r="L31" i="30" s="1"/>
  <c r="L32" i="30" s="1"/>
  <c r="L33" i="30" s="1"/>
  <c r="L34" i="30" s="1"/>
  <c r="L35" i="30" s="1"/>
  <c r="L36" i="30" s="1"/>
  <c r="L37" i="30" s="1"/>
  <c r="L38" i="30" s="1"/>
  <c r="L39" i="30" s="1"/>
  <c r="L40" i="30" s="1"/>
  <c r="L41" i="30" s="1"/>
  <c r="L42" i="30" s="1"/>
  <c r="L43" i="30" s="1"/>
  <c r="L44" i="30" s="1"/>
  <c r="L45" i="30" s="1"/>
  <c r="L46" i="30" s="1"/>
  <c r="L47" i="30" s="1"/>
  <c r="L48" i="30" s="1"/>
  <c r="L49" i="30" s="1"/>
  <c r="L50" i="30" s="1"/>
  <c r="L51" i="30" s="1"/>
  <c r="L52" i="30" s="1"/>
  <c r="L53" i="30" s="1"/>
  <c r="T23" i="30"/>
  <c r="S22" i="30"/>
  <c r="K23" i="30"/>
  <c r="V38" i="33"/>
  <c r="M39" i="33"/>
  <c r="U23" i="30"/>
  <c r="M24" i="30"/>
  <c r="M25" i="30" s="1"/>
  <c r="M26" i="30" s="1"/>
  <c r="M27" i="30" s="1"/>
  <c r="M28" i="30" s="1"/>
  <c r="M29" i="30" s="1"/>
  <c r="M30" i="30" s="1"/>
  <c r="M31" i="30" s="1"/>
  <c r="M32" i="30" s="1"/>
  <c r="M33" i="30" s="1"/>
  <c r="M34" i="30" s="1"/>
  <c r="M35" i="30" s="1"/>
  <c r="M36" i="30" s="1"/>
  <c r="M37" i="30" s="1"/>
  <c r="M38" i="30" s="1"/>
  <c r="M39" i="30" s="1"/>
  <c r="M40" i="30" s="1"/>
  <c r="M41" i="30" s="1"/>
  <c r="M42" i="30" s="1"/>
  <c r="M43" i="30" s="1"/>
  <c r="M44" i="30" s="1"/>
  <c r="M45" i="30" s="1"/>
  <c r="M46" i="30" s="1"/>
  <c r="M47" i="30" s="1"/>
  <c r="M48" i="30" s="1"/>
  <c r="M49" i="30" s="1"/>
  <c r="M50" i="30" s="1"/>
  <c r="M51" i="30" s="1"/>
  <c r="M52" i="30" s="1"/>
  <c r="M53" i="30" s="1"/>
  <c r="Q26" i="30" l="1"/>
  <c r="I27" i="30"/>
  <c r="P25" i="30"/>
  <c r="H26" i="30"/>
  <c r="S23" i="30"/>
  <c r="K24" i="30"/>
  <c r="K25" i="30" s="1"/>
  <c r="K26" i="30" s="1"/>
  <c r="K27" i="30" s="1"/>
  <c r="K28" i="30" s="1"/>
  <c r="K29" i="30" s="1"/>
  <c r="K30" i="30" s="1"/>
  <c r="K31" i="30" s="1"/>
  <c r="K32" i="30" s="1"/>
  <c r="K33" i="30" s="1"/>
  <c r="K34" i="30" s="1"/>
  <c r="K35" i="30" s="1"/>
  <c r="K36" i="30" s="1"/>
  <c r="K37" i="30" s="1"/>
  <c r="K38" i="30" s="1"/>
  <c r="K39" i="30" s="1"/>
  <c r="K40" i="30" s="1"/>
  <c r="K41" i="30" s="1"/>
  <c r="K42" i="30" s="1"/>
  <c r="K43" i="30" s="1"/>
  <c r="K44" i="30" s="1"/>
  <c r="K45" i="30" s="1"/>
  <c r="K46" i="30" s="1"/>
  <c r="K47" i="30" s="1"/>
  <c r="K48" i="30" s="1"/>
  <c r="K49" i="30" s="1"/>
  <c r="K50" i="30" s="1"/>
  <c r="K51" i="30" s="1"/>
  <c r="K52" i="30" s="1"/>
  <c r="K53" i="30" s="1"/>
  <c r="R23" i="30"/>
  <c r="J24" i="30"/>
  <c r="N23" i="30"/>
  <c r="V23" i="30" s="1"/>
  <c r="M40" i="33"/>
  <c r="V39" i="33"/>
  <c r="P26" i="30" l="1"/>
  <c r="H27" i="30"/>
  <c r="I28" i="30"/>
  <c r="Q27" i="30"/>
  <c r="J25" i="30"/>
  <c r="N24" i="30"/>
  <c r="V40" i="33"/>
  <c r="M41" i="33"/>
  <c r="J26" i="30" l="1"/>
  <c r="N25" i="30"/>
  <c r="I29" i="30"/>
  <c r="Q28" i="30"/>
  <c r="P27" i="30"/>
  <c r="H28" i="30"/>
  <c r="M42" i="33"/>
  <c r="V41" i="33"/>
  <c r="H29" i="30" l="1"/>
  <c r="P28" i="30"/>
  <c r="I30" i="30"/>
  <c r="Q29" i="30"/>
  <c r="J27" i="30"/>
  <c r="N26" i="30"/>
  <c r="V42" i="33"/>
  <c r="M43" i="33"/>
  <c r="J28" i="30" l="1"/>
  <c r="N27" i="30"/>
  <c r="I31" i="30"/>
  <c r="Q30" i="30"/>
  <c r="H30" i="30"/>
  <c r="P29" i="30"/>
  <c r="M44" i="33"/>
  <c r="V43" i="33"/>
  <c r="H31" i="30" l="1"/>
  <c r="P30" i="30"/>
  <c r="I32" i="30"/>
  <c r="Q31" i="30"/>
  <c r="J29" i="30"/>
  <c r="N28" i="30"/>
  <c r="V44" i="33"/>
  <c r="M45" i="33"/>
  <c r="J30" i="30" l="1"/>
  <c r="N29" i="30"/>
  <c r="I33" i="30"/>
  <c r="Q32" i="30"/>
  <c r="H32" i="30"/>
  <c r="P31" i="30"/>
  <c r="M46" i="33"/>
  <c r="V45" i="33"/>
  <c r="H33" i="30" l="1"/>
  <c r="P32" i="30"/>
  <c r="I34" i="30"/>
  <c r="Q33" i="30"/>
  <c r="J31" i="30"/>
  <c r="N30" i="30"/>
  <c r="V46" i="33"/>
  <c r="M47" i="33"/>
  <c r="J32" i="30" l="1"/>
  <c r="N31" i="30"/>
  <c r="I35" i="30"/>
  <c r="Q34" i="30"/>
  <c r="H34" i="30"/>
  <c r="P33" i="30"/>
  <c r="M48" i="33"/>
  <c r="V47" i="33"/>
  <c r="H35" i="30" l="1"/>
  <c r="P34" i="30"/>
  <c r="I36" i="30"/>
  <c r="Q35" i="30"/>
  <c r="J33" i="30"/>
  <c r="N32" i="30"/>
  <c r="V48" i="33"/>
  <c r="M49" i="33"/>
  <c r="J34" i="30" l="1"/>
  <c r="N33" i="30"/>
  <c r="I37" i="30"/>
  <c r="Q36" i="30"/>
  <c r="H36" i="30"/>
  <c r="P35" i="30"/>
  <c r="M50" i="33"/>
  <c r="V49" i="33"/>
  <c r="I38" i="30" l="1"/>
  <c r="Q37" i="30"/>
  <c r="H37" i="30"/>
  <c r="P36" i="30"/>
  <c r="J35" i="30"/>
  <c r="N34" i="30"/>
  <c r="V50" i="33"/>
  <c r="M51" i="33"/>
  <c r="H38" i="30" l="1"/>
  <c r="P37" i="30"/>
  <c r="J36" i="30"/>
  <c r="N35" i="30"/>
  <c r="I39" i="30"/>
  <c r="Q38" i="30"/>
  <c r="M52" i="33"/>
  <c r="V51" i="33"/>
  <c r="I40" i="30" l="1"/>
  <c r="Q39" i="30"/>
  <c r="J37" i="30"/>
  <c r="N36" i="30"/>
  <c r="H39" i="30"/>
  <c r="P38" i="30"/>
  <c r="V52" i="33"/>
  <c r="M53" i="33"/>
  <c r="H40" i="30" l="1"/>
  <c r="P39" i="30"/>
  <c r="J38" i="30"/>
  <c r="N37" i="30"/>
  <c r="I41" i="30"/>
  <c r="Q40" i="30"/>
  <c r="M54" i="33"/>
  <c r="V53" i="33"/>
  <c r="I42" i="30" l="1"/>
  <c r="Q41" i="30"/>
  <c r="J39" i="30"/>
  <c r="N38" i="30"/>
  <c r="H41" i="30"/>
  <c r="P40" i="30"/>
  <c r="V54" i="33"/>
  <c r="M55" i="33"/>
  <c r="H42" i="30" l="1"/>
  <c r="P41" i="30"/>
  <c r="J40" i="30"/>
  <c r="N39" i="30"/>
  <c r="I43" i="30"/>
  <c r="Q42" i="30"/>
  <c r="M56" i="33"/>
  <c r="V55" i="33"/>
  <c r="J41" i="30" l="1"/>
  <c r="N40" i="30"/>
  <c r="I44" i="30"/>
  <c r="Q43" i="30"/>
  <c r="H43" i="30"/>
  <c r="P42" i="30"/>
  <c r="V56" i="33"/>
  <c r="M57" i="33"/>
  <c r="H44" i="30" l="1"/>
  <c r="P43" i="30"/>
  <c r="I45" i="30"/>
  <c r="Q44" i="30"/>
  <c r="J42" i="30"/>
  <c r="N41" i="30"/>
  <c r="M58" i="33"/>
  <c r="V57" i="33"/>
  <c r="J43" i="30" l="1"/>
  <c r="N42" i="30"/>
  <c r="I46" i="30"/>
  <c r="Q45" i="30"/>
  <c r="H45" i="30"/>
  <c r="P44" i="30"/>
  <c r="V58" i="33"/>
  <c r="M59" i="33"/>
  <c r="H46" i="30" l="1"/>
  <c r="P45" i="30"/>
  <c r="I47" i="30"/>
  <c r="Q46" i="30"/>
  <c r="J44" i="30"/>
  <c r="N43" i="30"/>
  <c r="M60" i="33"/>
  <c r="V59" i="33"/>
  <c r="J45" i="30" l="1"/>
  <c r="N44" i="30"/>
  <c r="I48" i="30"/>
  <c r="Q47" i="30"/>
  <c r="H47" i="30"/>
  <c r="P46" i="30"/>
  <c r="V60" i="33"/>
  <c r="M61" i="33"/>
  <c r="V61" i="33" s="1"/>
  <c r="H48" i="30" l="1"/>
  <c r="P47" i="30"/>
  <c r="I49" i="30"/>
  <c r="Q48" i="30"/>
  <c r="J46" i="30"/>
  <c r="N45" i="30"/>
  <c r="I50" i="30" l="1"/>
  <c r="Q49" i="30"/>
  <c r="J47" i="30"/>
  <c r="N46" i="30"/>
  <c r="H49" i="30"/>
  <c r="P48" i="30"/>
  <c r="H50" i="30" l="1"/>
  <c r="P49" i="30"/>
  <c r="J48" i="30"/>
  <c r="N47" i="30"/>
  <c r="I51" i="30"/>
  <c r="Q50" i="30"/>
  <c r="J49" i="30" l="1"/>
  <c r="N48" i="30"/>
  <c r="I52" i="30"/>
  <c r="Q51" i="30"/>
  <c r="H51" i="30"/>
  <c r="P50" i="30"/>
  <c r="I53" i="30" l="1"/>
  <c r="Q53" i="30" s="1"/>
  <c r="Q52" i="30"/>
  <c r="H52" i="30"/>
  <c r="P51" i="30"/>
  <c r="J50" i="30"/>
  <c r="N49" i="30"/>
  <c r="J51" i="30" l="1"/>
  <c r="N50" i="30"/>
  <c r="H53" i="30"/>
  <c r="P52" i="30"/>
  <c r="P53" i="30" l="1"/>
  <c r="J52" i="30"/>
  <c r="N51" i="30"/>
  <c r="J53" i="30" l="1"/>
  <c r="N53" i="30" s="1"/>
  <c r="N52" i="30"/>
</calcChain>
</file>

<file path=xl/sharedStrings.xml><?xml version="1.0" encoding="utf-8"?>
<sst xmlns="http://schemas.openxmlformats.org/spreadsheetml/2006/main" count="741" uniqueCount="273">
  <si>
    <t>UITVOERE/EXPORTS - 2021/22 Marketing season/ bemarkingseisoen</t>
  </si>
  <si>
    <t>UIT SUID-AFRIKA/FROM SOUTH AFRICA</t>
  </si>
  <si>
    <t>till</t>
  </si>
  <si>
    <t xml:space="preserve">Remaining weeks in marketing year </t>
  </si>
  <si>
    <t>Exports/Uitvoere BLNS</t>
  </si>
  <si>
    <t>WIT MIELIES/WHITE MAIZE</t>
  </si>
  <si>
    <t>Metric Tons</t>
  </si>
  <si>
    <t>wit/white</t>
  </si>
  <si>
    <t>geel/yellow</t>
  </si>
  <si>
    <t>Totaal</t>
  </si>
  <si>
    <t>2011/12</t>
  </si>
  <si>
    <t>2012/13</t>
  </si>
  <si>
    <t>2013/14</t>
  </si>
  <si>
    <t>2014/15</t>
  </si>
  <si>
    <t>2015/16*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</si>
  <si>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</si>
  <si>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</si>
  <si>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</si>
  <si>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</si>
  <si>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</si>
  <si>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</si>
  <si>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</si>
  <si>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</si>
  <si>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</si>
  <si>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</si>
  <si>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Botswana</t>
  </si>
  <si>
    <t>Eswatini (Swaziland)</t>
  </si>
  <si>
    <t>Lesotho</t>
  </si>
  <si>
    <t>Namibia</t>
  </si>
  <si>
    <t>Mozambique</t>
  </si>
  <si>
    <t>Swaziland</t>
  </si>
  <si>
    <t>Zimbabwe</t>
  </si>
  <si>
    <t>Totaal/Total</t>
  </si>
  <si>
    <t>Mexiko</t>
  </si>
  <si>
    <t>Exports-Africa vs Rest/Uitvoere- Afrika vs res</t>
  </si>
  <si>
    <t>Angola</t>
  </si>
  <si>
    <t>Benin</t>
  </si>
  <si>
    <t>Africa/Afrika (BLNS included/ingesluit)</t>
  </si>
  <si>
    <t>Brazil</t>
  </si>
  <si>
    <t>Other than Africa/Ander as Afrika</t>
  </si>
  <si>
    <t>Cameroon</t>
  </si>
  <si>
    <t>Chad</t>
  </si>
  <si>
    <t>Congo</t>
  </si>
  <si>
    <t>Guinea</t>
  </si>
  <si>
    <t>Dar-es-Salaam</t>
  </si>
  <si>
    <t>Djibouti</t>
  </si>
  <si>
    <t>Ethiopia</t>
  </si>
  <si>
    <t>Weeklikse gemid uitvoer tempo vir 2025/26. Weekly average export pace for 2025/26</t>
  </si>
  <si>
    <t>Wit/white</t>
  </si>
  <si>
    <t>Geel/yellow</t>
  </si>
  <si>
    <t>Ghana</t>
  </si>
  <si>
    <t>Kenya</t>
  </si>
  <si>
    <t>Projeksie* vir 52 weke / Projection* for 52 weeks</t>
  </si>
  <si>
    <t>Korea (North)</t>
  </si>
  <si>
    <t>*Reguitlyn / Straight line</t>
  </si>
  <si>
    <t>Iran</t>
  </si>
  <si>
    <t xml:space="preserve">Madagascar </t>
  </si>
  <si>
    <t xml:space="preserve"> White maize export projections</t>
  </si>
  <si>
    <t>Malawië</t>
  </si>
  <si>
    <t xml:space="preserve">Conservative </t>
  </si>
  <si>
    <r>
      <t xml:space="preserve">Likely </t>
    </r>
    <r>
      <rPr>
        <i/>
        <sz val="9"/>
        <color indexed="10"/>
        <rFont val="Arial"/>
        <family val="2"/>
      </rPr>
      <t>(Note 1)</t>
    </r>
  </si>
  <si>
    <t>Optimistic</t>
  </si>
  <si>
    <t>Mali</t>
  </si>
  <si>
    <t>Projected total white maize exports for marketing season</t>
  </si>
  <si>
    <t>Portugal</t>
  </si>
  <si>
    <t>Progressive white maize exports since 2 May 2025</t>
  </si>
  <si>
    <t>Nigeria</t>
  </si>
  <si>
    <t>Outstanding total</t>
  </si>
  <si>
    <t>Italy</t>
  </si>
  <si>
    <t>Remaining weeks</t>
  </si>
  <si>
    <t>Somalia</t>
  </si>
  <si>
    <t xml:space="preserve">Weekly export pace needed to obtain projected total </t>
  </si>
  <si>
    <t>Sudan</t>
  </si>
  <si>
    <t>Mauritius</t>
  </si>
  <si>
    <t>1.  Note:  Likely scenario compares with Grain SA S&amp;D number</t>
  </si>
  <si>
    <t>Qatar</t>
  </si>
  <si>
    <t>Senegal</t>
  </si>
  <si>
    <t xml:space="preserve">2. Conservative and optimistic scenario is based on subjective opinion and/or regression estimate  </t>
  </si>
  <si>
    <t>Spain</t>
  </si>
  <si>
    <t>Singapore</t>
  </si>
  <si>
    <t>Tanzania</t>
  </si>
  <si>
    <t>Albania</t>
  </si>
  <si>
    <t>Honduras</t>
  </si>
  <si>
    <t>Guatemala</t>
  </si>
  <si>
    <t>Malaysia</t>
  </si>
  <si>
    <t>Togo</t>
  </si>
  <si>
    <t>Uganda</t>
  </si>
  <si>
    <t>Yellow maize export projections</t>
  </si>
  <si>
    <t>Venezuela</t>
  </si>
  <si>
    <r>
      <t xml:space="preserve">Likely </t>
    </r>
    <r>
      <rPr>
        <i/>
        <sz val="10"/>
        <color indexed="10"/>
        <rFont val="Arial"/>
        <family val="2"/>
      </rPr>
      <t>(Note 1)</t>
    </r>
  </si>
  <si>
    <t>Zambia</t>
  </si>
  <si>
    <t>Projected total yellowmaize exports for marketing season</t>
  </si>
  <si>
    <t>TOTAAL</t>
  </si>
  <si>
    <t>Progressive yellow maize exports since 6 May 2016</t>
  </si>
  <si>
    <t>GEEL MIELIES/YELLOW MAIZE</t>
  </si>
  <si>
    <t>Metric tons</t>
  </si>
  <si>
    <t>Taiwan, Prov of China</t>
  </si>
  <si>
    <t xml:space="preserve"> Total maize export projections</t>
  </si>
  <si>
    <t>Japan</t>
  </si>
  <si>
    <t xml:space="preserve">Likely </t>
  </si>
  <si>
    <t>China</t>
  </si>
  <si>
    <t>Projected total maize exports for marketing season</t>
  </si>
  <si>
    <t>Progressive total maize exports since 6 May 2016</t>
  </si>
  <si>
    <t>Egipte</t>
  </si>
  <si>
    <t>Kuwait</t>
  </si>
  <si>
    <t>Yemen</t>
  </si>
  <si>
    <t>North Korea</t>
  </si>
  <si>
    <t>South Korea</t>
  </si>
  <si>
    <t>Korea, Rep of</t>
  </si>
  <si>
    <t>Korea, Dem Peoples Rep</t>
  </si>
  <si>
    <t>Madagaskar</t>
  </si>
  <si>
    <t>Malawi</t>
  </si>
  <si>
    <t>Palau</t>
  </si>
  <si>
    <t>Saudi Arabia</t>
  </si>
  <si>
    <t>Seychelles</t>
  </si>
  <si>
    <t>Indonesia</t>
  </si>
  <si>
    <t>Vietnam</t>
  </si>
  <si>
    <t>Central African Republic</t>
  </si>
  <si>
    <t>TOTAAL/TOTAL</t>
  </si>
  <si>
    <t>ALLE MIELIES/ALL MAIZE</t>
  </si>
  <si>
    <t>SAGIS INVOERE/IMPORTS</t>
  </si>
  <si>
    <t>NA SUID-AFRIKA/TO SOUTH AFRICA</t>
  </si>
  <si>
    <t>30 April 2023 to</t>
  </si>
  <si>
    <t>Zambië</t>
  </si>
  <si>
    <t>Weekly ave</t>
  </si>
  <si>
    <t>Tanzanië</t>
  </si>
  <si>
    <t>Weeks remaining</t>
  </si>
  <si>
    <t>Projected total imports</t>
  </si>
  <si>
    <t>Mexico</t>
  </si>
  <si>
    <t>United States</t>
  </si>
  <si>
    <t>Argentina</t>
  </si>
  <si>
    <t>Romania</t>
  </si>
  <si>
    <t>Paraquay</t>
  </si>
  <si>
    <t>USA</t>
  </si>
  <si>
    <t>Ukraine</t>
  </si>
  <si>
    <t>Germany</t>
  </si>
  <si>
    <t>SAGIS: WEEKLIKSE INVOERE EN UITVOERE 2024/25 Bemarkingseisoen</t>
  </si>
  <si>
    <t>SAGIS: WEEKLY IMPORTS AND EXPORTS 2024/25 Marketing season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</si>
  <si>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</si>
  <si>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Fisiese Invoere</t>
  </si>
  <si>
    <t>Invoer intensies</t>
  </si>
  <si>
    <t>Fisiese Uitvoere</t>
  </si>
  <si>
    <t>Uitvoer intensies</t>
  </si>
  <si>
    <t>Invoere/Imports</t>
  </si>
  <si>
    <t>Uitvoere/Exports</t>
  </si>
  <si>
    <t>Physical Imports</t>
  </si>
  <si>
    <t>Import intentions</t>
  </si>
  <si>
    <t>Physical Exports</t>
  </si>
  <si>
    <t>Export intentions</t>
  </si>
  <si>
    <t>Datum</t>
  </si>
  <si>
    <t>Wit/White</t>
  </si>
  <si>
    <t>Geel/Yellow</t>
  </si>
  <si>
    <t>Totaal mielies</t>
  </si>
  <si>
    <t>Total / maize</t>
  </si>
  <si>
    <t>Date</t>
  </si>
  <si>
    <t>Progressief</t>
  </si>
  <si>
    <t>Progressive</t>
  </si>
  <si>
    <t>Weekliks/Weekly</t>
  </si>
  <si>
    <t>ton</t>
  </si>
  <si>
    <t xml:space="preserve"> </t>
  </si>
  <si>
    <t xml:space="preserve">                                                          </t>
  </si>
  <si>
    <t>SAGIS: WEEKLIKSE INVOERE EN UITVOERE 2025/26 Bemarkingseisoen</t>
  </si>
  <si>
    <t>SAGIS: WEEKLY IMPORTS AND EXPORTS 2025/26 Marketing season</t>
  </si>
  <si>
    <t>Week nr</t>
  </si>
  <si>
    <t>2011/2012</t>
  </si>
  <si>
    <t>2013/2014</t>
  </si>
  <si>
    <t>2017/2018</t>
  </si>
  <si>
    <t>2018/2019</t>
  </si>
  <si>
    <t>2020/2021</t>
  </si>
  <si>
    <t>2021/2022*</t>
  </si>
  <si>
    <t>Avg YTD exports (top 5 export yrs)</t>
  </si>
  <si>
    <t>SAGIS WIT INVOERE/WHITE IMPORTS</t>
  </si>
  <si>
    <t>NA ANDER LANDE/TO OTHER COUNTRIES</t>
  </si>
  <si>
    <t>30 April 2016 to</t>
  </si>
  <si>
    <t xml:space="preserve">30 April 2016 tot </t>
  </si>
  <si>
    <t>SAGIS GEEL INVOERE/YELLOW IMPORTS</t>
  </si>
  <si>
    <t>YELLOW MAIZE: WEEKLY IMPORTS FOR OTHER COUNTRIES - 2016/17 SEASON</t>
  </si>
  <si>
    <t>GEELMIELIES: WEEKLIKSE INVOERE VIR ANDER LANDE - 2016/17 SEISOEN</t>
  </si>
  <si>
    <t/>
  </si>
  <si>
    <t>Week</t>
  </si>
  <si>
    <t>ARGENTINA</t>
  </si>
  <si>
    <t>ROMANIA</t>
  </si>
  <si>
    <t>UKRAINE</t>
  </si>
  <si>
    <t>UNITED STATES</t>
  </si>
  <si>
    <t>Total/Totaal</t>
  </si>
  <si>
    <t>30 Apr - 06 May/Mei 2016</t>
  </si>
  <si>
    <t>07 May/Mei - 13 May/Mei 2016</t>
  </si>
  <si>
    <t>14 May/Mei - 20 May/Mei 2016</t>
  </si>
  <si>
    <t>21 May/Mei - 27 May/Mei 2016</t>
  </si>
  <si>
    <t>28 May/Mei - 03 Jun 2016</t>
  </si>
  <si>
    <t>04 Jun - 10 Jun 2016</t>
  </si>
  <si>
    <t>11 Jun - 17 Jun 2016</t>
  </si>
  <si>
    <t>18 Jun - 24 Jun 2016</t>
  </si>
  <si>
    <t>25 Jun - 01 Jul 2016</t>
  </si>
  <si>
    <t>02 Jul - 08 Jul 2016</t>
  </si>
  <si>
    <t>09 Jul - 15 Jul 2016</t>
  </si>
  <si>
    <t>16 Jul - 22 Jul 2016</t>
  </si>
  <si>
    <t>23 Jul - 29 Jul 2016</t>
  </si>
  <si>
    <t>30 Jul - 05 Aug 2016</t>
  </si>
  <si>
    <t>06 Aug - 12 Aug 2016</t>
  </si>
  <si>
    <t>13 Aug - 19 Aug 2016</t>
  </si>
  <si>
    <t>20 Aug - 26 Aug 2016</t>
  </si>
  <si>
    <t>27 Aug - 02 Sep 2016</t>
  </si>
  <si>
    <t>03 Sep - 09 Sep 2016</t>
  </si>
  <si>
    <t>10 Sep - 16 Sep 2016</t>
  </si>
  <si>
    <t>17 Sep - 23 Sep 2016</t>
  </si>
  <si>
    <t>24 Sep - 30 Sep 2016</t>
  </si>
  <si>
    <t>01 Oct/Okt - 07 Oct/Okt 2016</t>
  </si>
  <si>
    <t>08 Oct/Okt - 14 Oct/Okt 2016</t>
  </si>
  <si>
    <t>15 Oct/Okt - 21 Oct/Okt 2016</t>
  </si>
  <si>
    <t>22 Oct/Okt - 28 Oct/Okt 2016</t>
  </si>
  <si>
    <t>29 Oct/Okt - 04 Nov 2016</t>
  </si>
  <si>
    <t>05 Nov - 11 Nov 2016</t>
  </si>
  <si>
    <t>12 Nov - 18 Nov 2016</t>
  </si>
  <si>
    <t>19 Nov - 25 Nov 2016</t>
  </si>
  <si>
    <t>26 Nov - 02 Dec/Des 2016</t>
  </si>
  <si>
    <t>03 Dec/Des - 09 Dec/Des 2016</t>
  </si>
  <si>
    <t>10 Dec/Des - 16 Dec/Des 2016</t>
  </si>
  <si>
    <t>17 Dec/Des - 23 Dec/Des 2016</t>
  </si>
  <si>
    <t>*35</t>
  </si>
  <si>
    <t>24 Dec/Des - 30 Dec/Des 2016</t>
  </si>
  <si>
    <t>31 Dec/Des - 06 Jan 2017</t>
  </si>
  <si>
    <t>07 Jan - 13 Jan 2017</t>
  </si>
  <si>
    <t>14 Jan - 20 Jan 2017</t>
  </si>
  <si>
    <t>21 Jan - 27 Jan 2017</t>
  </si>
  <si>
    <t>28 Jan - 03 Feb 2017</t>
  </si>
  <si>
    <t>04 Feb - 10 Feb 2017</t>
  </si>
  <si>
    <t>11 Feb - 17 Feb 2017</t>
  </si>
  <si>
    <t>18 Feb - 24 Feb 2017</t>
  </si>
  <si>
    <t>25 Feb - 03 Mar 2017</t>
  </si>
  <si>
    <t>04 Mar - 10 Mar 2017</t>
  </si>
  <si>
    <t>11 Mar - 17 Mar 2017</t>
  </si>
  <si>
    <t>18 Mar - 24 Mar 2017</t>
  </si>
  <si>
    <t>25 Mar - 31 Mar 2017</t>
  </si>
  <si>
    <t>01 Apr - 07 Apr 2017</t>
  </si>
  <si>
    <t>08 Apr - 14 Apr 2017</t>
  </si>
  <si>
    <t>15 Apr - 21 Apr 2017</t>
  </si>
  <si>
    <t>22 Apr - 28 Apr 2017</t>
  </si>
  <si>
    <t>Total</t>
  </si>
  <si>
    <t>* Total Imports for other countries for weeks 3 December 2016 - 30 December 2016</t>
  </si>
  <si>
    <t>SAGIS WIT UITVOERE / WHITE EXPORTS</t>
  </si>
  <si>
    <t>VIR INGEVOERDE MIELIES /  FOR IMPORTED MAIZE</t>
  </si>
  <si>
    <t>WHITE MAIZE: EXPORTS OF IMPORTED MAIZE - 2016/17 SEASON</t>
  </si>
  <si>
    <t>WITMIELIES: UITVOERE VAN INGEVOERDE MIELIES - 2016/17 SEISOEN</t>
  </si>
  <si>
    <t>BOTSWANA</t>
  </si>
  <si>
    <t>LESOTHO</t>
  </si>
  <si>
    <t>MOZAMBIQUE</t>
  </si>
  <si>
    <t>NAMIBIA</t>
  </si>
  <si>
    <t>SWAZILAND</t>
  </si>
  <si>
    <t>TANZANIA</t>
  </si>
  <si>
    <t>ZIMBABWE</t>
  </si>
  <si>
    <t>* Total Exports of Imported maize  for weeks 3 December 2016 - 30 December 2016</t>
  </si>
  <si>
    <t>SAGIS GEEL UITVOERE / YELLOW EXPORTS</t>
  </si>
  <si>
    <t>VAN INGEVOERDE MIELIES /  FOR IMPORTED MAIZE</t>
  </si>
  <si>
    <t>YELLOW MAIZE: EXPORTS OF IMPORTED MAIZE - 2016/17 SEASON</t>
  </si>
  <si>
    <t>GEELMIELIES: UITVOERE VAN INGEVOERDE MIELIES - 2016/17 SEISOEN</t>
  </si>
  <si>
    <t>ANGOLA</t>
  </si>
  <si>
    <t>SAGIS WM WEEKLIKSE INVOERE PER HAWE/WM WEEKLY IMPORTS PER HARBOUR</t>
  </si>
  <si>
    <t>WHITE MAIZE: WEEKLY IMPORT PER HARBOUR - 2016/17 SEASON</t>
  </si>
  <si>
    <t>WITMIELIES: WEEKLIKSE INVOER PER HAWE - 2016/17 SEISOEN</t>
  </si>
  <si>
    <t>Durban</t>
  </si>
  <si>
    <t>East London</t>
  </si>
  <si>
    <t>Richards Bay</t>
  </si>
  <si>
    <t>*Total/Totaal</t>
  </si>
  <si>
    <t>*Includes: Imports for RSA and other countries</t>
  </si>
  <si>
    <t>*Sluit in: Invoer vir RSA en ander lande</t>
  </si>
  <si>
    <t>SAGIS GM WEEKLIKSE INVOERE PER HAWE/YM WEEKLY IMPORTS PER HARBOUR</t>
  </si>
  <si>
    <t>YELLOW MAIZE: WEEKLY IMPORT PER HARBOUR - 2016/17 SEASON</t>
  </si>
  <si>
    <t>GEELMIELIES: WEEKLIKSE INVOER PER HAWE - 2016/17 SEISOEN</t>
  </si>
  <si>
    <t>Cape Town</t>
  </si>
  <si>
    <t>Port Elizabeth</t>
  </si>
  <si>
    <t>Sri Lanka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</si>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</sst>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  <numFmt numFmtId="167" formatCode="_(* #,##0_);_(* \(#,##0\);_(* &quot;-&quot;??_);_(@_)"/>
    <numFmt numFmtId="168" formatCode="[$-409]d\-mmm;@"/>
    <numFmt numFmtId="169" formatCode="_-* #,##0_-;\-* #,##0_-;_-* &quot;-&quot;??_-;_-@_-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9"/>
      <color indexed="10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3F3F76"/>
      <name val="Calibri"/>
      <family val="2"/>
      <scheme val="minor"/>
    </font>
    <font>
      <sz val="12"/>
      <color rgb="FF3F3F7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7" fillId="2" borderId="32" applyNumberFormat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3" fillId="0" borderId="0" xfId="0" applyFont="1"/>
    <xf numFmtId="3" fontId="0" fillId="0" borderId="0" xfId="0" applyNumberFormat="1"/>
    <xf numFmtId="0" fontId="4" fillId="0" borderId="0" xfId="0" applyFont="1"/>
    <xf numFmtId="0" fontId="3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6" fillId="0" borderId="1" xfId="1" applyNumberFormat="1" applyFont="1" applyBorder="1"/>
    <xf numFmtId="166" fontId="6" fillId="0" borderId="4" xfId="1" applyNumberFormat="1" applyFont="1" applyBorder="1"/>
    <xf numFmtId="166" fontId="6" fillId="0" borderId="0" xfId="1" applyNumberFormat="1" applyFont="1" applyBorder="1"/>
    <xf numFmtId="166" fontId="0" fillId="0" borderId="0" xfId="0" applyNumberFormat="1"/>
    <xf numFmtId="166" fontId="0" fillId="0" borderId="8" xfId="1" applyNumberFormat="1" applyFont="1" applyBorder="1"/>
    <xf numFmtId="3" fontId="0" fillId="0" borderId="8" xfId="0" applyNumberFormat="1" applyBorder="1"/>
    <xf numFmtId="0" fontId="3" fillId="0" borderId="9" xfId="0" applyFont="1" applyBorder="1"/>
    <xf numFmtId="0" fontId="3" fillId="0" borderId="10" xfId="0" applyFont="1" applyBorder="1"/>
    <xf numFmtId="166" fontId="0" fillId="0" borderId="11" xfId="1" applyNumberFormat="1" applyFont="1" applyBorder="1"/>
    <xf numFmtId="166" fontId="0" fillId="0" borderId="12" xfId="1" applyNumberFormat="1" applyFont="1" applyBorder="1"/>
    <xf numFmtId="0" fontId="3" fillId="0" borderId="13" xfId="0" applyFont="1" applyBorder="1"/>
    <xf numFmtId="0" fontId="0" fillId="0" borderId="14" xfId="0" applyBorder="1"/>
    <xf numFmtId="3" fontId="0" fillId="0" borderId="15" xfId="0" applyNumberFormat="1" applyBorder="1"/>
    <xf numFmtId="0" fontId="3" fillId="0" borderId="16" xfId="0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0" fontId="0" fillId="0" borderId="13" xfId="0" applyBorder="1"/>
    <xf numFmtId="166" fontId="0" fillId="0" borderId="15" xfId="1" applyNumberFormat="1" applyFont="1" applyBorder="1"/>
    <xf numFmtId="0" fontId="0" fillId="0" borderId="16" xfId="0" applyBorder="1"/>
    <xf numFmtId="3" fontId="3" fillId="0" borderId="0" xfId="0" applyNumberFormat="1" applyFont="1"/>
    <xf numFmtId="0" fontId="0" fillId="0" borderId="8" xfId="0" applyBorder="1"/>
    <xf numFmtId="0" fontId="3" fillId="0" borderId="8" xfId="0" applyFont="1" applyBorder="1"/>
    <xf numFmtId="166" fontId="6" fillId="0" borderId="18" xfId="1" applyNumberFormat="1" applyFont="1" applyBorder="1"/>
    <xf numFmtId="166" fontId="6" fillId="0" borderId="19" xfId="1" applyNumberFormat="1" applyFont="1" applyBorder="1"/>
    <xf numFmtId="166" fontId="6" fillId="0" borderId="20" xfId="1" applyNumberFormat="1" applyFont="1" applyBorder="1"/>
    <xf numFmtId="166" fontId="6" fillId="0" borderId="6" xfId="1" applyNumberFormat="1" applyFont="1" applyBorder="1"/>
    <xf numFmtId="166" fontId="6" fillId="0" borderId="21" xfId="1" applyNumberFormat="1" applyFont="1" applyBorder="1"/>
    <xf numFmtId="164" fontId="0" fillId="0" borderId="0" xfId="0" applyNumberFormat="1"/>
    <xf numFmtId="166" fontId="0" fillId="0" borderId="0" xfId="1" applyNumberFormat="1" applyFont="1" applyBorder="1"/>
    <xf numFmtId="9" fontId="0" fillId="0" borderId="0" xfId="0" applyNumberFormat="1"/>
    <xf numFmtId="0" fontId="3" fillId="0" borderId="0" xfId="0" applyFont="1" applyAlignment="1">
      <alignment horizontal="center"/>
    </xf>
    <xf numFmtId="166" fontId="3" fillId="0" borderId="0" xfId="1" applyNumberFormat="1" applyFont="1" applyBorder="1"/>
    <xf numFmtId="0" fontId="6" fillId="0" borderId="6" xfId="1" applyNumberFormat="1" applyFont="1" applyBorder="1"/>
    <xf numFmtId="0" fontId="6" fillId="0" borderId="1" xfId="1" applyNumberFormat="1" applyFont="1" applyBorder="1"/>
    <xf numFmtId="0" fontId="6" fillId="0" borderId="4" xfId="1" applyNumberFormat="1" applyFont="1" applyBorder="1"/>
    <xf numFmtId="0" fontId="6" fillId="0" borderId="0" xfId="1" applyNumberFormat="1" applyFont="1" applyBorder="1"/>
    <xf numFmtId="166" fontId="0" fillId="0" borderId="22" xfId="1" applyNumberFormat="1" applyFont="1" applyBorder="1"/>
    <xf numFmtId="166" fontId="0" fillId="0" borderId="23" xfId="1" applyNumberFormat="1" applyFont="1" applyBorder="1"/>
    <xf numFmtId="0" fontId="2" fillId="0" borderId="0" xfId="0" applyFont="1"/>
    <xf numFmtId="0" fontId="8" fillId="0" borderId="0" xfId="0" applyFont="1"/>
    <xf numFmtId="0" fontId="9" fillId="0" borderId="0" xfId="0" applyFont="1"/>
    <xf numFmtId="15" fontId="9" fillId="0" borderId="0" xfId="0" applyNumberFormat="1" applyFont="1"/>
    <xf numFmtId="3" fontId="9" fillId="0" borderId="0" xfId="0" applyNumberFormat="1" applyFont="1"/>
    <xf numFmtId="166" fontId="9" fillId="0" borderId="0" xfId="1" applyNumberFormat="1" applyFont="1"/>
    <xf numFmtId="0" fontId="8" fillId="0" borderId="8" xfId="0" applyFont="1" applyBorder="1"/>
    <xf numFmtId="166" fontId="8" fillId="0" borderId="8" xfId="1" applyNumberFormat="1" applyFont="1" applyBorder="1"/>
    <xf numFmtId="0" fontId="9" fillId="0" borderId="8" xfId="0" applyFont="1" applyBorder="1"/>
    <xf numFmtId="166" fontId="9" fillId="0" borderId="8" xfId="1" applyNumberFormat="1" applyFont="1" applyBorder="1"/>
    <xf numFmtId="0" fontId="3" fillId="0" borderId="19" xfId="0" applyFont="1" applyBorder="1"/>
    <xf numFmtId="3" fontId="3" fillId="0" borderId="19" xfId="0" applyNumberFormat="1" applyFont="1" applyBorder="1"/>
    <xf numFmtId="0" fontId="10" fillId="0" borderId="0" xfId="0" applyFont="1"/>
    <xf numFmtId="0" fontId="13" fillId="0" borderId="0" xfId="0" applyFont="1"/>
    <xf numFmtId="3" fontId="8" fillId="0" borderId="8" xfId="0" applyNumberFormat="1" applyFont="1" applyBorder="1"/>
    <xf numFmtId="167" fontId="13" fillId="0" borderId="11" xfId="0" applyNumberFormat="1" applyFont="1" applyBorder="1"/>
    <xf numFmtId="167" fontId="13" fillId="0" borderId="12" xfId="0" applyNumberFormat="1" applyFont="1" applyBorder="1"/>
    <xf numFmtId="0" fontId="13" fillId="0" borderId="16" xfId="0" applyFont="1" applyBorder="1"/>
    <xf numFmtId="0" fontId="3" fillId="0" borderId="23" xfId="0" applyFont="1" applyBorder="1"/>
    <xf numFmtId="0" fontId="6" fillId="0" borderId="2" xfId="0" applyFont="1" applyBorder="1" applyAlignment="1">
      <alignment horizontal="right"/>
    </xf>
    <xf numFmtId="166" fontId="17" fillId="2" borderId="32" xfId="2" applyNumberFormat="1"/>
    <xf numFmtId="3" fontId="17" fillId="2" borderId="32" xfId="2" applyNumberFormat="1"/>
    <xf numFmtId="166" fontId="17" fillId="2" borderId="33" xfId="2" applyNumberFormat="1" applyBorder="1"/>
    <xf numFmtId="15" fontId="18" fillId="2" borderId="32" xfId="2" applyNumberFormat="1" applyFont="1"/>
    <xf numFmtId="166" fontId="3" fillId="0" borderId="8" xfId="0" applyNumberFormat="1" applyFont="1" applyBorder="1"/>
    <xf numFmtId="166" fontId="3" fillId="0" borderId="23" xfId="0" applyNumberFormat="1" applyFont="1" applyBorder="1"/>
    <xf numFmtId="166" fontId="19" fillId="3" borderId="8" xfId="2" applyNumberFormat="1" applyFont="1" applyFill="1" applyBorder="1"/>
    <xf numFmtId="3" fontId="19" fillId="3" borderId="8" xfId="2" applyNumberFormat="1" applyFont="1" applyFill="1" applyBorder="1"/>
    <xf numFmtId="3" fontId="20" fillId="3" borderId="8" xfId="0" applyNumberFormat="1" applyFont="1" applyFill="1" applyBorder="1"/>
    <xf numFmtId="0" fontId="19" fillId="0" borderId="26" xfId="0" applyFont="1" applyBorder="1"/>
    <xf numFmtId="3" fontId="0" fillId="0" borderId="23" xfId="0" applyNumberFormat="1" applyBorder="1"/>
    <xf numFmtId="166" fontId="3" fillId="3" borderId="8" xfId="1" applyNumberFormat="1" applyFont="1" applyFill="1" applyBorder="1"/>
    <xf numFmtId="15" fontId="17" fillId="2" borderId="35" xfId="2" applyNumberFormat="1" applyBorder="1" applyAlignment="1">
      <alignment horizontal="right"/>
    </xf>
    <xf numFmtId="0" fontId="17" fillId="2" borderId="35" xfId="2" applyBorder="1"/>
    <xf numFmtId="166" fontId="0" fillId="0" borderId="27" xfId="1" applyNumberFormat="1" applyFont="1" applyBorder="1"/>
    <xf numFmtId="3" fontId="3" fillId="3" borderId="8" xfId="0" applyNumberFormat="1" applyFont="1" applyFill="1" applyBorder="1"/>
    <xf numFmtId="166" fontId="21" fillId="3" borderId="8" xfId="2" applyNumberFormat="1" applyFont="1" applyFill="1" applyBorder="1"/>
    <xf numFmtId="3" fontId="21" fillId="3" borderId="8" xfId="2" applyNumberFormat="1" applyFont="1" applyFill="1" applyBorder="1"/>
    <xf numFmtId="15" fontId="17" fillId="2" borderId="36" xfId="2" applyNumberFormat="1" applyBorder="1" applyAlignment="1">
      <alignment horizontal="center"/>
    </xf>
    <xf numFmtId="0" fontId="17" fillId="2" borderId="32" xfId="2" applyNumberFormat="1"/>
    <xf numFmtId="0" fontId="6" fillId="0" borderId="3" xfId="0" applyFont="1" applyBorder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15" fontId="17" fillId="2" borderId="32" xfId="2" applyNumberFormat="1"/>
    <xf numFmtId="15" fontId="21" fillId="0" borderId="0" xfId="0" applyNumberFormat="1" applyFont="1"/>
    <xf numFmtId="0" fontId="14" fillId="0" borderId="0" xfId="0" applyFont="1" applyAlignment="1">
      <alignment horizontal="right"/>
    </xf>
    <xf numFmtId="166" fontId="3" fillId="3" borderId="0" xfId="1" applyNumberFormat="1" applyFont="1" applyFill="1" applyBorder="1"/>
    <xf numFmtId="166" fontId="17" fillId="2" borderId="37" xfId="2" applyNumberFormat="1" applyBorder="1"/>
    <xf numFmtId="166" fontId="21" fillId="0" borderId="8" xfId="2" applyNumberFormat="1" applyFont="1" applyFill="1" applyBorder="1"/>
    <xf numFmtId="3" fontId="21" fillId="0" borderId="8" xfId="2" applyNumberFormat="1" applyFont="1" applyFill="1" applyBorder="1"/>
    <xf numFmtId="165" fontId="0" fillId="0" borderId="17" xfId="1" applyFont="1" applyBorder="1"/>
    <xf numFmtId="0" fontId="16" fillId="0" borderId="0" xfId="0" applyFont="1"/>
    <xf numFmtId="168" fontId="9" fillId="0" borderId="0" xfId="0" applyNumberFormat="1" applyFont="1"/>
    <xf numFmtId="0" fontId="23" fillId="0" borderId="38" xfId="0" applyFont="1" applyBorder="1" applyAlignment="1">
      <alignment horizontal="right"/>
    </xf>
    <xf numFmtId="0" fontId="23" fillId="0" borderId="38" xfId="0" applyFont="1" applyBorder="1" applyAlignment="1">
      <alignment horizontal="center"/>
    </xf>
    <xf numFmtId="3" fontId="24" fillId="0" borderId="38" xfId="0" applyNumberFormat="1" applyFont="1" applyBorder="1" applyAlignment="1">
      <alignment horizontal="right"/>
    </xf>
    <xf numFmtId="3" fontId="23" fillId="0" borderId="38" xfId="0" applyNumberFormat="1" applyFont="1" applyBorder="1" applyAlignment="1">
      <alignment horizontal="right"/>
    </xf>
    <xf numFmtId="15" fontId="17" fillId="3" borderId="0" xfId="2" applyNumberFormat="1" applyFill="1" applyBorder="1" applyAlignment="1">
      <alignment horizontal="right"/>
    </xf>
    <xf numFmtId="0" fontId="17" fillId="3" borderId="0" xfId="2" applyFill="1" applyBorder="1"/>
    <xf numFmtId="15" fontId="17" fillId="3" borderId="28" xfId="2" applyNumberFormat="1" applyFill="1" applyBorder="1" applyAlignment="1">
      <alignment horizontal="right"/>
    </xf>
    <xf numFmtId="0" fontId="17" fillId="3" borderId="28" xfId="2" applyFill="1" applyBorder="1"/>
    <xf numFmtId="166" fontId="21" fillId="0" borderId="23" xfId="2" applyNumberFormat="1" applyFont="1" applyFill="1" applyBorder="1"/>
    <xf numFmtId="3" fontId="21" fillId="0" borderId="23" xfId="2" applyNumberFormat="1" applyFont="1" applyFill="1" applyBorder="1"/>
    <xf numFmtId="166" fontId="3" fillId="3" borderId="23" xfId="1" applyNumberFormat="1" applyFont="1" applyFill="1" applyBorder="1"/>
    <xf numFmtId="0" fontId="3" fillId="0" borderId="4" xfId="0" applyFont="1" applyBorder="1"/>
    <xf numFmtId="0" fontId="25" fillId="0" borderId="24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2" xfId="0" applyFont="1" applyBorder="1" applyAlignment="1">
      <alignment horizontal="right"/>
    </xf>
    <xf numFmtId="0" fontId="25" fillId="0" borderId="3" xfId="0" applyFont="1" applyBorder="1"/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7" fillId="0" borderId="1" xfId="2" applyNumberFormat="1" applyFill="1" applyBorder="1"/>
    <xf numFmtId="0" fontId="17" fillId="0" borderId="7" xfId="2" applyNumberFormat="1" applyFill="1" applyBorder="1"/>
    <xf numFmtId="0" fontId="17" fillId="0" borderId="4" xfId="2" applyNumberFormat="1" applyFill="1" applyBorder="1"/>
    <xf numFmtId="0" fontId="17" fillId="0" borderId="18" xfId="2" applyNumberFormat="1" applyFill="1" applyBorder="1"/>
    <xf numFmtId="0" fontId="3" fillId="0" borderId="0" xfId="0" quotePrefix="1" applyFont="1" applyAlignment="1">
      <alignment horizontal="right"/>
    </xf>
    <xf numFmtId="0" fontId="20" fillId="0" borderId="0" xfId="0" quotePrefix="1" applyFont="1" applyAlignment="1">
      <alignment horizontal="right"/>
    </xf>
    <xf numFmtId="0" fontId="3" fillId="0" borderId="29" xfId="0" quotePrefix="1" applyFont="1" applyBorder="1" applyAlignment="1">
      <alignment horizontal="right"/>
    </xf>
    <xf numFmtId="0" fontId="17" fillId="0" borderId="6" xfId="2" applyNumberFormat="1" applyFill="1" applyBorder="1"/>
    <xf numFmtId="0" fontId="17" fillId="0" borderId="20" xfId="2" applyNumberFormat="1" applyFill="1" applyBorder="1"/>
    <xf numFmtId="15" fontId="21" fillId="3" borderId="0" xfId="2" applyNumberFormat="1" applyFont="1" applyFill="1" applyBorder="1" applyAlignment="1">
      <alignment horizontal="right"/>
    </xf>
    <xf numFmtId="0" fontId="21" fillId="3" borderId="0" xfId="2" applyFont="1" applyFill="1" applyBorder="1"/>
    <xf numFmtId="166" fontId="21" fillId="0" borderId="37" xfId="2" applyNumberFormat="1" applyFont="1" applyFill="1" applyBorder="1"/>
    <xf numFmtId="15" fontId="17" fillId="2" borderId="39" xfId="2" applyNumberFormat="1" applyBorder="1" applyAlignment="1">
      <alignment horizontal="center"/>
    </xf>
    <xf numFmtId="169" fontId="0" fillId="0" borderId="0" xfId="1" applyNumberFormat="1" applyFont="1"/>
    <xf numFmtId="169" fontId="0" fillId="0" borderId="0" xfId="0" applyNumberFormat="1"/>
    <xf numFmtId="9" fontId="0" fillId="0" borderId="0" xfId="4" applyFont="1"/>
    <xf numFmtId="0" fontId="17" fillId="2" borderId="43" xfId="2" applyNumberFormat="1" applyBorder="1"/>
    <xf numFmtId="0" fontId="6" fillId="0" borderId="20" xfId="1" applyNumberFormat="1" applyFont="1" applyBorder="1"/>
    <xf numFmtId="0" fontId="6" fillId="0" borderId="25" xfId="1" applyNumberFormat="1" applyFont="1" applyBorder="1"/>
    <xf numFmtId="3" fontId="17" fillId="2" borderId="37" xfId="2" applyNumberFormat="1" applyBorder="1"/>
    <xf numFmtId="0" fontId="20" fillId="0" borderId="0" xfId="0" applyFont="1"/>
    <xf numFmtId="0" fontId="1" fillId="0" borderId="8" xfId="0" applyFont="1" applyBorder="1"/>
    <xf numFmtId="166" fontId="6" fillId="0" borderId="7" xfId="1" applyNumberFormat="1" applyFont="1" applyBorder="1"/>
    <xf numFmtId="3" fontId="4" fillId="0" borderId="0" xfId="0" applyNumberFormat="1" applyFont="1"/>
    <xf numFmtId="3" fontId="17" fillId="2" borderId="34" xfId="2" applyNumberFormat="1" applyBorder="1"/>
    <xf numFmtId="3" fontId="17" fillId="2" borderId="32" xfId="2" applyNumberFormat="1" applyAlignment="1">
      <alignment horizontal="right"/>
    </xf>
    <xf numFmtId="3" fontId="17" fillId="2" borderId="44" xfId="2" applyNumberFormat="1" applyBorder="1"/>
    <xf numFmtId="3" fontId="6" fillId="0" borderId="2" xfId="0" applyNumberFormat="1" applyFont="1" applyBorder="1"/>
    <xf numFmtId="3" fontId="6" fillId="0" borderId="5" xfId="0" applyNumberFormat="1" applyFont="1" applyBorder="1"/>
    <xf numFmtId="3" fontId="6" fillId="0" borderId="2" xfId="0" applyNumberFormat="1" applyFont="1" applyBorder="1" applyAlignment="1">
      <alignment horizontal="center"/>
    </xf>
    <xf numFmtId="3" fontId="6" fillId="0" borderId="24" xfId="1" applyNumberFormat="1" applyFont="1" applyBorder="1"/>
    <xf numFmtId="3" fontId="6" fillId="0" borderId="0" xfId="1" applyNumberFormat="1" applyFont="1" applyBorder="1"/>
    <xf numFmtId="3" fontId="6" fillId="0" borderId="21" xfId="1" applyNumberFormat="1" applyFont="1" applyBorder="1"/>
    <xf numFmtId="3" fontId="6" fillId="0" borderId="25" xfId="1" applyNumberFormat="1" applyFont="1" applyBorder="1"/>
    <xf numFmtId="3" fontId="6" fillId="0" borderId="19" xfId="1" applyNumberFormat="1" applyFont="1" applyBorder="1"/>
    <xf numFmtId="0" fontId="1" fillId="0" borderId="14" xfId="0" applyFont="1" applyBorder="1"/>
    <xf numFmtId="15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17" fontId="1" fillId="0" borderId="0" xfId="0" quotePrefix="1" applyNumberFormat="1" applyFont="1" applyAlignment="1">
      <alignment horizontal="right"/>
    </xf>
    <xf numFmtId="0" fontId="6" fillId="0" borderId="14" xfId="0" applyFont="1" applyBorder="1"/>
    <xf numFmtId="0" fontId="1" fillId="0" borderId="17" xfId="0" applyFont="1" applyBorder="1"/>
    <xf numFmtId="166" fontId="6" fillId="0" borderId="8" xfId="1" applyNumberFormat="1" applyFont="1" applyBorder="1"/>
    <xf numFmtId="166" fontId="6" fillId="0" borderId="15" xfId="1" applyNumberFormat="1" applyFont="1" applyBorder="1"/>
    <xf numFmtId="0" fontId="1" fillId="0" borderId="22" xfId="0" applyFont="1" applyBorder="1"/>
    <xf numFmtId="3" fontId="1" fillId="0" borderId="0" xfId="0" applyNumberFormat="1" applyFont="1"/>
    <xf numFmtId="0" fontId="1" fillId="0" borderId="2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5" xfId="0" applyFont="1" applyBorder="1" applyAlignment="1">
      <alignment horizontal="right"/>
    </xf>
    <xf numFmtId="0" fontId="1" fillId="0" borderId="20" xfId="0" applyFont="1" applyBorder="1"/>
    <xf numFmtId="3" fontId="1" fillId="0" borderId="25" xfId="0" applyNumberFormat="1" applyFont="1" applyBorder="1" applyAlignment="1">
      <alignment horizontal="right"/>
    </xf>
    <xf numFmtId="3" fontId="1" fillId="0" borderId="20" xfId="0" applyNumberFormat="1" applyFont="1" applyBorder="1"/>
    <xf numFmtId="0" fontId="1" fillId="0" borderId="6" xfId="0" applyFont="1" applyBorder="1" applyAlignment="1">
      <alignment horizontal="right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6" fontId="1" fillId="0" borderId="18" xfId="1" applyNumberFormat="1" applyFont="1" applyBorder="1"/>
    <xf numFmtId="166" fontId="1" fillId="0" borderId="4" xfId="1" applyNumberFormat="1" applyFont="1" applyBorder="1"/>
    <xf numFmtId="166" fontId="1" fillId="0" borderId="0" xfId="1" applyNumberFormat="1" applyFont="1" applyBorder="1"/>
    <xf numFmtId="166" fontId="1" fillId="0" borderId="21" xfId="1" applyNumberFormat="1" applyFont="1" applyBorder="1"/>
    <xf numFmtId="166" fontId="1" fillId="0" borderId="20" xfId="1" applyNumberFormat="1" applyFont="1" applyBorder="1"/>
    <xf numFmtId="166" fontId="1" fillId="0" borderId="6" xfId="1" applyNumberFormat="1" applyFont="1" applyBorder="1"/>
    <xf numFmtId="15" fontId="1" fillId="0" borderId="0" xfId="0" applyNumberFormat="1" applyFont="1"/>
    <xf numFmtId="49" fontId="1" fillId="0" borderId="0" xfId="0" applyNumberFormat="1" applyFont="1"/>
    <xf numFmtId="9" fontId="3" fillId="3" borderId="0" xfId="4" applyFont="1" applyFill="1" applyBorder="1"/>
    <xf numFmtId="9" fontId="21" fillId="0" borderId="26" xfId="4" applyFont="1" applyFill="1" applyBorder="1"/>
    <xf numFmtId="3" fontId="0" fillId="0" borderId="3" xfId="0" applyNumberForma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3" fontId="3" fillId="0" borderId="3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26" fillId="0" borderId="31" xfId="0" applyNumberFormat="1" applyFont="1" applyBorder="1" applyAlignment="1">
      <alignment horizontal="center"/>
    </xf>
    <xf numFmtId="3" fontId="26" fillId="0" borderId="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23" fillId="0" borderId="40" xfId="0" applyFont="1" applyBorder="1" applyAlignment="1">
      <alignment horizontal="left"/>
    </xf>
    <xf numFmtId="0" fontId="23" fillId="0" borderId="41" xfId="0" applyFont="1" applyBorder="1" applyAlignment="1">
      <alignment horizontal="left"/>
    </xf>
    <xf numFmtId="0" fontId="23" fillId="0" borderId="42" xfId="0" applyFont="1" applyBorder="1" applyAlignment="1">
      <alignment horizontal="left"/>
    </xf>
  </cellXfs>
  <cellStyles count="5">
    <cellStyle name="Comma" xfId="1" builtinId="3"/>
    <cellStyle name="Input" xfId="2" builtinId="20"/>
    <cellStyle name="Normal" xfId="0" builtinId="0"/>
    <cellStyle name="Normal 2" xfId="3" xr:uid="{00000000-0005-0000-0000-000003000000}"/>
    <cellStyle name="Percent" xfId="4" builtinId="5"/>
  </cellStyles>
  <dxfs count="0"/>
  <tableStyles count="1" defaultTableStyle="TableStyleMedium9" defaultPivotStyle="PivotStyleLight16">
    <tableStyle name="Invisible" pivot="0" table="0" count="0" xr9:uid="{0C020B26-ECE7-405D-8E99-B1CAFE2EBF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10.xml"/><Relationship Id="rId26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21" Type="http://schemas.openxmlformats.org/officeDocument/2006/relationships/styles" Target="styles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5.xml"/><Relationship Id="rId17" Type="http://schemas.openxmlformats.org/officeDocument/2006/relationships/worksheet" Target="worksheets/sheet9.xml"/><Relationship Id="rId25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4.xml"/><Relationship Id="rId24" Type="http://schemas.openxmlformats.org/officeDocument/2006/relationships/customXml" Target="../customXml/item1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7.xml"/><Relationship Id="rId23" Type="http://schemas.openxmlformats.org/officeDocument/2006/relationships/calcChain" Target="calcChain.xml"/><Relationship Id="rId10" Type="http://schemas.openxmlformats.org/officeDocument/2006/relationships/worksheet" Target="worksheets/sheet3.xml"/><Relationship Id="rId19" Type="http://schemas.openxmlformats.org/officeDocument/2006/relationships/worksheet" Target="worksheets/sheet11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2.xml"/><Relationship Id="rId14" Type="http://schemas.openxmlformats.org/officeDocument/2006/relationships/worksheet" Target="worksheets/sheet6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Yellow Maize Exports for 2025/26 (ton, %)</a:t>
            </a:r>
          </a:p>
        </c:rich>
      </c:tx>
      <c:layout>
        <c:manualLayout>
          <c:xMode val="edge"/>
          <c:yMode val="edge"/>
          <c:x val="0.2350416889310091"/>
          <c:y val="1.310174463486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705824079682348"/>
          <c:y val="0.1043931634529936"/>
          <c:w val="0.46882627977302144"/>
          <c:h val="0.71988677861021244"/>
        </c:manualLayout>
      </c:layout>
      <c:pieChart>
        <c:varyColors val="1"/>
        <c:ser>
          <c:idx val="2"/>
          <c:order val="0"/>
          <c:tx>
            <c:strRef>
              <c:f>'Export destin -Uitvoer bestem.'!$P$56</c:f>
              <c:strCache>
                <c:ptCount val="1"/>
                <c:pt idx="0">
                  <c:v>2025/26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FC96-454B-B071-B55D7535F8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96-454B-B071-B55D7535F8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C96-454B-B071-B55D7535F8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96-454B-B071-B55D7535F8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C96-454B-B071-B55D7535F8D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96-454B-B071-B55D7535F8D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C96-454B-B071-B55D7535F8D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96-454B-B071-B55D7535F8D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C96-454B-B071-B55D7535F8D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C96-454B-B071-B55D7535F8D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C96-454B-B071-B55D7535F8D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C96-454B-B071-B55D7535F8D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C96-454B-B071-B55D7535F8D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C96-454B-B071-B55D7535F8D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C96-454B-B071-B55D7535F8D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C96-454B-B071-B55D7535F8D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C96-454B-B071-B55D7535F8D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C96-454B-B071-B55D7535F8D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FC96-454B-B071-B55D7535F8D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C96-454B-B071-B55D7535F8D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C96-454B-B071-B55D7535F8D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C96-454B-B071-B55D7535F8D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FC96-454B-B071-B55D7535F8D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C96-454B-B071-B55D7535F8D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FC96-454B-B071-B55D7535F8D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C96-454B-B071-B55D7535F8D2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FC96-454B-B071-B55D7535F8D2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C96-454B-B071-B55D7535F8D2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FC96-454B-B071-B55D7535F8D2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C96-454B-B071-B55D7535F8D2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FC96-454B-B071-B55D7535F8D2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FC96-454B-B071-B55D7535F8D2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FC96-454B-B071-B55D7535F8D2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FC96-454B-B071-B55D7535F8D2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FC96-454B-B071-B55D7535F8D2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FC96-454B-B071-B55D7535F8D2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FC96-454B-B071-B55D7535F8D2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2C2-42BA-974F-66FD66375BD7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7237-4D95-B20D-7C0DED10092B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77CB-49DB-8C0C-FD381F35E16E}"/>
              </c:ext>
            </c:extLst>
          </c:dPt>
          <c:dLbls>
            <c:dLbl>
              <c:idx val="0"/>
              <c:layout>
                <c:manualLayout>
                  <c:x val="-8.4031588562442958E-2"/>
                  <c:y val="9.4555813373564928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96-454B-B071-B55D7535F8D2}"/>
                </c:ext>
              </c:extLst>
            </c:dLbl>
            <c:dLbl>
              <c:idx val="1"/>
              <c:layout>
                <c:manualLayout>
                  <c:x val="-7.2738023131723978E-2"/>
                  <c:y val="-1.512231749073716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96-454B-B071-B55D7535F8D2}"/>
                </c:ext>
              </c:extLst>
            </c:dLbl>
            <c:dLbl>
              <c:idx val="2"/>
              <c:layout>
                <c:manualLayout>
                  <c:x val="-8.0433938048492831E-2"/>
                  <c:y val="-0.1031618632212036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96-454B-B071-B55D7535F8D2}"/>
                </c:ext>
              </c:extLst>
            </c:dLbl>
            <c:dLbl>
              <c:idx val="3"/>
              <c:layout>
                <c:manualLayout>
                  <c:x val="1.5968388566813763E-2"/>
                  <c:y val="1.50708129089333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96-454B-B071-B55D7535F8D2}"/>
                </c:ext>
              </c:extLst>
            </c:dLbl>
            <c:dLbl>
              <c:idx val="4"/>
              <c:layout>
                <c:manualLayout>
                  <c:x val="7.1804909001759287E-2"/>
                  <c:y val="5.12965436890981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96-454B-B071-B55D7535F8D2}"/>
                </c:ext>
              </c:extLst>
            </c:dLbl>
            <c:dLbl>
              <c:idx val="5"/>
              <c:layout>
                <c:manualLayout>
                  <c:x val="-4.9406269150276917E-3"/>
                  <c:y val="2.817671945596172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96-454B-B071-B55D7535F8D2}"/>
                </c:ext>
              </c:extLst>
            </c:dLbl>
            <c:dLbl>
              <c:idx val="7"/>
              <c:layout>
                <c:manualLayout>
                  <c:x val="-2.6701277724900043E-3"/>
                  <c:y val="2.029465670260598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96-454B-B071-B55D7535F8D2}"/>
                </c:ext>
              </c:extLst>
            </c:dLbl>
            <c:dLbl>
              <c:idx val="13"/>
              <c:layout>
                <c:manualLayout>
                  <c:x val="-0.10129018488073606"/>
                  <c:y val="-0.2612896444315552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96-454B-B071-B55D7535F8D2}"/>
                </c:ext>
              </c:extLst>
            </c:dLbl>
            <c:dLbl>
              <c:idx val="16"/>
              <c:layout>
                <c:manualLayout>
                  <c:x val="0.17070149270988694"/>
                  <c:y val="5.92200371088879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C96-454B-B071-B55D7535F8D2}"/>
                </c:ext>
              </c:extLst>
            </c:dLbl>
            <c:dLbl>
              <c:idx val="20"/>
              <c:layout>
                <c:manualLayout>
                  <c:x val="0.11018580827176333"/>
                  <c:y val="6.86981035583112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C96-454B-B071-B55D7535F8D2}"/>
                </c:ext>
              </c:extLst>
            </c:dLbl>
            <c:dLbl>
              <c:idx val="22"/>
              <c:layout>
                <c:manualLayout>
                  <c:x val="-4.6597444550200456E-2"/>
                  <c:y val="0.1966246320830792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C96-454B-B071-B55D7535F8D2}"/>
                </c:ext>
              </c:extLst>
            </c:dLbl>
            <c:dLbl>
              <c:idx val="26"/>
              <c:layout>
                <c:manualLayout>
                  <c:x val="-6.9422456554164236E-2"/>
                  <c:y val="0.127569705960667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C96-454B-B071-B55D7535F8D2}"/>
                </c:ext>
              </c:extLst>
            </c:dLbl>
            <c:dLbl>
              <c:idx val="28"/>
              <c:layout>
                <c:manualLayout>
                  <c:x val="-5.0199220692127171E-2"/>
                  <c:y val="-3.60936766962102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C96-454B-B071-B55D7535F8D2}"/>
                </c:ext>
              </c:extLst>
            </c:dLbl>
            <c:dLbl>
              <c:idx val="30"/>
              <c:layout>
                <c:manualLayout>
                  <c:x val="-6.8858238873986899E-2"/>
                  <c:y val="5.411835517256639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C96-454B-B071-B55D7535F8D2}"/>
                </c:ext>
              </c:extLst>
            </c:dLbl>
            <c:dLbl>
              <c:idx val="33"/>
              <c:layout>
                <c:manualLayout>
                  <c:x val="-4.3353580802399726E-2"/>
                  <c:y val="4.85740384254476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C96-454B-B071-B55D7535F8D2}"/>
                </c:ext>
              </c:extLst>
            </c:dLbl>
            <c:dLbl>
              <c:idx val="35"/>
              <c:layout>
                <c:manualLayout>
                  <c:x val="-2.5458508215107499E-2"/>
                  <c:y val="-7.562949792566251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C96-454B-B071-B55D7535F8D2}"/>
                </c:ext>
              </c:extLst>
            </c:dLbl>
            <c:dLbl>
              <c:idx val="38"/>
              <c:layout>
                <c:manualLayout>
                  <c:x val="-2.8782129106108431E-2"/>
                  <c:y val="2.01250206043084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7237-4D95-B20D-7C0DED1009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 destin -Uitvoer bestem.'!$A$57:$A$96</c:f>
              <c:strCache>
                <c:ptCount val="40"/>
                <c:pt idx="0">
                  <c:v>Lesotho</c:v>
                </c:pt>
                <c:pt idx="1">
                  <c:v>Mozambique</c:v>
                </c:pt>
                <c:pt idx="2">
                  <c:v>Eswatini (Swaziland)</c:v>
                </c:pt>
                <c:pt idx="3">
                  <c:v>Namibia</c:v>
                </c:pt>
                <c:pt idx="4">
                  <c:v>Botswana</c:v>
                </c:pt>
                <c:pt idx="5">
                  <c:v>Taiwan, Prov of China</c:v>
                </c:pt>
                <c:pt idx="6">
                  <c:v>Japan</c:v>
                </c:pt>
                <c:pt idx="7">
                  <c:v>China</c:v>
                </c:pt>
                <c:pt idx="8">
                  <c:v>Angola</c:v>
                </c:pt>
                <c:pt idx="9">
                  <c:v>Egipte</c:v>
                </c:pt>
                <c:pt idx="10">
                  <c:v>Kuwait</c:v>
                </c:pt>
                <c:pt idx="11">
                  <c:v>Cameroon</c:v>
                </c:pt>
                <c:pt idx="12">
                  <c:v>Yemen</c:v>
                </c:pt>
                <c:pt idx="13">
                  <c:v>Ghana</c:v>
                </c:pt>
                <c:pt idx="14">
                  <c:v>North Korea</c:v>
                </c:pt>
                <c:pt idx="15">
                  <c:v>South Korea</c:v>
                </c:pt>
                <c:pt idx="16">
                  <c:v>Korea, Rep of</c:v>
                </c:pt>
                <c:pt idx="17">
                  <c:v>Korea, Dem Peoples Rep</c:v>
                </c:pt>
                <c:pt idx="18">
                  <c:v>Malaysia</c:v>
                </c:pt>
                <c:pt idx="19">
                  <c:v>Mauritius</c:v>
                </c:pt>
                <c:pt idx="20">
                  <c:v>Madagaskar</c:v>
                </c:pt>
                <c:pt idx="21">
                  <c:v>Nigeria</c:v>
                </c:pt>
                <c:pt idx="22">
                  <c:v>Malawi</c:v>
                </c:pt>
                <c:pt idx="23">
                  <c:v>Palau</c:v>
                </c:pt>
                <c:pt idx="24">
                  <c:v>Portugal</c:v>
                </c:pt>
                <c:pt idx="25">
                  <c:v>Qatar</c:v>
                </c:pt>
                <c:pt idx="26">
                  <c:v>Saudi Arabia</c:v>
                </c:pt>
                <c:pt idx="27">
                  <c:v>Senegal</c:v>
                </c:pt>
                <c:pt idx="28">
                  <c:v>Sri Lanka</c:v>
                </c:pt>
                <c:pt idx="29">
                  <c:v>Tanzania</c:v>
                </c:pt>
                <c:pt idx="30">
                  <c:v>Zambia</c:v>
                </c:pt>
                <c:pt idx="31">
                  <c:v>Seychelles</c:v>
                </c:pt>
                <c:pt idx="32">
                  <c:v>Spain</c:v>
                </c:pt>
                <c:pt idx="33">
                  <c:v>Zimbabwe</c:v>
                </c:pt>
                <c:pt idx="34">
                  <c:v>Iran</c:v>
                </c:pt>
                <c:pt idx="35">
                  <c:v>France</c:v>
                </c:pt>
                <c:pt idx="36">
                  <c:v>Italy</c:v>
                </c:pt>
                <c:pt idx="37">
                  <c:v>Indonesia</c:v>
                </c:pt>
                <c:pt idx="38">
                  <c:v>Vietnam</c:v>
                </c:pt>
                <c:pt idx="39">
                  <c:v>Central African Republic</c:v>
                </c:pt>
              </c:strCache>
            </c:strRef>
          </c:cat>
          <c:val>
            <c:numRef>
              <c:f>'Export destin -Uitvoer bestem.'!$P$57:$P$96</c:f>
              <c:numCache>
                <c:formatCode>_ * #\ ##0_ ;_ * \-#\ ##0_ ;_ * "-"??_ ;_ @_ </c:formatCode>
                <c:ptCount val="40"/>
                <c:pt idx="0">
                  <c:v>1779</c:v>
                </c:pt>
                <c:pt idx="1">
                  <c:v>90486</c:v>
                </c:pt>
                <c:pt idx="2">
                  <c:v>106657</c:v>
                </c:pt>
                <c:pt idx="3">
                  <c:v>56522</c:v>
                </c:pt>
                <c:pt idx="4">
                  <c:v>42132</c:v>
                </c:pt>
                <c:pt idx="5">
                  <c:v>50255</c:v>
                </c:pt>
                <c:pt idx="16">
                  <c:v>47633</c:v>
                </c:pt>
                <c:pt idx="19">
                  <c:v>33013</c:v>
                </c:pt>
                <c:pt idx="20">
                  <c:v>1330</c:v>
                </c:pt>
                <c:pt idx="26">
                  <c:v>0</c:v>
                </c:pt>
                <c:pt idx="28">
                  <c:v>4660</c:v>
                </c:pt>
                <c:pt idx="30">
                  <c:v>0</c:v>
                </c:pt>
                <c:pt idx="33">
                  <c:v>294154</c:v>
                </c:pt>
                <c:pt idx="35">
                  <c:v>480</c:v>
                </c:pt>
                <c:pt idx="38">
                  <c:v>109120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FC96-454B-B071-B55D7535F8D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283181909953548"/>
          <c:y val="1.8166473917221367E-2"/>
          <c:w val="0.20481266764731332"/>
          <c:h val="0.9807647218525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 White Maize Exports for 2025/26</a:t>
            </a:r>
          </a:p>
          <a:p>
            <a:pPr>
              <a:defRPr/>
            </a:pPr>
            <a:r>
              <a:rPr lang="en-ZA"/>
              <a:t> (ton, %)</a:t>
            </a:r>
          </a:p>
        </c:rich>
      </c:tx>
      <c:layout>
        <c:manualLayout>
          <c:xMode val="edge"/>
          <c:yMode val="edge"/>
          <c:x val="0.29057217847769029"/>
          <c:y val="1.00913634053886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295156199775674"/>
          <c:y val="0.17128780457774212"/>
          <c:w val="0.45925961318168285"/>
          <c:h val="0.70519707990601233"/>
        </c:manualLayout>
      </c:layout>
      <c:pieChart>
        <c:varyColors val="1"/>
        <c:ser>
          <c:idx val="2"/>
          <c:order val="0"/>
          <c:tx>
            <c:strRef>
              <c:f>'Export destin -Uitvoer bestem.'!$P$8</c:f>
              <c:strCache>
                <c:ptCount val="1"/>
                <c:pt idx="0">
                  <c:v>2025/26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A06-4987-A069-6E8F218A3E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06-4987-A069-6E8F218A3E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A06-4987-A069-6E8F218A3E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06-4987-A069-6E8F218A3E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A06-4987-A069-6E8F218A3E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06-4987-A069-6E8F218A3EE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A06-4987-A069-6E8F218A3EE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A06-4987-A069-6E8F218A3EE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A06-4987-A069-6E8F218A3EE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A06-4987-A069-6E8F218A3EE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A06-4987-A069-6E8F218A3EE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A06-4987-A069-6E8F218A3EE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A06-4987-A069-6E8F218A3EE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A06-4987-A069-6E8F218A3EE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A06-4987-A069-6E8F218A3EE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A06-4987-A069-6E8F218A3EE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A06-4987-A069-6E8F218A3EE0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A06-4987-A069-6E8F218A3EE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A06-4987-A069-6E8F218A3EE0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A06-4987-A069-6E8F218A3EE0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A06-4987-A069-6E8F218A3EE0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A06-4987-A069-6E8F218A3EE0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CA06-4987-A069-6E8F218A3EE0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A06-4987-A069-6E8F218A3EE0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CA06-4987-A069-6E8F218A3EE0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A06-4987-A069-6E8F218A3EE0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CA06-4987-A069-6E8F218A3EE0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A06-4987-A069-6E8F218A3EE0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CA06-4987-A069-6E8F218A3EE0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A06-4987-A069-6E8F218A3EE0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CA06-4987-A069-6E8F218A3EE0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A06-4987-A069-6E8F218A3EE0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CA06-4987-A069-6E8F218A3EE0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A06-4987-A069-6E8F218A3EE0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CA06-4987-A069-6E8F218A3EE0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A06-4987-A069-6E8F218A3EE0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CA06-4987-A069-6E8F218A3EE0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A06-4987-A069-6E8F218A3EE0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CA06-4987-A069-6E8F218A3EE0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A7D3-437B-9B8A-2138CFE556CC}"/>
              </c:ext>
            </c:extLst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A7D3-437B-9B8A-2138CFE556CC}"/>
              </c:ext>
            </c:extLst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A7D3-437B-9B8A-2138CFE556CC}"/>
              </c:ext>
            </c:extLst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A7D3-437B-9B8A-2138CFE556CC}"/>
              </c:ext>
            </c:extLst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A7D3-437B-9B8A-2138CFE556CC}"/>
              </c:ext>
            </c:extLst>
          </c:dPt>
          <c:dLbls>
            <c:dLbl>
              <c:idx val="0"/>
              <c:layout>
                <c:manualLayout>
                  <c:x val="0.14764526662150662"/>
                  <c:y val="-2.59538284970472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06-4987-A069-6E8F218A3EE0}"/>
                </c:ext>
              </c:extLst>
            </c:dLbl>
            <c:dLbl>
              <c:idx val="1"/>
              <c:layout>
                <c:manualLayout>
                  <c:x val="5.4485098638197844E-2"/>
                  <c:y val="4.82073427580540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06-4987-A069-6E8F218A3EE0}"/>
                </c:ext>
              </c:extLst>
            </c:dLbl>
            <c:dLbl>
              <c:idx val="2"/>
              <c:layout>
                <c:manualLayout>
                  <c:x val="5.698714702497016E-2"/>
                  <c:y val="4.66896029387764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06-4987-A069-6E8F218A3EE0}"/>
                </c:ext>
              </c:extLst>
            </c:dLbl>
            <c:dLbl>
              <c:idx val="3"/>
              <c:layout>
                <c:manualLayout>
                  <c:x val="4.0942512955111379E-2"/>
                  <c:y val="2.344046616814330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06-4987-A069-6E8F218A3EE0}"/>
                </c:ext>
              </c:extLst>
            </c:dLbl>
            <c:dLbl>
              <c:idx val="4"/>
              <c:layout>
                <c:manualLayout>
                  <c:x val="4.4944828050339863E-2"/>
                  <c:y val="4.02486010003466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06-4987-A069-6E8F218A3EE0}"/>
                </c:ext>
              </c:extLst>
            </c:dLbl>
            <c:dLbl>
              <c:idx val="5"/>
              <c:layout>
                <c:manualLayout>
                  <c:x val="0.15885439430203382"/>
                  <c:y val="-4.26453306239946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06-4987-A069-6E8F218A3EE0}"/>
                </c:ext>
              </c:extLst>
            </c:dLbl>
            <c:dLbl>
              <c:idx val="6"/>
              <c:layout>
                <c:manualLayout>
                  <c:x val="-4.367873388419697E-2"/>
                  <c:y val="-3.8325457783903093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06-4987-A069-6E8F218A3EE0}"/>
                </c:ext>
              </c:extLst>
            </c:dLbl>
            <c:dLbl>
              <c:idx val="7"/>
              <c:layout>
                <c:manualLayout>
                  <c:x val="-0.11721482633046203"/>
                  <c:y val="-3.13677757289095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06-4987-A069-6E8F218A3EE0}"/>
                </c:ext>
              </c:extLst>
            </c:dLbl>
            <c:dLbl>
              <c:idx val="13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06-4987-A069-6E8F218A3EE0}"/>
                </c:ext>
              </c:extLst>
            </c:dLbl>
            <c:dLbl>
              <c:idx val="15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06-4987-A069-6E8F218A3EE0}"/>
                </c:ext>
              </c:extLst>
            </c:dLbl>
            <c:dLbl>
              <c:idx val="16"/>
              <c:layout>
                <c:manualLayout>
                  <c:x val="-6.0170940170940171E-2"/>
                  <c:y val="3.77952755905511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06-4987-A069-6E8F218A3EE0}"/>
                </c:ext>
              </c:extLst>
            </c:dLbl>
            <c:dLbl>
              <c:idx val="17"/>
              <c:layout>
                <c:manualLayout>
                  <c:x val="-2.7406646111682094E-2"/>
                  <c:y val="-2.10637177461821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06-4987-A069-6E8F218A3EE0}"/>
                </c:ext>
              </c:extLst>
            </c:dLbl>
            <c:dLbl>
              <c:idx val="18"/>
              <c:layout>
                <c:manualLayout>
                  <c:x val="-0.10365326379877104"/>
                  <c:y val="-2.08517952428013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06-4987-A069-6E8F218A3EE0}"/>
                </c:ext>
              </c:extLst>
            </c:dLbl>
            <c:dLbl>
              <c:idx val="21"/>
              <c:layout>
                <c:manualLayout>
                  <c:x val="-3.9739636861939022E-2"/>
                  <c:y val="2.10637177461821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06-4987-A069-6E8F218A3EE0}"/>
                </c:ext>
              </c:extLst>
            </c:dLbl>
            <c:dLbl>
              <c:idx val="22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06-4987-A069-6E8F218A3EE0}"/>
                </c:ext>
              </c:extLst>
            </c:dLbl>
            <c:dLbl>
              <c:idx val="23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06-4987-A069-6E8F218A3EE0}"/>
                </c:ext>
              </c:extLst>
            </c:dLbl>
            <c:dLbl>
              <c:idx val="26"/>
              <c:layout>
                <c:manualLayout>
                  <c:x val="-2.27876976916347E-2"/>
                  <c:y val="-4.197675762227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06-4987-A069-6E8F218A3EE0}"/>
                </c:ext>
              </c:extLst>
            </c:dLbl>
            <c:dLbl>
              <c:idx val="27"/>
              <c:layout>
                <c:manualLayout>
                  <c:x val="-0.12170940170940171"/>
                  <c:y val="1.46981627296587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A06-4987-A069-6E8F218A3EE0}"/>
                </c:ext>
              </c:extLst>
            </c:dLbl>
            <c:dLbl>
              <c:idx val="29"/>
              <c:layout>
                <c:manualLayout>
                  <c:x val="-4.2480301473107225E-2"/>
                  <c:y val="3.15955766192733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A06-4987-A069-6E8F218A3EE0}"/>
                </c:ext>
              </c:extLst>
            </c:dLbl>
            <c:dLbl>
              <c:idx val="31"/>
              <c:layout>
                <c:manualLayout>
                  <c:x val="-0.10675657850461005"/>
                  <c:y val="-2.33389458393172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A06-4987-A069-6E8F218A3EE0}"/>
                </c:ext>
              </c:extLst>
            </c:dLbl>
            <c:dLbl>
              <c:idx val="33"/>
              <c:layout>
                <c:manualLayout>
                  <c:x val="-5.2072627612196005E-2"/>
                  <c:y val="-4.21274354923643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A06-4987-A069-6E8F218A3EE0}"/>
                </c:ext>
              </c:extLst>
            </c:dLbl>
            <c:dLbl>
              <c:idx val="34"/>
              <c:layout>
                <c:manualLayout>
                  <c:x val="-0.17788028804091796"/>
                  <c:y val="-4.05059210118420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A06-4987-A069-6E8F218A3EE0}"/>
                </c:ext>
              </c:extLst>
            </c:dLbl>
            <c:dLbl>
              <c:idx val="35"/>
              <c:layout>
                <c:manualLayout>
                  <c:x val="7.3997944501541568E-2"/>
                  <c:y val="-5.05529225908372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A06-4987-A069-6E8F218A3EE0}"/>
                </c:ext>
              </c:extLst>
            </c:dLbl>
            <c:dLbl>
              <c:idx val="36"/>
              <c:layout>
                <c:manualLayout>
                  <c:x val="-0.14749793548208093"/>
                  <c:y val="-5.24440370495836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A06-4987-A069-6E8F218A3EE0}"/>
                </c:ext>
              </c:extLst>
            </c:dLbl>
            <c:dLbl>
              <c:idx val="38"/>
              <c:layout>
                <c:manualLayout>
                  <c:x val="2.7315408331479146E-3"/>
                  <c:y val="-4.18300688038757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A06-4987-A069-6E8F218A3E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 destin -Uitvoer bestem.'!$A$9:$A$52</c:f>
              <c:strCache>
                <c:ptCount val="44"/>
                <c:pt idx="0">
                  <c:v>Eswatini (Swaziland)</c:v>
                </c:pt>
                <c:pt idx="1">
                  <c:v>Lesotho</c:v>
                </c:pt>
                <c:pt idx="2">
                  <c:v>Mozambique</c:v>
                </c:pt>
                <c:pt idx="3">
                  <c:v>Zimbabwe</c:v>
                </c:pt>
                <c:pt idx="4">
                  <c:v>Namibia</c:v>
                </c:pt>
                <c:pt idx="5">
                  <c:v>Botswana</c:v>
                </c:pt>
                <c:pt idx="6">
                  <c:v>Mexiko</c:v>
                </c:pt>
                <c:pt idx="7">
                  <c:v>Angola</c:v>
                </c:pt>
                <c:pt idx="8">
                  <c:v>Benin</c:v>
                </c:pt>
                <c:pt idx="9">
                  <c:v>Brazil</c:v>
                </c:pt>
                <c:pt idx="10">
                  <c:v>Cameroon</c:v>
                </c:pt>
                <c:pt idx="11">
                  <c:v>Chad</c:v>
                </c:pt>
                <c:pt idx="12">
                  <c:v>Congo</c:v>
                </c:pt>
                <c:pt idx="13">
                  <c:v>Guinea</c:v>
                </c:pt>
                <c:pt idx="14">
                  <c:v>Dar-es-Salaam</c:v>
                </c:pt>
                <c:pt idx="15">
                  <c:v>Djibouti</c:v>
                </c:pt>
                <c:pt idx="16">
                  <c:v>Ethiopia</c:v>
                </c:pt>
                <c:pt idx="17">
                  <c:v>Ghana</c:v>
                </c:pt>
                <c:pt idx="18">
                  <c:v>Kenya</c:v>
                </c:pt>
                <c:pt idx="19">
                  <c:v>Korea (North)</c:v>
                </c:pt>
                <c:pt idx="20">
                  <c:v>Iran</c:v>
                </c:pt>
                <c:pt idx="21">
                  <c:v>Madagascar </c:v>
                </c:pt>
                <c:pt idx="22">
                  <c:v>Malawië</c:v>
                </c:pt>
                <c:pt idx="23">
                  <c:v>Mali</c:v>
                </c:pt>
                <c:pt idx="24">
                  <c:v>Portugal</c:v>
                </c:pt>
                <c:pt idx="25">
                  <c:v>Nigeria</c:v>
                </c:pt>
                <c:pt idx="26">
                  <c:v>Italy</c:v>
                </c:pt>
                <c:pt idx="27">
                  <c:v>Somalia</c:v>
                </c:pt>
                <c:pt idx="28">
                  <c:v>Sudan</c:v>
                </c:pt>
                <c:pt idx="29">
                  <c:v>Mauritius</c:v>
                </c:pt>
                <c:pt idx="30">
                  <c:v>Qatar</c:v>
                </c:pt>
                <c:pt idx="31">
                  <c:v>Senegal</c:v>
                </c:pt>
                <c:pt idx="32">
                  <c:v>Spain</c:v>
                </c:pt>
                <c:pt idx="33">
                  <c:v>Singapore</c:v>
                </c:pt>
                <c:pt idx="34">
                  <c:v>Tanzania</c:v>
                </c:pt>
                <c:pt idx="35">
                  <c:v>Albania</c:v>
                </c:pt>
                <c:pt idx="36">
                  <c:v>Angola</c:v>
                </c:pt>
                <c:pt idx="37">
                  <c:v>Honduras</c:v>
                </c:pt>
                <c:pt idx="38">
                  <c:v>Guatemala</c:v>
                </c:pt>
                <c:pt idx="39">
                  <c:v>Malaysia</c:v>
                </c:pt>
                <c:pt idx="40">
                  <c:v>Togo</c:v>
                </c:pt>
                <c:pt idx="41">
                  <c:v>Uganda</c:v>
                </c:pt>
                <c:pt idx="42">
                  <c:v>Venezuela</c:v>
                </c:pt>
                <c:pt idx="43">
                  <c:v>Zambia</c:v>
                </c:pt>
              </c:strCache>
            </c:strRef>
          </c:cat>
          <c:val>
            <c:numRef>
              <c:f>'Export destin -Uitvoer bestem.'!$P$9:$P$52</c:f>
              <c:numCache>
                <c:formatCode>_ * #\ ##0_ ;_ * \-#\ ##0_ ;_ * "-"??_ ;_ @_ </c:formatCode>
                <c:ptCount val="44"/>
                <c:pt idx="0">
                  <c:v>40349</c:v>
                </c:pt>
                <c:pt idx="1">
                  <c:v>104512</c:v>
                </c:pt>
                <c:pt idx="2">
                  <c:v>93905</c:v>
                </c:pt>
                <c:pt idx="3">
                  <c:v>456547</c:v>
                </c:pt>
                <c:pt idx="4">
                  <c:v>133547</c:v>
                </c:pt>
                <c:pt idx="5">
                  <c:v>221860</c:v>
                </c:pt>
                <c:pt idx="42">
                  <c:v>66001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CA06-4987-A069-6E8F218A3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25244235633815E-4"/>
          <c:y val="0.2588210591323144"/>
          <c:w val="0.28085669829043458"/>
          <c:h val="0.71764952910297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RSA Weeklikse mielie-uitvoere
RSA Weekly maize exports</a:t>
            </a:r>
          </a:p>
        </c:rich>
      </c:tx>
      <c:layout>
        <c:manualLayout>
          <c:xMode val="edge"/>
          <c:yMode val="edge"/>
          <c:x val="0.35263729294125479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08486439195098"/>
          <c:y val="8.6882453151618397E-2"/>
          <c:w val="0.83302508019830857"/>
          <c:h val="0.6645591044836655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'Weekliks-Weekly'!$T$6:$T$7</c:f>
              <c:strCache>
                <c:ptCount val="2"/>
                <c:pt idx="0">
                  <c:v>Total / maize</c:v>
                </c:pt>
                <c:pt idx="1">
                  <c:v>Weekliks/Weekly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invertIfNegative val="0"/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'Weekliks-Weekly'!$T$9:$T$59</c:f>
              <c:numCache>
                <c:formatCode>_ * #\ ##0_ ;_ * \-#\ ##0_ ;_ * "-"??_ ;_ @_ </c:formatCode>
                <c:ptCount val="51"/>
                <c:pt idx="0">
                  <c:v>7599</c:v>
                </c:pt>
                <c:pt idx="1">
                  <c:v>13886</c:v>
                </c:pt>
                <c:pt idx="2">
                  <c:v>18731</c:v>
                </c:pt>
                <c:pt idx="3">
                  <c:v>23606</c:v>
                </c:pt>
                <c:pt idx="4">
                  <c:v>33453</c:v>
                </c:pt>
                <c:pt idx="5">
                  <c:v>13678</c:v>
                </c:pt>
                <c:pt idx="6">
                  <c:v>51139</c:v>
                </c:pt>
                <c:pt idx="7">
                  <c:v>55080</c:v>
                </c:pt>
                <c:pt idx="8">
                  <c:v>66636</c:v>
                </c:pt>
                <c:pt idx="9">
                  <c:v>52553</c:v>
                </c:pt>
                <c:pt idx="10">
                  <c:v>13220</c:v>
                </c:pt>
                <c:pt idx="11">
                  <c:v>13991</c:v>
                </c:pt>
                <c:pt idx="12">
                  <c:v>67456</c:v>
                </c:pt>
                <c:pt idx="13">
                  <c:v>32135</c:v>
                </c:pt>
                <c:pt idx="14">
                  <c:v>29830</c:v>
                </c:pt>
                <c:pt idx="15">
                  <c:v>45151</c:v>
                </c:pt>
                <c:pt idx="16">
                  <c:v>14498</c:v>
                </c:pt>
                <c:pt idx="17">
                  <c:v>15703</c:v>
                </c:pt>
                <c:pt idx="18">
                  <c:v>24215</c:v>
                </c:pt>
                <c:pt idx="19">
                  <c:v>14685</c:v>
                </c:pt>
                <c:pt idx="20">
                  <c:v>15565</c:v>
                </c:pt>
                <c:pt idx="21">
                  <c:v>34767</c:v>
                </c:pt>
                <c:pt idx="22">
                  <c:v>33051</c:v>
                </c:pt>
                <c:pt idx="23">
                  <c:v>42998</c:v>
                </c:pt>
                <c:pt idx="24">
                  <c:v>50251</c:v>
                </c:pt>
                <c:pt idx="25">
                  <c:v>66714</c:v>
                </c:pt>
                <c:pt idx="26">
                  <c:v>55317</c:v>
                </c:pt>
                <c:pt idx="27">
                  <c:v>59547</c:v>
                </c:pt>
                <c:pt idx="28">
                  <c:v>51422</c:v>
                </c:pt>
                <c:pt idx="29">
                  <c:v>45956</c:v>
                </c:pt>
                <c:pt idx="30">
                  <c:v>52192</c:v>
                </c:pt>
                <c:pt idx="31">
                  <c:v>45560</c:v>
                </c:pt>
                <c:pt idx="32">
                  <c:v>63474</c:v>
                </c:pt>
                <c:pt idx="33">
                  <c:v>37872</c:v>
                </c:pt>
                <c:pt idx="34">
                  <c:v>23327</c:v>
                </c:pt>
                <c:pt idx="35">
                  <c:v>13220</c:v>
                </c:pt>
                <c:pt idx="36">
                  <c:v>41722</c:v>
                </c:pt>
                <c:pt idx="37">
                  <c:v>41188</c:v>
                </c:pt>
                <c:pt idx="38">
                  <c:v>42804</c:v>
                </c:pt>
                <c:pt idx="39">
                  <c:v>58027</c:v>
                </c:pt>
                <c:pt idx="40">
                  <c:v>38827</c:v>
                </c:pt>
                <c:pt idx="41">
                  <c:v>41144</c:v>
                </c:pt>
                <c:pt idx="42">
                  <c:v>39319</c:v>
                </c:pt>
                <c:pt idx="43">
                  <c:v>45883</c:v>
                </c:pt>
                <c:pt idx="44">
                  <c:v>36243</c:v>
                </c:pt>
                <c:pt idx="45">
                  <c:v>57975</c:v>
                </c:pt>
                <c:pt idx="46">
                  <c:v>42372</c:v>
                </c:pt>
                <c:pt idx="47">
                  <c:v>50054</c:v>
                </c:pt>
                <c:pt idx="48">
                  <c:v>38340</c:v>
                </c:pt>
                <c:pt idx="49">
                  <c:v>36210</c:v>
                </c:pt>
                <c:pt idx="50">
                  <c:v>46356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65-4CB4-B79E-605D7D4249FD}"/>
            </c:ext>
          </c:extLst>
        </c:ser>
        <c:ser>
          <c:idx val="0"/>
          <c:order val="1"/>
          <c:tx>
            <c:strRef>
              <c:f>'Weekliks-Weekly'!$M$6</c:f>
              <c:strCache>
                <c:ptCount val="1"/>
                <c:pt idx="0">
                  <c:v>Wit/White</c:v>
                </c:pt>
              </c:strCache>
            </c:strRef>
          </c:tx>
          <c:invertIfNegative val="0"/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'Weekliks-Weekly'!$M$9:$M$59</c:f>
              <c:numCache>
                <c:formatCode>#,##0</c:formatCode>
                <c:ptCount val="51"/>
                <c:pt idx="0">
                  <c:v>2858</c:v>
                </c:pt>
                <c:pt idx="1">
                  <c:v>9460</c:v>
                </c:pt>
                <c:pt idx="2">
                  <c:v>18299</c:v>
                </c:pt>
                <c:pt idx="3">
                  <c:v>29473</c:v>
                </c:pt>
                <c:pt idx="4">
                  <c:v>44210</c:v>
                </c:pt>
                <c:pt idx="5">
                  <c:v>52292</c:v>
                </c:pt>
                <c:pt idx="6">
                  <c:v>63928</c:v>
                </c:pt>
                <c:pt idx="7">
                  <c:v>72677</c:v>
                </c:pt>
                <c:pt idx="8">
                  <c:v>88257</c:v>
                </c:pt>
                <c:pt idx="9">
                  <c:v>93320</c:v>
                </c:pt>
                <c:pt idx="10">
                  <c:v>97794</c:v>
                </c:pt>
                <c:pt idx="11">
                  <c:v>103922</c:v>
                </c:pt>
                <c:pt idx="12">
                  <c:v>114404</c:v>
                </c:pt>
                <c:pt idx="13">
                  <c:v>138611</c:v>
                </c:pt>
                <c:pt idx="14">
                  <c:v>159365</c:v>
                </c:pt>
                <c:pt idx="15">
                  <c:v>199357</c:v>
                </c:pt>
                <c:pt idx="16">
                  <c:v>208870</c:v>
                </c:pt>
                <c:pt idx="17">
                  <c:v>218987</c:v>
                </c:pt>
                <c:pt idx="18">
                  <c:v>237811</c:v>
                </c:pt>
                <c:pt idx="19">
                  <c:v>245356</c:v>
                </c:pt>
                <c:pt idx="20">
                  <c:v>256433</c:v>
                </c:pt>
                <c:pt idx="21">
                  <c:v>278020</c:v>
                </c:pt>
                <c:pt idx="22">
                  <c:v>295338</c:v>
                </c:pt>
                <c:pt idx="23">
                  <c:v>320469</c:v>
                </c:pt>
                <c:pt idx="24">
                  <c:v>350773</c:v>
                </c:pt>
                <c:pt idx="25">
                  <c:v>399441</c:v>
                </c:pt>
                <c:pt idx="26">
                  <c:v>436660</c:v>
                </c:pt>
                <c:pt idx="27">
                  <c:v>476593</c:v>
                </c:pt>
                <c:pt idx="28">
                  <c:v>507812</c:v>
                </c:pt>
                <c:pt idx="29">
                  <c:v>535011</c:v>
                </c:pt>
                <c:pt idx="30">
                  <c:v>567987</c:v>
                </c:pt>
                <c:pt idx="31">
                  <c:v>599815</c:v>
                </c:pt>
                <c:pt idx="32">
                  <c:v>630813</c:v>
                </c:pt>
                <c:pt idx="33">
                  <c:v>655543</c:v>
                </c:pt>
                <c:pt idx="34">
                  <c:v>673446</c:v>
                </c:pt>
                <c:pt idx="35">
                  <c:v>681782</c:v>
                </c:pt>
                <c:pt idx="36">
                  <c:v>710056</c:v>
                </c:pt>
                <c:pt idx="37">
                  <c:v>736675</c:v>
                </c:pt>
                <c:pt idx="38">
                  <c:v>763231</c:v>
                </c:pt>
                <c:pt idx="39">
                  <c:v>805550</c:v>
                </c:pt>
                <c:pt idx="40">
                  <c:v>831200</c:v>
                </c:pt>
                <c:pt idx="41">
                  <c:v>861312</c:v>
                </c:pt>
                <c:pt idx="42">
                  <c:v>888576</c:v>
                </c:pt>
                <c:pt idx="43">
                  <c:v>919920</c:v>
                </c:pt>
                <c:pt idx="44">
                  <c:v>944082</c:v>
                </c:pt>
                <c:pt idx="45">
                  <c:v>972012</c:v>
                </c:pt>
                <c:pt idx="46">
                  <c:v>1000756</c:v>
                </c:pt>
                <c:pt idx="47">
                  <c:v>1034296</c:v>
                </c:pt>
                <c:pt idx="48">
                  <c:v>1058856</c:v>
                </c:pt>
                <c:pt idx="49">
                  <c:v>1084118</c:v>
                </c:pt>
                <c:pt idx="50">
                  <c:v>1116721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4-4BC2-BBA9-814938A43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5629999"/>
        <c:axId val="1"/>
      </c:barChart>
      <c:catAx>
        <c:axId val="14656299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 / Week ended</a:t>
                </a:r>
              </a:p>
            </c:rich>
          </c:tx>
          <c:layout>
            <c:manualLayout>
              <c:xMode val="edge"/>
              <c:yMode val="edge"/>
              <c:x val="0.39191800162910678"/>
              <c:y val="0.89462449076099326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408087876097502E-2"/>
              <c:y val="0.37244935333309581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0_ ;_ * \-#\ ##0_ ;_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5629999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94653733789705319"/>
          <c:w val="0.991257561770296"/>
          <c:h val="3.98777572498732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Cumulative Exports of White Maize for 2025/26</a:t>
            </a:r>
          </a:p>
          <a:p>
            <a:pPr>
              <a:defRPr sz="11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ZA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6064578030465224E-2"/>
          <c:y val="6.7265219896293457E-2"/>
          <c:w val="0.90396732903156729"/>
          <c:h val="0.64867069969912294"/>
        </c:manualLayout>
      </c:layout>
      <c:lineChart>
        <c:grouping val="standard"/>
        <c:varyColors val="0"/>
        <c:ser>
          <c:idx val="1"/>
          <c:order val="0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'Weekliks-Weekly'!$K$9:$K$59</c:f>
              <c:numCache>
                <c:formatCode>General</c:formatCode>
                <c:ptCount val="51"/>
                <c:pt idx="0">
                  <c:v>2858</c:v>
                </c:pt>
                <c:pt idx="1">
                  <c:v>6602</c:v>
                </c:pt>
                <c:pt idx="2">
                  <c:v>8839</c:v>
                </c:pt>
                <c:pt idx="3">
                  <c:v>11174</c:v>
                </c:pt>
                <c:pt idx="4">
                  <c:v>14737</c:v>
                </c:pt>
                <c:pt idx="5">
                  <c:v>8082</c:v>
                </c:pt>
                <c:pt idx="6">
                  <c:v>11636</c:v>
                </c:pt>
                <c:pt idx="7">
                  <c:v>8749</c:v>
                </c:pt>
                <c:pt idx="8">
                  <c:v>15580</c:v>
                </c:pt>
                <c:pt idx="9">
                  <c:v>5063</c:v>
                </c:pt>
                <c:pt idx="10">
                  <c:v>4474</c:v>
                </c:pt>
                <c:pt idx="11">
                  <c:v>6128</c:v>
                </c:pt>
                <c:pt idx="12">
                  <c:v>10482</c:v>
                </c:pt>
                <c:pt idx="13">
                  <c:v>24207</c:v>
                </c:pt>
                <c:pt idx="14">
                  <c:v>20754</c:v>
                </c:pt>
                <c:pt idx="15">
                  <c:v>39992</c:v>
                </c:pt>
                <c:pt idx="16">
                  <c:v>9513</c:v>
                </c:pt>
                <c:pt idx="17">
                  <c:v>10117</c:v>
                </c:pt>
                <c:pt idx="18">
                  <c:v>18824</c:v>
                </c:pt>
                <c:pt idx="19">
                  <c:v>7545</c:v>
                </c:pt>
                <c:pt idx="20">
                  <c:v>11077</c:v>
                </c:pt>
                <c:pt idx="21">
                  <c:v>21587</c:v>
                </c:pt>
                <c:pt idx="22">
                  <c:v>17318</c:v>
                </c:pt>
                <c:pt idx="23">
                  <c:v>25131</c:v>
                </c:pt>
                <c:pt idx="24">
                  <c:v>30304</c:v>
                </c:pt>
                <c:pt idx="25">
                  <c:v>48668</c:v>
                </c:pt>
                <c:pt idx="26">
                  <c:v>37219</c:v>
                </c:pt>
                <c:pt idx="27">
                  <c:v>39933</c:v>
                </c:pt>
                <c:pt idx="28">
                  <c:v>31219</c:v>
                </c:pt>
                <c:pt idx="29">
                  <c:v>27199</c:v>
                </c:pt>
                <c:pt idx="30">
                  <c:v>32976</c:v>
                </c:pt>
                <c:pt idx="31">
                  <c:v>31828</c:v>
                </c:pt>
                <c:pt idx="32">
                  <c:v>30998</c:v>
                </c:pt>
                <c:pt idx="33">
                  <c:v>24730</c:v>
                </c:pt>
                <c:pt idx="34">
                  <c:v>17903</c:v>
                </c:pt>
                <c:pt idx="35">
                  <c:v>8336</c:v>
                </c:pt>
                <c:pt idx="36">
                  <c:v>28274</c:v>
                </c:pt>
                <c:pt idx="37">
                  <c:v>26619</c:v>
                </c:pt>
                <c:pt idx="38">
                  <c:v>26556</c:v>
                </c:pt>
                <c:pt idx="39">
                  <c:v>42319</c:v>
                </c:pt>
                <c:pt idx="40">
                  <c:v>25650</c:v>
                </c:pt>
                <c:pt idx="41">
                  <c:v>30112</c:v>
                </c:pt>
                <c:pt idx="42">
                  <c:v>27264</c:v>
                </c:pt>
                <c:pt idx="43">
                  <c:v>31344</c:v>
                </c:pt>
                <c:pt idx="44">
                  <c:v>24162</c:v>
                </c:pt>
                <c:pt idx="45">
                  <c:v>27930</c:v>
                </c:pt>
                <c:pt idx="46">
                  <c:v>28744</c:v>
                </c:pt>
                <c:pt idx="47">
                  <c:v>33540</c:v>
                </c:pt>
                <c:pt idx="48">
                  <c:v>24560</c:v>
                </c:pt>
                <c:pt idx="49">
                  <c:v>25262</c:v>
                </c:pt>
                <c:pt idx="50">
                  <c:v>32603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D-4337-8BC4-F8EBD8FB55B5}"/>
            </c:ext>
          </c:extLst>
        </c:ser>
        <c:ser>
          <c:idx val="0"/>
          <c:order val="1"/>
          <c:tx>
            <c:strRef>
              <c:f>'Vorige Weekliks-Previous Weekly'!$C$1</c:f>
              <c:strCache>
                <c:ptCount val="1"/>
                <c:pt idx="0">
                  <c:v>SAGIS: WEEKLIKSE INVOERE EN UITVOERE 2024/25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'Vorige Weekliks-Previous Weekly'!$V$9:$V$59</c:f>
              <c:numCache>
                <c:formatCode>_ * #\ ##0_ ;_ * \-#\ ##0_ ;_ * "-"??_ ;_ @_ </c:formatCode>
                <c:ptCount val="51"/>
                <c:pt idx="0">
                  <c:v>21557</c:v>
                </c:pt>
                <c:pt idx="1">
                  <c:v>52948</c:v>
                </c:pt>
                <c:pt idx="2">
                  <c:v>88126</c:v>
                </c:pt>
                <c:pt idx="3">
                  <c:v>125926</c:v>
                </c:pt>
                <c:pt idx="4">
                  <c:v>171715</c:v>
                </c:pt>
                <c:pt idx="5">
                  <c:v>212959</c:v>
                </c:pt>
                <c:pt idx="6">
                  <c:v>253771</c:v>
                </c:pt>
                <c:pt idx="7">
                  <c:v>293393</c:v>
                </c:pt>
                <c:pt idx="8">
                  <c:v>338899</c:v>
                </c:pt>
                <c:pt idx="9">
                  <c:v>378475</c:v>
                </c:pt>
                <c:pt idx="10">
                  <c:v>434370</c:v>
                </c:pt>
                <c:pt idx="11">
                  <c:v>480308</c:v>
                </c:pt>
                <c:pt idx="12">
                  <c:v>538464</c:v>
                </c:pt>
                <c:pt idx="13">
                  <c:v>581364</c:v>
                </c:pt>
                <c:pt idx="14">
                  <c:v>620136</c:v>
                </c:pt>
                <c:pt idx="15">
                  <c:v>673384</c:v>
                </c:pt>
                <c:pt idx="16">
                  <c:v>718232</c:v>
                </c:pt>
                <c:pt idx="17">
                  <c:v>771409</c:v>
                </c:pt>
                <c:pt idx="18">
                  <c:v>810641</c:v>
                </c:pt>
                <c:pt idx="19">
                  <c:v>853012</c:v>
                </c:pt>
                <c:pt idx="20">
                  <c:v>895317</c:v>
                </c:pt>
                <c:pt idx="21">
                  <c:v>936887</c:v>
                </c:pt>
                <c:pt idx="22">
                  <c:v>980505</c:v>
                </c:pt>
                <c:pt idx="23">
                  <c:v>1039112</c:v>
                </c:pt>
                <c:pt idx="24">
                  <c:v>1086989</c:v>
                </c:pt>
                <c:pt idx="25">
                  <c:v>1139367</c:v>
                </c:pt>
                <c:pt idx="26">
                  <c:v>1174894</c:v>
                </c:pt>
                <c:pt idx="27">
                  <c:v>1216143</c:v>
                </c:pt>
                <c:pt idx="28">
                  <c:v>1259530</c:v>
                </c:pt>
                <c:pt idx="29">
                  <c:v>1314716</c:v>
                </c:pt>
                <c:pt idx="30">
                  <c:v>1381468</c:v>
                </c:pt>
                <c:pt idx="31">
                  <c:v>1437628</c:v>
                </c:pt>
                <c:pt idx="32">
                  <c:v>1490090</c:v>
                </c:pt>
                <c:pt idx="33">
                  <c:v>1538583</c:v>
                </c:pt>
                <c:pt idx="34">
                  <c:v>1575896</c:v>
                </c:pt>
                <c:pt idx="35">
                  <c:v>1608482</c:v>
                </c:pt>
                <c:pt idx="36">
                  <c:v>1659392</c:v>
                </c:pt>
                <c:pt idx="37">
                  <c:v>1716114</c:v>
                </c:pt>
                <c:pt idx="38">
                  <c:v>1759369</c:v>
                </c:pt>
                <c:pt idx="39">
                  <c:v>1807716</c:v>
                </c:pt>
                <c:pt idx="40">
                  <c:v>1854753</c:v>
                </c:pt>
                <c:pt idx="41">
                  <c:v>1896510</c:v>
                </c:pt>
                <c:pt idx="42">
                  <c:v>1939007</c:v>
                </c:pt>
                <c:pt idx="43">
                  <c:v>1987999</c:v>
                </c:pt>
                <c:pt idx="44">
                  <c:v>2028105</c:v>
                </c:pt>
                <c:pt idx="45">
                  <c:v>2071302</c:v>
                </c:pt>
                <c:pt idx="46">
                  <c:v>2103144</c:v>
                </c:pt>
                <c:pt idx="47">
                  <c:v>2142094</c:v>
                </c:pt>
                <c:pt idx="48">
                  <c:v>2171004</c:v>
                </c:pt>
                <c:pt idx="49">
                  <c:v>2206678</c:v>
                </c:pt>
                <c:pt idx="50">
                  <c:v>2227792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B-43D6-9360-684EB75EC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0703"/>
        <c:axId val="1"/>
      </c:lineChart>
      <c:dateAx>
        <c:axId val="1463830703"/>
        <c:scaling>
          <c:orientation val="minMax"/>
        </c:scaling>
        <c:delete val="0"/>
        <c:axPos val="b"/>
        <c:numFmt formatCode="d\-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070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5658253770754595E-2"/>
          <c:y val="0.85335781783517928"/>
          <c:w val="0.95284900931904115"/>
          <c:h val="0.104298135115456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Cumulative Exports of  Maize for 2025/26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ZA"/>
          </a:p>
        </c:rich>
      </c:tx>
      <c:layout>
        <c:manualLayout>
          <c:xMode val="edge"/>
          <c:yMode val="edge"/>
          <c:x val="0.29958843456994294"/>
          <c:y val="4.5816717580786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262202874187553E-2"/>
          <c:y val="9.8846584725689773E-2"/>
          <c:w val="0.88084632516703787"/>
          <c:h val="0.5632019396965624"/>
        </c:manualLayout>
      </c:layout>
      <c:lineChart>
        <c:grouping val="standard"/>
        <c:varyColors val="0"/>
        <c:ser>
          <c:idx val="0"/>
          <c:order val="0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'Weekliks-Weekly'!$N$9:$N$59</c:f>
              <c:numCache>
                <c:formatCode>#,##0</c:formatCode>
                <c:ptCount val="51"/>
                <c:pt idx="0">
                  <c:v>4741</c:v>
                </c:pt>
                <c:pt idx="1">
                  <c:v>12025</c:v>
                </c:pt>
                <c:pt idx="2">
                  <c:v>21917</c:v>
                </c:pt>
                <c:pt idx="3">
                  <c:v>34349</c:v>
                </c:pt>
                <c:pt idx="4">
                  <c:v>53065</c:v>
                </c:pt>
                <c:pt idx="5">
                  <c:v>58661</c:v>
                </c:pt>
                <c:pt idx="6">
                  <c:v>98164</c:v>
                </c:pt>
                <c:pt idx="7">
                  <c:v>144495</c:v>
                </c:pt>
                <c:pt idx="8">
                  <c:v>195551</c:v>
                </c:pt>
                <c:pt idx="9">
                  <c:v>243041</c:v>
                </c:pt>
                <c:pt idx="10">
                  <c:v>251787</c:v>
                </c:pt>
                <c:pt idx="11">
                  <c:v>259650</c:v>
                </c:pt>
                <c:pt idx="12">
                  <c:v>316624</c:v>
                </c:pt>
                <c:pt idx="13">
                  <c:v>324552</c:v>
                </c:pt>
                <c:pt idx="14">
                  <c:v>333628</c:v>
                </c:pt>
                <c:pt idx="15">
                  <c:v>338787</c:v>
                </c:pt>
                <c:pt idx="16">
                  <c:v>343772</c:v>
                </c:pt>
                <c:pt idx="17">
                  <c:v>349358</c:v>
                </c:pt>
                <c:pt idx="18">
                  <c:v>354749</c:v>
                </c:pt>
                <c:pt idx="19">
                  <c:v>361889</c:v>
                </c:pt>
                <c:pt idx="20">
                  <c:v>366377</c:v>
                </c:pt>
                <c:pt idx="21">
                  <c:v>379557</c:v>
                </c:pt>
                <c:pt idx="22">
                  <c:v>395290</c:v>
                </c:pt>
                <c:pt idx="23">
                  <c:v>413157</c:v>
                </c:pt>
                <c:pt idx="24">
                  <c:v>433104</c:v>
                </c:pt>
                <c:pt idx="25">
                  <c:v>451150</c:v>
                </c:pt>
                <c:pt idx="26">
                  <c:v>469248</c:v>
                </c:pt>
                <c:pt idx="27">
                  <c:v>488862</c:v>
                </c:pt>
                <c:pt idx="28">
                  <c:v>509065</c:v>
                </c:pt>
                <c:pt idx="29">
                  <c:v>527822</c:v>
                </c:pt>
                <c:pt idx="30">
                  <c:v>547038</c:v>
                </c:pt>
                <c:pt idx="31">
                  <c:v>560770</c:v>
                </c:pt>
                <c:pt idx="32">
                  <c:v>593246</c:v>
                </c:pt>
                <c:pt idx="33">
                  <c:v>606388</c:v>
                </c:pt>
                <c:pt idx="34">
                  <c:v>611812</c:v>
                </c:pt>
                <c:pt idx="35">
                  <c:v>616696</c:v>
                </c:pt>
                <c:pt idx="36">
                  <c:v>630144</c:v>
                </c:pt>
                <c:pt idx="37">
                  <c:v>644713</c:v>
                </c:pt>
                <c:pt idx="38">
                  <c:v>660961</c:v>
                </c:pt>
                <c:pt idx="39">
                  <c:v>676669</c:v>
                </c:pt>
                <c:pt idx="40">
                  <c:v>689846</c:v>
                </c:pt>
                <c:pt idx="41">
                  <c:v>700878</c:v>
                </c:pt>
                <c:pt idx="42">
                  <c:v>712933</c:v>
                </c:pt>
                <c:pt idx="43">
                  <c:v>727472</c:v>
                </c:pt>
                <c:pt idx="44">
                  <c:v>739553</c:v>
                </c:pt>
                <c:pt idx="45">
                  <c:v>769598</c:v>
                </c:pt>
                <c:pt idx="46">
                  <c:v>783226</c:v>
                </c:pt>
                <c:pt idx="47">
                  <c:v>799740</c:v>
                </c:pt>
                <c:pt idx="48">
                  <c:v>813520</c:v>
                </c:pt>
                <c:pt idx="49">
                  <c:v>824468</c:v>
                </c:pt>
                <c:pt idx="50">
                  <c:v>838221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7-4DB8-8FAE-A56CC4EE3D6F}"/>
            </c:ext>
          </c:extLst>
        </c:ser>
        <c:ser>
          <c:idx val="1"/>
          <c:order val="1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'Vorige Weekliks-Previous Weekly'!$V$9:$V$59</c:f>
              <c:numCache>
                <c:formatCode>_ * #\ ##0_ ;_ * \-#\ ##0_ ;_ * "-"??_ ;_ @_ </c:formatCode>
                <c:ptCount val="51"/>
                <c:pt idx="0">
                  <c:v>21557</c:v>
                </c:pt>
                <c:pt idx="1">
                  <c:v>52948</c:v>
                </c:pt>
                <c:pt idx="2">
                  <c:v>88126</c:v>
                </c:pt>
                <c:pt idx="3">
                  <c:v>125926</c:v>
                </c:pt>
                <c:pt idx="4">
                  <c:v>171715</c:v>
                </c:pt>
                <c:pt idx="5">
                  <c:v>212959</c:v>
                </c:pt>
                <c:pt idx="6">
                  <c:v>253771</c:v>
                </c:pt>
                <c:pt idx="7">
                  <c:v>293393</c:v>
                </c:pt>
                <c:pt idx="8">
                  <c:v>338899</c:v>
                </c:pt>
                <c:pt idx="9">
                  <c:v>378475</c:v>
                </c:pt>
                <c:pt idx="10">
                  <c:v>434370</c:v>
                </c:pt>
                <c:pt idx="11">
                  <c:v>480308</c:v>
                </c:pt>
                <c:pt idx="12">
                  <c:v>538464</c:v>
                </c:pt>
                <c:pt idx="13">
                  <c:v>581364</c:v>
                </c:pt>
                <c:pt idx="14">
                  <c:v>620136</c:v>
                </c:pt>
                <c:pt idx="15">
                  <c:v>673384</c:v>
                </c:pt>
                <c:pt idx="16">
                  <c:v>718232</c:v>
                </c:pt>
                <c:pt idx="17">
                  <c:v>771409</c:v>
                </c:pt>
                <c:pt idx="18">
                  <c:v>810641</c:v>
                </c:pt>
                <c:pt idx="19">
                  <c:v>853012</c:v>
                </c:pt>
                <c:pt idx="20">
                  <c:v>895317</c:v>
                </c:pt>
                <c:pt idx="21">
                  <c:v>936887</c:v>
                </c:pt>
                <c:pt idx="22">
                  <c:v>980505</c:v>
                </c:pt>
                <c:pt idx="23">
                  <c:v>1039112</c:v>
                </c:pt>
                <c:pt idx="24">
                  <c:v>1086989</c:v>
                </c:pt>
                <c:pt idx="25">
                  <c:v>1139367</c:v>
                </c:pt>
                <c:pt idx="26">
                  <c:v>1174894</c:v>
                </c:pt>
                <c:pt idx="27">
                  <c:v>1216143</c:v>
                </c:pt>
                <c:pt idx="28">
                  <c:v>1259530</c:v>
                </c:pt>
                <c:pt idx="29">
                  <c:v>1314716</c:v>
                </c:pt>
                <c:pt idx="30">
                  <c:v>1381468</c:v>
                </c:pt>
                <c:pt idx="31">
                  <c:v>1437628</c:v>
                </c:pt>
                <c:pt idx="32">
                  <c:v>1490090</c:v>
                </c:pt>
                <c:pt idx="33">
                  <c:v>1538583</c:v>
                </c:pt>
                <c:pt idx="34">
                  <c:v>1575896</c:v>
                </c:pt>
                <c:pt idx="35">
                  <c:v>1608482</c:v>
                </c:pt>
                <c:pt idx="36">
                  <c:v>1659392</c:v>
                </c:pt>
                <c:pt idx="37">
                  <c:v>1716114</c:v>
                </c:pt>
                <c:pt idx="38">
                  <c:v>1759369</c:v>
                </c:pt>
                <c:pt idx="39">
                  <c:v>1807716</c:v>
                </c:pt>
                <c:pt idx="40">
                  <c:v>1854753</c:v>
                </c:pt>
                <c:pt idx="41">
                  <c:v>1896510</c:v>
                </c:pt>
                <c:pt idx="42">
                  <c:v>1939007</c:v>
                </c:pt>
                <c:pt idx="43">
                  <c:v>1987999</c:v>
                </c:pt>
                <c:pt idx="44">
                  <c:v>2028105</c:v>
                </c:pt>
                <c:pt idx="45">
                  <c:v>2071302</c:v>
                </c:pt>
                <c:pt idx="46">
                  <c:v>2103144</c:v>
                </c:pt>
                <c:pt idx="47">
                  <c:v>2142094</c:v>
                </c:pt>
                <c:pt idx="48">
                  <c:v>2171004</c:v>
                </c:pt>
                <c:pt idx="49">
                  <c:v>2206678</c:v>
                </c:pt>
                <c:pt idx="50">
                  <c:v>2227792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7-4DB8-8FAE-A56CC4EE3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1119"/>
        <c:axId val="1"/>
      </c:lineChart>
      <c:dateAx>
        <c:axId val="1463831119"/>
        <c:scaling>
          <c:orientation val="minMax"/>
        </c:scaling>
        <c:delete val="0"/>
        <c:axPos val="b"/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236130526941679E-2"/>
              <c:y val="0.425532603665536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1119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6214505609012962E-2"/>
          <c:y val="0.91989846319846635"/>
          <c:w val="0.97158593996742215"/>
          <c:h val="6.8003237644572292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Cumulative Exports of Maize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2025/26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Bemarkingseisoen/ Marketing season</a:t>
            </a:r>
          </a:p>
        </c:rich>
      </c:tx>
      <c:layout>
        <c:manualLayout>
          <c:xMode val="edge"/>
          <c:yMode val="edge"/>
          <c:x val="0.29810881619743568"/>
          <c:y val="1.9640346245676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57502173126481"/>
          <c:y val="0.17386257752263726"/>
          <c:w val="0.85865486790815826"/>
          <c:h val="0.64313891798008005"/>
        </c:manualLayout>
      </c:layout>
      <c:lineChart>
        <c:grouping val="standard"/>
        <c:varyColors val="0"/>
        <c:ser>
          <c:idx val="0"/>
          <c:order val="0"/>
          <c:tx>
            <c:strRef>
              <c:f>'Weekliks-Weekly'!$K$6</c:f>
              <c:strCache>
                <c:ptCount val="1"/>
                <c:pt idx="0">
                  <c:v>Wit/White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'Weekliks-Weekly'!$K$9:$K$59</c:f>
              <c:numCache>
                <c:formatCode>General</c:formatCode>
                <c:ptCount val="51"/>
                <c:pt idx="0">
                  <c:v>2858</c:v>
                </c:pt>
                <c:pt idx="1">
                  <c:v>6602</c:v>
                </c:pt>
                <c:pt idx="2">
                  <c:v>8839</c:v>
                </c:pt>
                <c:pt idx="3">
                  <c:v>11174</c:v>
                </c:pt>
                <c:pt idx="4">
                  <c:v>14737</c:v>
                </c:pt>
                <c:pt idx="5">
                  <c:v>8082</c:v>
                </c:pt>
                <c:pt idx="6">
                  <c:v>11636</c:v>
                </c:pt>
                <c:pt idx="7">
                  <c:v>8749</c:v>
                </c:pt>
                <c:pt idx="8">
                  <c:v>15580</c:v>
                </c:pt>
                <c:pt idx="9">
                  <c:v>5063</c:v>
                </c:pt>
                <c:pt idx="10">
                  <c:v>4474</c:v>
                </c:pt>
                <c:pt idx="11">
                  <c:v>6128</c:v>
                </c:pt>
                <c:pt idx="12">
                  <c:v>10482</c:v>
                </c:pt>
                <c:pt idx="13">
                  <c:v>24207</c:v>
                </c:pt>
                <c:pt idx="14">
                  <c:v>20754</c:v>
                </c:pt>
                <c:pt idx="15">
                  <c:v>39992</c:v>
                </c:pt>
                <c:pt idx="16">
                  <c:v>9513</c:v>
                </c:pt>
                <c:pt idx="17">
                  <c:v>10117</c:v>
                </c:pt>
                <c:pt idx="18">
                  <c:v>18824</c:v>
                </c:pt>
                <c:pt idx="19">
                  <c:v>7545</c:v>
                </c:pt>
                <c:pt idx="20">
                  <c:v>11077</c:v>
                </c:pt>
                <c:pt idx="21">
                  <c:v>21587</c:v>
                </c:pt>
                <c:pt idx="22">
                  <c:v>17318</c:v>
                </c:pt>
                <c:pt idx="23">
                  <c:v>25131</c:v>
                </c:pt>
                <c:pt idx="24">
                  <c:v>30304</c:v>
                </c:pt>
                <c:pt idx="25">
                  <c:v>48668</c:v>
                </c:pt>
                <c:pt idx="26">
                  <c:v>37219</c:v>
                </c:pt>
                <c:pt idx="27">
                  <c:v>39933</c:v>
                </c:pt>
                <c:pt idx="28">
                  <c:v>31219</c:v>
                </c:pt>
                <c:pt idx="29">
                  <c:v>27199</c:v>
                </c:pt>
                <c:pt idx="30">
                  <c:v>32976</c:v>
                </c:pt>
                <c:pt idx="31">
                  <c:v>31828</c:v>
                </c:pt>
                <c:pt idx="32">
                  <c:v>30998</c:v>
                </c:pt>
                <c:pt idx="33">
                  <c:v>24730</c:v>
                </c:pt>
                <c:pt idx="34">
                  <c:v>17903</c:v>
                </c:pt>
                <c:pt idx="35">
                  <c:v>8336</c:v>
                </c:pt>
                <c:pt idx="36">
                  <c:v>28274</c:v>
                </c:pt>
                <c:pt idx="37">
                  <c:v>26619</c:v>
                </c:pt>
                <c:pt idx="38">
                  <c:v>26556</c:v>
                </c:pt>
                <c:pt idx="39">
                  <c:v>42319</c:v>
                </c:pt>
                <c:pt idx="40">
                  <c:v>25650</c:v>
                </c:pt>
                <c:pt idx="41">
                  <c:v>30112</c:v>
                </c:pt>
                <c:pt idx="42">
                  <c:v>27264</c:v>
                </c:pt>
                <c:pt idx="43">
                  <c:v>31344</c:v>
                </c:pt>
                <c:pt idx="44">
                  <c:v>24162</c:v>
                </c:pt>
                <c:pt idx="45">
                  <c:v>27930</c:v>
                </c:pt>
                <c:pt idx="46">
                  <c:v>28744</c:v>
                </c:pt>
                <c:pt idx="47">
                  <c:v>33540</c:v>
                </c:pt>
                <c:pt idx="48">
                  <c:v>24560</c:v>
                </c:pt>
                <c:pt idx="49">
                  <c:v>25262</c:v>
                </c:pt>
                <c:pt idx="50">
                  <c:v>32603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1-4698-B9B0-21E5C3A3E063}"/>
            </c:ext>
          </c:extLst>
        </c:ser>
        <c:ser>
          <c:idx val="1"/>
          <c:order val="1"/>
          <c:tx>
            <c:strRef>
              <c:f>'Weekliks-Weekly'!$L$6</c:f>
              <c:strCache>
                <c:ptCount val="1"/>
                <c:pt idx="0">
                  <c:v>Geel/Yellow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'Weekliks-Weekly'!$L$9:$L$59</c:f>
              <c:numCache>
                <c:formatCode>General</c:formatCode>
                <c:ptCount val="51"/>
                <c:pt idx="0">
                  <c:v>4741</c:v>
                </c:pt>
                <c:pt idx="1">
                  <c:v>7284</c:v>
                </c:pt>
                <c:pt idx="2">
                  <c:v>9892</c:v>
                </c:pt>
                <c:pt idx="3">
                  <c:v>12432</c:v>
                </c:pt>
                <c:pt idx="4">
                  <c:v>18716</c:v>
                </c:pt>
                <c:pt idx="5">
                  <c:v>5596</c:v>
                </c:pt>
                <c:pt idx="6">
                  <c:v>39503</c:v>
                </c:pt>
                <c:pt idx="7">
                  <c:v>46331</c:v>
                </c:pt>
                <c:pt idx="8">
                  <c:v>51056</c:v>
                </c:pt>
                <c:pt idx="9">
                  <c:v>47490</c:v>
                </c:pt>
                <c:pt idx="10">
                  <c:v>8746</c:v>
                </c:pt>
                <c:pt idx="11">
                  <c:v>7863</c:v>
                </c:pt>
                <c:pt idx="12">
                  <c:v>56974</c:v>
                </c:pt>
                <c:pt idx="13">
                  <c:v>7928</c:v>
                </c:pt>
                <c:pt idx="14">
                  <c:v>9076</c:v>
                </c:pt>
                <c:pt idx="15">
                  <c:v>5159</c:v>
                </c:pt>
                <c:pt idx="16">
                  <c:v>4985</c:v>
                </c:pt>
                <c:pt idx="17">
                  <c:v>5586</c:v>
                </c:pt>
                <c:pt idx="18">
                  <c:v>5391</c:v>
                </c:pt>
                <c:pt idx="19">
                  <c:v>7140</c:v>
                </c:pt>
                <c:pt idx="20">
                  <c:v>4488</c:v>
                </c:pt>
                <c:pt idx="21">
                  <c:v>13180</c:v>
                </c:pt>
                <c:pt idx="22">
                  <c:v>15733</c:v>
                </c:pt>
                <c:pt idx="23">
                  <c:v>17867</c:v>
                </c:pt>
                <c:pt idx="24">
                  <c:v>19947</c:v>
                </c:pt>
                <c:pt idx="25">
                  <c:v>18046</c:v>
                </c:pt>
                <c:pt idx="26">
                  <c:v>18098</c:v>
                </c:pt>
                <c:pt idx="27">
                  <c:v>19614</c:v>
                </c:pt>
                <c:pt idx="28">
                  <c:v>20203</c:v>
                </c:pt>
                <c:pt idx="29">
                  <c:v>18757</c:v>
                </c:pt>
                <c:pt idx="30">
                  <c:v>19216</c:v>
                </c:pt>
                <c:pt idx="31">
                  <c:v>13732</c:v>
                </c:pt>
                <c:pt idx="32">
                  <c:v>32476</c:v>
                </c:pt>
                <c:pt idx="33">
                  <c:v>13142</c:v>
                </c:pt>
                <c:pt idx="34">
                  <c:v>5424</c:v>
                </c:pt>
                <c:pt idx="35">
                  <c:v>4884</c:v>
                </c:pt>
                <c:pt idx="36">
                  <c:v>13448</c:v>
                </c:pt>
                <c:pt idx="37">
                  <c:v>14569</c:v>
                </c:pt>
                <c:pt idx="38">
                  <c:v>16248</c:v>
                </c:pt>
                <c:pt idx="39">
                  <c:v>15708</c:v>
                </c:pt>
                <c:pt idx="40">
                  <c:v>13177</c:v>
                </c:pt>
                <c:pt idx="41">
                  <c:v>11032</c:v>
                </c:pt>
                <c:pt idx="42">
                  <c:v>12055</c:v>
                </c:pt>
                <c:pt idx="43">
                  <c:v>14539</c:v>
                </c:pt>
                <c:pt idx="44">
                  <c:v>12081</c:v>
                </c:pt>
                <c:pt idx="45">
                  <c:v>30045</c:v>
                </c:pt>
                <c:pt idx="46">
                  <c:v>13628</c:v>
                </c:pt>
                <c:pt idx="47">
                  <c:v>16514</c:v>
                </c:pt>
                <c:pt idx="48">
                  <c:v>13780</c:v>
                </c:pt>
                <c:pt idx="49">
                  <c:v>10948</c:v>
                </c:pt>
                <c:pt idx="50">
                  <c:v>13753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1-4698-B9B0-21E5C3A3E063}"/>
            </c:ext>
          </c:extLst>
        </c:ser>
        <c:ser>
          <c:idx val="2"/>
          <c:order val="2"/>
          <c:tx>
            <c:strRef>
              <c:f>'Weekliks-Weekly'!$T$4:$T$7</c:f>
              <c:strCache>
                <c:ptCount val="4"/>
                <c:pt idx="0">
                  <c:v>Uitvoere/Exports</c:v>
                </c:pt>
                <c:pt idx="2">
                  <c:v>Total / maize</c:v>
                </c:pt>
                <c:pt idx="3">
                  <c:v>Weekliks/Weekly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'Weekliks-Weekly'!$T$9:$T$59</c:f>
              <c:numCache>
                <c:formatCode>_ * #\ ##0_ ;_ * \-#\ ##0_ ;_ * "-"??_ ;_ @_ </c:formatCode>
                <c:ptCount val="51"/>
                <c:pt idx="0">
                  <c:v>7599</c:v>
                </c:pt>
                <c:pt idx="1">
                  <c:v>13886</c:v>
                </c:pt>
                <c:pt idx="2">
                  <c:v>18731</c:v>
                </c:pt>
                <c:pt idx="3">
                  <c:v>23606</c:v>
                </c:pt>
                <c:pt idx="4">
                  <c:v>33453</c:v>
                </c:pt>
                <c:pt idx="5">
                  <c:v>13678</c:v>
                </c:pt>
                <c:pt idx="6">
                  <c:v>51139</c:v>
                </c:pt>
                <c:pt idx="7">
                  <c:v>55080</c:v>
                </c:pt>
                <c:pt idx="8">
                  <c:v>66636</c:v>
                </c:pt>
                <c:pt idx="9">
                  <c:v>52553</c:v>
                </c:pt>
                <c:pt idx="10">
                  <c:v>13220</c:v>
                </c:pt>
                <c:pt idx="11">
                  <c:v>13991</c:v>
                </c:pt>
                <c:pt idx="12">
                  <c:v>67456</c:v>
                </c:pt>
                <c:pt idx="13">
                  <c:v>32135</c:v>
                </c:pt>
                <c:pt idx="14">
                  <c:v>29830</c:v>
                </c:pt>
                <c:pt idx="15">
                  <c:v>45151</c:v>
                </c:pt>
                <c:pt idx="16">
                  <c:v>14498</c:v>
                </c:pt>
                <c:pt idx="17">
                  <c:v>15703</c:v>
                </c:pt>
                <c:pt idx="18">
                  <c:v>24215</c:v>
                </c:pt>
                <c:pt idx="19">
                  <c:v>14685</c:v>
                </c:pt>
                <c:pt idx="20">
                  <c:v>15565</c:v>
                </c:pt>
                <c:pt idx="21">
                  <c:v>34767</c:v>
                </c:pt>
                <c:pt idx="22">
                  <c:v>33051</c:v>
                </c:pt>
                <c:pt idx="23">
                  <c:v>42998</c:v>
                </c:pt>
                <c:pt idx="24">
                  <c:v>50251</c:v>
                </c:pt>
                <c:pt idx="25">
                  <c:v>66714</c:v>
                </c:pt>
                <c:pt idx="26">
                  <c:v>55317</c:v>
                </c:pt>
                <c:pt idx="27">
                  <c:v>59547</c:v>
                </c:pt>
                <c:pt idx="28">
                  <c:v>51422</c:v>
                </c:pt>
                <c:pt idx="29">
                  <c:v>45956</c:v>
                </c:pt>
                <c:pt idx="30">
                  <c:v>52192</c:v>
                </c:pt>
                <c:pt idx="31">
                  <c:v>45560</c:v>
                </c:pt>
                <c:pt idx="32">
                  <c:v>63474</c:v>
                </c:pt>
                <c:pt idx="33">
                  <c:v>37872</c:v>
                </c:pt>
                <c:pt idx="34">
                  <c:v>23327</c:v>
                </c:pt>
                <c:pt idx="35">
                  <c:v>13220</c:v>
                </c:pt>
                <c:pt idx="36">
                  <c:v>41722</c:v>
                </c:pt>
                <c:pt idx="37">
                  <c:v>41188</c:v>
                </c:pt>
                <c:pt idx="38">
                  <c:v>42804</c:v>
                </c:pt>
                <c:pt idx="39">
                  <c:v>58027</c:v>
                </c:pt>
                <c:pt idx="40">
                  <c:v>38827</c:v>
                </c:pt>
                <c:pt idx="41">
                  <c:v>41144</c:v>
                </c:pt>
                <c:pt idx="42">
                  <c:v>39319</c:v>
                </c:pt>
                <c:pt idx="43">
                  <c:v>45883</c:v>
                </c:pt>
                <c:pt idx="44">
                  <c:v>36243</c:v>
                </c:pt>
                <c:pt idx="45">
                  <c:v>57975</c:v>
                </c:pt>
                <c:pt idx="46">
                  <c:v>42372</c:v>
                </c:pt>
                <c:pt idx="47">
                  <c:v>50054</c:v>
                </c:pt>
                <c:pt idx="48">
                  <c:v>38340</c:v>
                </c:pt>
                <c:pt idx="49">
                  <c:v>36210</c:v>
                </c:pt>
                <c:pt idx="50">
                  <c:v>46356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31-4698-B9B0-21E5C3A3E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27375"/>
        <c:axId val="1"/>
      </c:lineChart>
      <c:dateAx>
        <c:axId val="14638273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geëindig/ Week ended</a:t>
                </a:r>
              </a:p>
            </c:rich>
          </c:tx>
          <c:layout>
            <c:manualLayout>
              <c:xMode val="edge"/>
              <c:yMode val="edge"/>
              <c:x val="0.42768013622181228"/>
              <c:y val="0.94599007879204688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23612092208325E-2"/>
              <c:y val="0.425532175194670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27375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33043422408684"/>
          <c:y val="0.17905761779777529"/>
          <c:w val="0.835580702963024"/>
          <c:h val="8.28998731929828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Kumulatiewe Invoere van Mielies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Kumulative Imports of Maize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2025/26 Bemarkingseisoen/ Marketing season</a:t>
            </a:r>
          </a:p>
        </c:rich>
      </c:tx>
      <c:layout>
        <c:manualLayout>
          <c:xMode val="edge"/>
          <c:yMode val="edge"/>
          <c:x val="0.29810888064637514"/>
          <c:y val="1.9640399280798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99453223686845"/>
          <c:y val="0.14924827253736139"/>
          <c:w val="0.88059290299177373"/>
          <c:h val="0.66339869281045749"/>
        </c:manualLayout>
      </c:layout>
      <c:lineChart>
        <c:grouping val="standard"/>
        <c:varyColors val="0"/>
        <c:ser>
          <c:idx val="1"/>
          <c:order val="0"/>
          <c:tx>
            <c:strRef>
              <c:f>'Weekliks-Weekly'!$M$7</c:f>
              <c:strCache>
                <c:ptCount val="1"/>
                <c:pt idx="0">
                  <c:v>Progressief</c:v>
                </c:pt>
              </c:strCache>
            </c:strRef>
          </c:tx>
          <c:spPr>
            <a:ln w="38100">
              <a:solidFill>
                <a:srgbClr val="666699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'Weekliks-Weekly'!$B$9:$B$60</c15:sqref>
                  </c15:fullRef>
                </c:ext>
              </c:extLst>
              <c:f>('Weekliks-Weekly'!$B$9,'Weekliks-Weekly'!$B$11:$B$60)</c:f>
              <c:numCache>
                <c:formatCode>d\-mmm\-yy</c:formatCode>
                <c:ptCount val="51"/>
                <c:pt idx="0">
                  <c:v>45779</c:v>
                </c:pt>
                <c:pt idx="1">
                  <c:v>45793</c:v>
                </c:pt>
                <c:pt idx="2">
                  <c:v>45800</c:v>
                </c:pt>
                <c:pt idx="3">
                  <c:v>45807</c:v>
                </c:pt>
                <c:pt idx="4">
                  <c:v>45814</c:v>
                </c:pt>
                <c:pt idx="5">
                  <c:v>45821</c:v>
                </c:pt>
                <c:pt idx="6">
                  <c:v>45828</c:v>
                </c:pt>
                <c:pt idx="7">
                  <c:v>45835</c:v>
                </c:pt>
                <c:pt idx="8">
                  <c:v>45842</c:v>
                </c:pt>
                <c:pt idx="9">
                  <c:v>45849</c:v>
                </c:pt>
                <c:pt idx="10">
                  <c:v>45856</c:v>
                </c:pt>
                <c:pt idx="11">
                  <c:v>45863</c:v>
                </c:pt>
                <c:pt idx="12">
                  <c:v>45870</c:v>
                </c:pt>
                <c:pt idx="13">
                  <c:v>45877</c:v>
                </c:pt>
                <c:pt idx="14">
                  <c:v>45884</c:v>
                </c:pt>
                <c:pt idx="15">
                  <c:v>45891</c:v>
                </c:pt>
                <c:pt idx="16">
                  <c:v>45898</c:v>
                </c:pt>
                <c:pt idx="17">
                  <c:v>45905</c:v>
                </c:pt>
                <c:pt idx="18">
                  <c:v>45912</c:v>
                </c:pt>
                <c:pt idx="19">
                  <c:v>45919</c:v>
                </c:pt>
                <c:pt idx="20">
                  <c:v>45926</c:v>
                </c:pt>
                <c:pt idx="21">
                  <c:v>45933</c:v>
                </c:pt>
                <c:pt idx="22">
                  <c:v>45940</c:v>
                </c:pt>
                <c:pt idx="23">
                  <c:v>45947</c:v>
                </c:pt>
                <c:pt idx="24">
                  <c:v>45954</c:v>
                </c:pt>
                <c:pt idx="25">
                  <c:v>45961</c:v>
                </c:pt>
                <c:pt idx="26">
                  <c:v>45968</c:v>
                </c:pt>
                <c:pt idx="27">
                  <c:v>45975</c:v>
                </c:pt>
                <c:pt idx="28">
                  <c:v>45982</c:v>
                </c:pt>
                <c:pt idx="29">
                  <c:v>45989</c:v>
                </c:pt>
                <c:pt idx="30">
                  <c:v>45996</c:v>
                </c:pt>
                <c:pt idx="31">
                  <c:v>46003</c:v>
                </c:pt>
                <c:pt idx="32">
                  <c:v>46010</c:v>
                </c:pt>
                <c:pt idx="33">
                  <c:v>46017</c:v>
                </c:pt>
                <c:pt idx="34">
                  <c:v>46024</c:v>
                </c:pt>
                <c:pt idx="35">
                  <c:v>46031</c:v>
                </c:pt>
                <c:pt idx="36">
                  <c:v>46038</c:v>
                </c:pt>
                <c:pt idx="37">
                  <c:v>46045</c:v>
                </c:pt>
                <c:pt idx="38">
                  <c:v>46052</c:v>
                </c:pt>
                <c:pt idx="39">
                  <c:v>46059</c:v>
                </c:pt>
                <c:pt idx="40">
                  <c:v>46066</c:v>
                </c:pt>
                <c:pt idx="41">
                  <c:v>46073</c:v>
                </c:pt>
                <c:pt idx="42">
                  <c:v>46080</c:v>
                </c:pt>
                <c:pt idx="43">
                  <c:v>46087</c:v>
                </c:pt>
                <c:pt idx="44">
                  <c:v>46094</c:v>
                </c:pt>
                <c:pt idx="45">
                  <c:v>46101</c:v>
                </c:pt>
                <c:pt idx="46">
                  <c:v>46108</c:v>
                </c:pt>
                <c:pt idx="47">
                  <c:v>46115</c:v>
                </c:pt>
                <c:pt idx="48">
                  <c:v>46122</c:v>
                </c:pt>
                <c:pt idx="49">
                  <c:v>46129</c:v>
                </c:pt>
                <c:pt idx="50">
                  <c:v>46136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'Weekliks-Weekly'!$M$9:$M$59</c15:sqref>
                  </c15:fullRef>
                </c:ext>
              </c:extLst>
              <c:f>('Weekliks-Weekly'!$M$9,'Weekliks-Weekly'!$M$11:$M$59)</c:f>
              <c:numCache>
                <c:formatCode>#,##0</c:formatCode>
                <c:ptCount val="50"/>
                <c:pt idx="0">
                  <c:v>2858</c:v>
                </c:pt>
                <c:pt idx="1">
                  <c:v>18299</c:v>
                </c:pt>
                <c:pt idx="2">
                  <c:v>29473</c:v>
                </c:pt>
                <c:pt idx="3">
                  <c:v>44210</c:v>
                </c:pt>
                <c:pt idx="4">
                  <c:v>52292</c:v>
                </c:pt>
                <c:pt idx="5">
                  <c:v>63928</c:v>
                </c:pt>
                <c:pt idx="6">
                  <c:v>72677</c:v>
                </c:pt>
                <c:pt idx="7">
                  <c:v>88257</c:v>
                </c:pt>
                <c:pt idx="8">
                  <c:v>93320</c:v>
                </c:pt>
                <c:pt idx="9">
                  <c:v>97794</c:v>
                </c:pt>
                <c:pt idx="10">
                  <c:v>103922</c:v>
                </c:pt>
                <c:pt idx="11">
                  <c:v>114404</c:v>
                </c:pt>
                <c:pt idx="12">
                  <c:v>138611</c:v>
                </c:pt>
                <c:pt idx="13">
                  <c:v>159365</c:v>
                </c:pt>
                <c:pt idx="14">
                  <c:v>199357</c:v>
                </c:pt>
                <c:pt idx="15">
                  <c:v>208870</c:v>
                </c:pt>
                <c:pt idx="16">
                  <c:v>218987</c:v>
                </c:pt>
                <c:pt idx="17">
                  <c:v>237811</c:v>
                </c:pt>
                <c:pt idx="18">
                  <c:v>245356</c:v>
                </c:pt>
                <c:pt idx="19">
                  <c:v>256433</c:v>
                </c:pt>
                <c:pt idx="20">
                  <c:v>278020</c:v>
                </c:pt>
                <c:pt idx="21">
                  <c:v>295338</c:v>
                </c:pt>
                <c:pt idx="22">
                  <c:v>320469</c:v>
                </c:pt>
                <c:pt idx="23">
                  <c:v>350773</c:v>
                </c:pt>
                <c:pt idx="24">
                  <c:v>399441</c:v>
                </c:pt>
                <c:pt idx="25">
                  <c:v>436660</c:v>
                </c:pt>
                <c:pt idx="26">
                  <c:v>476593</c:v>
                </c:pt>
                <c:pt idx="27">
                  <c:v>507812</c:v>
                </c:pt>
                <c:pt idx="28">
                  <c:v>535011</c:v>
                </c:pt>
                <c:pt idx="29">
                  <c:v>567987</c:v>
                </c:pt>
                <c:pt idx="30">
                  <c:v>599815</c:v>
                </c:pt>
                <c:pt idx="31">
                  <c:v>630813</c:v>
                </c:pt>
                <c:pt idx="32">
                  <c:v>655543</c:v>
                </c:pt>
                <c:pt idx="33">
                  <c:v>673446</c:v>
                </c:pt>
                <c:pt idx="34">
                  <c:v>681782</c:v>
                </c:pt>
                <c:pt idx="35">
                  <c:v>710056</c:v>
                </c:pt>
                <c:pt idx="36">
                  <c:v>736675</c:v>
                </c:pt>
                <c:pt idx="37">
                  <c:v>763231</c:v>
                </c:pt>
                <c:pt idx="38">
                  <c:v>805550</c:v>
                </c:pt>
                <c:pt idx="39">
                  <c:v>831200</c:v>
                </c:pt>
                <c:pt idx="40">
                  <c:v>861312</c:v>
                </c:pt>
                <c:pt idx="41">
                  <c:v>888576</c:v>
                </c:pt>
                <c:pt idx="42">
                  <c:v>919920</c:v>
                </c:pt>
                <c:pt idx="43">
                  <c:v>944082</c:v>
                </c:pt>
                <c:pt idx="44">
                  <c:v>972012</c:v>
                </c:pt>
                <c:pt idx="45">
                  <c:v>1000756</c:v>
                </c:pt>
                <c:pt idx="46">
                  <c:v>1034296</c:v>
                </c:pt>
                <c:pt idx="47">
                  <c:v>1058856</c:v>
                </c:pt>
                <c:pt idx="48">
                  <c:v>1084118</c:v>
                </c:pt>
                <c:pt idx="49">
                  <c:v>1116721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2-4116-B86D-C7E176FD0077}"/>
            </c:ext>
          </c:extLst>
        </c:ser>
        <c:ser>
          <c:idx val="2"/>
          <c:order val="1"/>
          <c:tx>
            <c:strRef>
              <c:f>'Weekliks-Weekly'!$T$7</c:f>
              <c:strCache>
                <c:ptCount val="1"/>
                <c:pt idx="0">
                  <c:v>Weekliks/Weekly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'Weekliks-Weekly'!$B$9:$B$60</c15:sqref>
                  </c15:fullRef>
                </c:ext>
              </c:extLst>
              <c:f>('Weekliks-Weekly'!$B$9,'Weekliks-Weekly'!$B$11:$B$60)</c:f>
              <c:numCache>
                <c:formatCode>d\-mmm\-yy</c:formatCode>
                <c:ptCount val="51"/>
                <c:pt idx="0">
                  <c:v>45779</c:v>
                </c:pt>
                <c:pt idx="1">
                  <c:v>45793</c:v>
                </c:pt>
                <c:pt idx="2">
                  <c:v>45800</c:v>
                </c:pt>
                <c:pt idx="3">
                  <c:v>45807</c:v>
                </c:pt>
                <c:pt idx="4">
                  <c:v>45814</c:v>
                </c:pt>
                <c:pt idx="5">
                  <c:v>45821</c:v>
                </c:pt>
                <c:pt idx="6">
                  <c:v>45828</c:v>
                </c:pt>
                <c:pt idx="7">
                  <c:v>45835</c:v>
                </c:pt>
                <c:pt idx="8">
                  <c:v>45842</c:v>
                </c:pt>
                <c:pt idx="9">
                  <c:v>45849</c:v>
                </c:pt>
                <c:pt idx="10">
                  <c:v>45856</c:v>
                </c:pt>
                <c:pt idx="11">
                  <c:v>45863</c:v>
                </c:pt>
                <c:pt idx="12">
                  <c:v>45870</c:v>
                </c:pt>
                <c:pt idx="13">
                  <c:v>45877</c:v>
                </c:pt>
                <c:pt idx="14">
                  <c:v>45884</c:v>
                </c:pt>
                <c:pt idx="15">
                  <c:v>45891</c:v>
                </c:pt>
                <c:pt idx="16">
                  <c:v>45898</c:v>
                </c:pt>
                <c:pt idx="17">
                  <c:v>45905</c:v>
                </c:pt>
                <c:pt idx="18">
                  <c:v>45912</c:v>
                </c:pt>
                <c:pt idx="19">
                  <c:v>45919</c:v>
                </c:pt>
                <c:pt idx="20">
                  <c:v>45926</c:v>
                </c:pt>
                <c:pt idx="21">
                  <c:v>45933</c:v>
                </c:pt>
                <c:pt idx="22">
                  <c:v>45940</c:v>
                </c:pt>
                <c:pt idx="23">
                  <c:v>45947</c:v>
                </c:pt>
                <c:pt idx="24">
                  <c:v>45954</c:v>
                </c:pt>
                <c:pt idx="25">
                  <c:v>45961</c:v>
                </c:pt>
                <c:pt idx="26">
                  <c:v>45968</c:v>
                </c:pt>
                <c:pt idx="27">
                  <c:v>45975</c:v>
                </c:pt>
                <c:pt idx="28">
                  <c:v>45982</c:v>
                </c:pt>
                <c:pt idx="29">
                  <c:v>45989</c:v>
                </c:pt>
                <c:pt idx="30">
                  <c:v>45996</c:v>
                </c:pt>
                <c:pt idx="31">
                  <c:v>46003</c:v>
                </c:pt>
                <c:pt idx="32">
                  <c:v>46010</c:v>
                </c:pt>
                <c:pt idx="33">
                  <c:v>46017</c:v>
                </c:pt>
                <c:pt idx="34">
                  <c:v>46024</c:v>
                </c:pt>
                <c:pt idx="35">
                  <c:v>46031</c:v>
                </c:pt>
                <c:pt idx="36">
                  <c:v>46038</c:v>
                </c:pt>
                <c:pt idx="37">
                  <c:v>46045</c:v>
                </c:pt>
                <c:pt idx="38">
                  <c:v>46052</c:v>
                </c:pt>
                <c:pt idx="39">
                  <c:v>46059</c:v>
                </c:pt>
                <c:pt idx="40">
                  <c:v>46066</c:v>
                </c:pt>
                <c:pt idx="41">
                  <c:v>46073</c:v>
                </c:pt>
                <c:pt idx="42">
                  <c:v>46080</c:v>
                </c:pt>
                <c:pt idx="43">
                  <c:v>46087</c:v>
                </c:pt>
                <c:pt idx="44">
                  <c:v>46094</c:v>
                </c:pt>
                <c:pt idx="45">
                  <c:v>46101</c:v>
                </c:pt>
                <c:pt idx="46">
                  <c:v>46108</c:v>
                </c:pt>
                <c:pt idx="47">
                  <c:v>46115</c:v>
                </c:pt>
                <c:pt idx="48">
                  <c:v>46122</c:v>
                </c:pt>
                <c:pt idx="49">
                  <c:v>46129</c:v>
                </c:pt>
                <c:pt idx="50">
                  <c:v>46136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'Weekliks-Weekly'!$T$9:$T$59</c15:sqref>
                  </c15:fullRef>
                </c:ext>
              </c:extLst>
              <c:f>('Weekliks-Weekly'!$T$9,'Weekliks-Weekly'!$T$11:$T$59)</c:f>
              <c:numCache>
                <c:formatCode>_ * #\ ##0_ ;_ * \-#\ ##0_ ;_ * "-"??_ ;_ @_ </c:formatCode>
                <c:ptCount val="50"/>
                <c:pt idx="0">
                  <c:v>7599</c:v>
                </c:pt>
                <c:pt idx="1">
                  <c:v>18731</c:v>
                </c:pt>
                <c:pt idx="2">
                  <c:v>23606</c:v>
                </c:pt>
                <c:pt idx="3">
                  <c:v>33453</c:v>
                </c:pt>
                <c:pt idx="4">
                  <c:v>13678</c:v>
                </c:pt>
                <c:pt idx="5">
                  <c:v>51139</c:v>
                </c:pt>
                <c:pt idx="6">
                  <c:v>55080</c:v>
                </c:pt>
                <c:pt idx="7">
                  <c:v>66636</c:v>
                </c:pt>
                <c:pt idx="8">
                  <c:v>52553</c:v>
                </c:pt>
                <c:pt idx="9">
                  <c:v>13220</c:v>
                </c:pt>
                <c:pt idx="10">
                  <c:v>13991</c:v>
                </c:pt>
                <c:pt idx="11">
                  <c:v>67456</c:v>
                </c:pt>
                <c:pt idx="12">
                  <c:v>32135</c:v>
                </c:pt>
                <c:pt idx="13">
                  <c:v>29830</c:v>
                </c:pt>
                <c:pt idx="14">
                  <c:v>45151</c:v>
                </c:pt>
                <c:pt idx="15">
                  <c:v>14498</c:v>
                </c:pt>
                <c:pt idx="16">
                  <c:v>15703</c:v>
                </c:pt>
                <c:pt idx="17">
                  <c:v>24215</c:v>
                </c:pt>
                <c:pt idx="18">
                  <c:v>14685</c:v>
                </c:pt>
                <c:pt idx="19">
                  <c:v>15565</c:v>
                </c:pt>
                <c:pt idx="20">
                  <c:v>34767</c:v>
                </c:pt>
                <c:pt idx="21">
                  <c:v>33051</c:v>
                </c:pt>
                <c:pt idx="22">
                  <c:v>42998</c:v>
                </c:pt>
                <c:pt idx="23">
                  <c:v>50251</c:v>
                </c:pt>
                <c:pt idx="24">
                  <c:v>66714</c:v>
                </c:pt>
                <c:pt idx="25">
                  <c:v>55317</c:v>
                </c:pt>
                <c:pt idx="26">
                  <c:v>59547</c:v>
                </c:pt>
                <c:pt idx="27">
                  <c:v>51422</c:v>
                </c:pt>
                <c:pt idx="28">
                  <c:v>45956</c:v>
                </c:pt>
                <c:pt idx="29">
                  <c:v>52192</c:v>
                </c:pt>
                <c:pt idx="30">
                  <c:v>45560</c:v>
                </c:pt>
                <c:pt idx="31">
                  <c:v>63474</c:v>
                </c:pt>
                <c:pt idx="32">
                  <c:v>37872</c:v>
                </c:pt>
                <c:pt idx="33">
                  <c:v>23327</c:v>
                </c:pt>
                <c:pt idx="34">
                  <c:v>13220</c:v>
                </c:pt>
                <c:pt idx="35">
                  <c:v>41722</c:v>
                </c:pt>
                <c:pt idx="36">
                  <c:v>41188</c:v>
                </c:pt>
                <c:pt idx="37">
                  <c:v>42804</c:v>
                </c:pt>
                <c:pt idx="38">
                  <c:v>58027</c:v>
                </c:pt>
                <c:pt idx="39">
                  <c:v>38827</c:v>
                </c:pt>
                <c:pt idx="40">
                  <c:v>41144</c:v>
                </c:pt>
                <c:pt idx="41">
                  <c:v>39319</c:v>
                </c:pt>
                <c:pt idx="42">
                  <c:v>45883</c:v>
                </c:pt>
                <c:pt idx="43">
                  <c:v>36243</c:v>
                </c:pt>
                <c:pt idx="44">
                  <c:v>57975</c:v>
                </c:pt>
                <c:pt idx="45">
                  <c:v>42372</c:v>
                </c:pt>
                <c:pt idx="46">
                  <c:v>50054</c:v>
                </c:pt>
                <c:pt idx="47">
                  <c:v>38340</c:v>
                </c:pt>
                <c:pt idx="48">
                  <c:v>36210</c:v>
                </c:pt>
                <c:pt idx="49">
                  <c:v>46356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2-4116-B86D-C7E176FD0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4031"/>
        <c:axId val="1"/>
      </c:lineChart>
      <c:dateAx>
        <c:axId val="1463834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geëindig/ Week ended</a:t>
                </a:r>
              </a:p>
            </c:rich>
          </c:tx>
          <c:layout>
            <c:manualLayout>
              <c:xMode val="edge"/>
              <c:yMode val="edge"/>
              <c:x val="0.41379320015986426"/>
              <c:y val="0.94599017642479732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403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561690710991221"/>
          <c:y val="0.57398446622743582"/>
          <c:w val="0.26036454939340009"/>
          <c:h val="0.135891596626844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Total Maize exports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292785708706085E-2"/>
          <c:y val="7.4725745063474611E-2"/>
          <c:w val="0.90653828632498423"/>
          <c:h val="0.828789597856724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Sheet1!$N$1</c:f>
              <c:strCache>
                <c:ptCount val="1"/>
                <c:pt idx="0">
                  <c:v>Avg YTD exports (top 5 export yrs)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Sheet1!$N$2:$N$53</c:f>
              <c:numCache>
                <c:formatCode>_-* #\ ##0_-;\-* #\ ##0_-;_-* "-"??_-;_-@_-</c:formatCode>
                <c:ptCount val="52"/>
                <c:pt idx="0">
                  <c:v>26677.4</c:v>
                </c:pt>
                <c:pt idx="1">
                  <c:v>52376</c:v>
                </c:pt>
                <c:pt idx="2">
                  <c:v>102938.8</c:v>
                </c:pt>
                <c:pt idx="3">
                  <c:v>144972</c:v>
                </c:pt>
                <c:pt idx="4">
                  <c:v>214268.4</c:v>
                </c:pt>
                <c:pt idx="5">
                  <c:v>267898</c:v>
                </c:pt>
                <c:pt idx="6">
                  <c:v>334029</c:v>
                </c:pt>
                <c:pt idx="7">
                  <c:v>412559</c:v>
                </c:pt>
                <c:pt idx="8">
                  <c:v>503150</c:v>
                </c:pt>
                <c:pt idx="9">
                  <c:v>586026.80000000005</c:v>
                </c:pt>
                <c:pt idx="10">
                  <c:v>681925.4</c:v>
                </c:pt>
                <c:pt idx="11">
                  <c:v>766701.2</c:v>
                </c:pt>
                <c:pt idx="12">
                  <c:v>886397.2</c:v>
                </c:pt>
                <c:pt idx="13">
                  <c:v>949435.4</c:v>
                </c:pt>
                <c:pt idx="14">
                  <c:v>1033774.8</c:v>
                </c:pt>
                <c:pt idx="15">
                  <c:v>1099018</c:v>
                </c:pt>
                <c:pt idx="16">
                  <c:v>1166717.6000000001</c:v>
                </c:pt>
                <c:pt idx="17">
                  <c:v>1220064.3999999999</c:v>
                </c:pt>
                <c:pt idx="18">
                  <c:v>1255531.2</c:v>
                </c:pt>
                <c:pt idx="19">
                  <c:v>1313555.3999999999</c:v>
                </c:pt>
                <c:pt idx="20">
                  <c:v>1368341.6</c:v>
                </c:pt>
                <c:pt idx="21">
                  <c:v>1397109.8</c:v>
                </c:pt>
                <c:pt idx="22">
                  <c:v>1436848.8</c:v>
                </c:pt>
                <c:pt idx="23">
                  <c:v>1472061</c:v>
                </c:pt>
                <c:pt idx="24">
                  <c:v>1502688.2</c:v>
                </c:pt>
                <c:pt idx="25">
                  <c:v>1560927.8</c:v>
                </c:pt>
                <c:pt idx="26">
                  <c:v>1593109.2</c:v>
                </c:pt>
                <c:pt idx="27">
                  <c:v>1630847.2</c:v>
                </c:pt>
                <c:pt idx="28">
                  <c:v>1647197.8</c:v>
                </c:pt>
                <c:pt idx="29">
                  <c:v>1681186.4</c:v>
                </c:pt>
                <c:pt idx="30">
                  <c:v>1717030</c:v>
                </c:pt>
                <c:pt idx="31">
                  <c:v>1759980.6</c:v>
                </c:pt>
                <c:pt idx="32">
                  <c:v>1769164</c:v>
                </c:pt>
                <c:pt idx="33">
                  <c:v>1776862</c:v>
                </c:pt>
                <c:pt idx="34">
                  <c:v>1829684.6</c:v>
                </c:pt>
                <c:pt idx="35">
                  <c:v>1837648.8</c:v>
                </c:pt>
                <c:pt idx="36">
                  <c:v>1870028.2</c:v>
                </c:pt>
                <c:pt idx="37">
                  <c:v>1891726.8</c:v>
                </c:pt>
                <c:pt idx="38">
                  <c:v>1919523.4</c:v>
                </c:pt>
                <c:pt idx="39">
                  <c:v>1954084.2</c:v>
                </c:pt>
                <c:pt idx="40">
                  <c:v>1976607.2</c:v>
                </c:pt>
                <c:pt idx="41">
                  <c:v>2003453.8</c:v>
                </c:pt>
                <c:pt idx="42">
                  <c:v>2035038.6</c:v>
                </c:pt>
                <c:pt idx="43">
                  <c:v>2070406.4</c:v>
                </c:pt>
                <c:pt idx="44">
                  <c:v>2088982.4</c:v>
                </c:pt>
                <c:pt idx="45">
                  <c:v>2111675.6</c:v>
                </c:pt>
                <c:pt idx="46">
                  <c:v>2134796.4</c:v>
                </c:pt>
                <c:pt idx="47">
                  <c:v>2158539.2000000002</c:v>
                </c:pt>
                <c:pt idx="48">
                  <c:v>2184895.2000000002</c:v>
                </c:pt>
                <c:pt idx="49">
                  <c:v>2206229.7999999998</c:v>
                </c:pt>
                <c:pt idx="50">
                  <c:v>2221266.4</c:v>
                </c:pt>
                <c:pt idx="51">
                  <c:v>2271227.7999999998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B-425E-A643-0BC51A4FE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3829871"/>
        <c:axId val="1"/>
      </c:barChar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2021/2022*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Sheet1!$M$2:$M$53</c:f>
              <c:numCache>
                <c:formatCode>_-* #\ ##0_-;\-* #\ ##0_-;_-* "-"??_-;_-@_-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B-425E-A643-0BC51A4FE27A}"/>
            </c:ext>
          </c:extLst>
        </c:ser>
        <c:ser>
          <c:idx val="2"/>
          <c:order val="2"/>
          <c:tx>
            <c:strRef>
              <c:f>Sheet1!$L$1</c:f>
              <c:strCache>
                <c:ptCount val="1"/>
                <c:pt idx="0">
                  <c:v>2020/2021</c:v>
                </c:pt>
              </c:strCache>
            </c:strRef>
          </c:tx>
          <c:cat>
            <c:numRef>
              <c:f>Sheet1!$A$2:$A$53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Sheet1!$L$2:$L$53</c:f>
              <c:numCache>
                <c:formatCode>_-* #\ ##0_-;\-* #\ ##0_-;_-* "-"??_-;_-@_-</c:formatCode>
                <c:ptCount val="52"/>
                <c:pt idx="0">
                  <c:v>1991</c:v>
                </c:pt>
                <c:pt idx="1">
                  <c:v>24948</c:v>
                </c:pt>
                <c:pt idx="2">
                  <c:v>51331</c:v>
                </c:pt>
                <c:pt idx="3">
                  <c:v>81805</c:v>
                </c:pt>
                <c:pt idx="4">
                  <c:v>161003</c:v>
                </c:pt>
                <c:pt idx="5">
                  <c:v>222093</c:v>
                </c:pt>
                <c:pt idx="6">
                  <c:v>317320</c:v>
                </c:pt>
                <c:pt idx="7">
                  <c:v>389635</c:v>
                </c:pt>
                <c:pt idx="8">
                  <c:v>519261</c:v>
                </c:pt>
                <c:pt idx="9">
                  <c:v>649374</c:v>
                </c:pt>
                <c:pt idx="10">
                  <c:v>749083</c:v>
                </c:pt>
                <c:pt idx="11">
                  <c:v>865839</c:v>
                </c:pt>
                <c:pt idx="12">
                  <c:v>987027</c:v>
                </c:pt>
                <c:pt idx="13">
                  <c:v>1058185</c:v>
                </c:pt>
                <c:pt idx="14">
                  <c:v>1137105</c:v>
                </c:pt>
                <c:pt idx="15">
                  <c:v>1151942</c:v>
                </c:pt>
                <c:pt idx="16">
                  <c:v>1184438</c:v>
                </c:pt>
                <c:pt idx="17">
                  <c:v>1265484</c:v>
                </c:pt>
                <c:pt idx="18">
                  <c:v>1311551</c:v>
                </c:pt>
                <c:pt idx="19">
                  <c:v>1422067</c:v>
                </c:pt>
                <c:pt idx="20">
                  <c:v>1456620</c:v>
                </c:pt>
                <c:pt idx="21">
                  <c:v>1482668</c:v>
                </c:pt>
                <c:pt idx="22">
                  <c:v>1501974</c:v>
                </c:pt>
                <c:pt idx="23">
                  <c:v>1526432</c:v>
                </c:pt>
                <c:pt idx="24">
                  <c:v>1562911</c:v>
                </c:pt>
                <c:pt idx="25">
                  <c:v>1612738</c:v>
                </c:pt>
                <c:pt idx="26">
                  <c:v>1668272</c:v>
                </c:pt>
                <c:pt idx="27">
                  <c:v>1693258</c:v>
                </c:pt>
                <c:pt idx="28">
                  <c:v>1719172</c:v>
                </c:pt>
                <c:pt idx="29">
                  <c:v>1749830</c:v>
                </c:pt>
                <c:pt idx="30">
                  <c:v>1783256</c:v>
                </c:pt>
                <c:pt idx="31">
                  <c:v>1812252</c:v>
                </c:pt>
                <c:pt idx="32">
                  <c:v>1842245</c:v>
                </c:pt>
                <c:pt idx="33">
                  <c:v>1867910</c:v>
                </c:pt>
                <c:pt idx="34">
                  <c:v>1886591</c:v>
                </c:pt>
                <c:pt idx="35">
                  <c:v>1898460</c:v>
                </c:pt>
                <c:pt idx="36">
                  <c:v>1926650</c:v>
                </c:pt>
                <c:pt idx="37">
                  <c:v>1958679</c:v>
                </c:pt>
                <c:pt idx="38">
                  <c:v>1994738</c:v>
                </c:pt>
                <c:pt idx="39">
                  <c:v>2032538</c:v>
                </c:pt>
                <c:pt idx="40">
                  <c:v>2062154</c:v>
                </c:pt>
                <c:pt idx="41">
                  <c:v>2110689</c:v>
                </c:pt>
                <c:pt idx="42">
                  <c:v>2174949</c:v>
                </c:pt>
                <c:pt idx="43">
                  <c:v>2211399</c:v>
                </c:pt>
                <c:pt idx="44">
                  <c:v>2244636</c:v>
                </c:pt>
                <c:pt idx="45">
                  <c:v>2279687</c:v>
                </c:pt>
                <c:pt idx="46">
                  <c:v>2310730</c:v>
                </c:pt>
                <c:pt idx="47">
                  <c:v>2344722</c:v>
                </c:pt>
                <c:pt idx="48">
                  <c:v>2375478</c:v>
                </c:pt>
                <c:pt idx="49">
                  <c:v>2423308</c:v>
                </c:pt>
                <c:pt idx="50">
                  <c:v>2449240</c:v>
                </c:pt>
                <c:pt idx="51">
                  <c:v>2495220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F2-4206-8B49-F95EEA9B7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29871"/>
        <c:axId val="1"/>
      </c:lineChart>
      <c:catAx>
        <c:axId val="146382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6382987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93781919758643"/>
          <c:y val="0.95747983342518039"/>
          <c:w val="0.44469891716803589"/>
          <c:h val="3.02191510631664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zoomScale="80" workbookViewId="0"/>
  </sheetViews>
  <pageMargins left="0.7" right="0.7" top="1.13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tabSelected="1" zoomScale="80" workbookViewId="0"/>
  </sheetViews>
  <pageMargins left="0.7" right="0.7" top="1.13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tabSelected="1" zoomScale="9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tabSelected="1" zoomScale="80" workbookViewId="0"/>
  </sheetViews>
  <pageMargins left="0.25" right="0.25" top="0.75" bottom="0.75" header="0.3" footer="0.3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tabSelected="1" zoomScale="80" workbookViewId="0"/>
  </sheetViews>
  <pageMargins left="0.25" right="0.25" top="0.75" bottom="0.75" header="0.3" footer="0.3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tabSelected="1" zoomScale="8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tabSelected="1" zoomScale="8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8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8700" cy="5915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D88F85-D5A0-4EE2-BF3E-A4D0C0D900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7579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834D25-3BDC-4158-BDC7-76519AAD92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0.60945</cdr:x>
      <cdr:y>0.83449</cdr:y>
    </cdr:from>
    <cdr:to>
      <cdr:x>0.99076</cdr:x>
      <cdr:y>0.98187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51499" y="5296829"/>
          <a:ext cx="3259966" cy="672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48700" cy="5915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9CAA4C-6F7E-4C83-9705-9304CCF51A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0.00624</cdr:x>
      <cdr:y>0.84455</cdr:y>
    </cdr:from>
    <cdr:to>
      <cdr:x>0.35285</cdr:x>
      <cdr:y>0.97239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7986" y="5215518"/>
          <a:ext cx="2946803" cy="68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0.00875</cdr:x>
      <cdr:y>0.8605</cdr:y>
    </cdr:from>
    <cdr:to>
      <cdr:x>0.3515</cdr:x>
      <cdr:y>0.9899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311" y="5331677"/>
          <a:ext cx="2915579" cy="662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6733" cy="5503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64B0EF-02A4-4EFF-894B-B581F0E593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477375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72437-F52B-4A60-8296-BA0205859D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77375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581276-4802-4A25-9303-FE5858FCCC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04AAD4-F076-4D90-AD0C-38EE23C8FDD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9775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881B434-8F2A-456A-ADF2-6BDDE33F0D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8"/>
  <sheetViews>
    <sheetView zoomScale="131" zoomScaleNormal="131" workbookViewId="0">
      <pane xSplit="6" ySplit="12" topLeftCell="M96" activePane="bottomRight" state="frozen"/>
      <selection pane="topRight" activeCell="G1" sqref="G1"/>
      <selection pane="bottomLeft" activeCell="A13" sqref="A13"/>
      <selection pane="bottomRight" activeCell="P97" sqref="P97"/>
    </sheetView>
  </sheetViews>
  <sheetFormatPr defaultRowHeight="13.2" x14ac:dyDescent="0.25"/>
  <cols>
    <col min="1" max="1" width="31" customWidth="1"/>
    <col min="2" max="2" width="9.6640625" customWidth="1"/>
    <col min="3" max="4" width="10.88671875" customWidth="1"/>
    <col min="5" max="5" width="11.5546875" customWidth="1"/>
    <col min="6" max="9" width="11.33203125" customWidth="1"/>
    <col min="10" max="10" width="11.33203125" style="52" customWidth="1"/>
    <col min="11" max="16" width="11.33203125" customWidth="1"/>
    <col min="18" max="18" width="48.33203125" customWidth="1"/>
    <col min="19" max="19" width="14" bestFit="1" customWidth="1"/>
    <col min="20" max="20" width="13.33203125" customWidth="1"/>
    <col min="21" max="21" width="12.109375" customWidth="1"/>
  </cols>
  <sheetData>
    <row r="1" spans="1:21" x14ac:dyDescent="0.25">
      <c r="A1" s="1" t="s">
        <v>0</v>
      </c>
      <c r="B1" s="1"/>
      <c r="C1" s="1"/>
      <c r="D1" s="1"/>
      <c r="J1" s="161"/>
    </row>
    <row r="2" spans="1:21" x14ac:dyDescent="0.25">
      <c r="A2" s="1" t="s">
        <v>1</v>
      </c>
      <c r="B2" s="1"/>
      <c r="C2" s="1"/>
      <c r="D2" s="1"/>
      <c r="J2" s="161"/>
    </row>
    <row r="4" spans="1:21" ht="14.4" x14ac:dyDescent="0.3">
      <c r="A4" s="160">
        <f>'Weekliks-Weekly'!B9</f>
        <v>45779</v>
      </c>
      <c r="B4" s="161" t="s">
        <v>2</v>
      </c>
      <c r="C4" s="160">
        <f>P4</f>
        <v>46129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84">
        <f>'Weekliks-Weekly'!B59</f>
        <v>46129</v>
      </c>
    </row>
    <row r="5" spans="1:21" ht="14.4" x14ac:dyDescent="0.3">
      <c r="B5" s="163"/>
      <c r="C5" s="163"/>
      <c r="D5" s="163"/>
      <c r="H5" s="112"/>
      <c r="I5" s="110"/>
      <c r="J5" s="133"/>
      <c r="K5" s="110"/>
      <c r="L5" s="110"/>
      <c r="M5" s="110"/>
      <c r="N5" s="110"/>
      <c r="O5" s="110"/>
      <c r="P5" s="85">
        <f>52-51</f>
        <v>1</v>
      </c>
    </row>
    <row r="6" spans="1:21" ht="15" thickBot="1" x14ac:dyDescent="0.35">
      <c r="A6" t="s">
        <v>3</v>
      </c>
      <c r="H6" s="113"/>
      <c r="I6" s="111"/>
      <c r="J6" s="134"/>
      <c r="K6" s="111"/>
      <c r="L6" s="111"/>
      <c r="M6" s="111"/>
      <c r="N6" s="111"/>
      <c r="O6" s="111"/>
      <c r="P6" s="111"/>
      <c r="R6" s="1" t="s">
        <v>4</v>
      </c>
    </row>
    <row r="7" spans="1:21" x14ac:dyDescent="0.25">
      <c r="A7" s="1" t="s">
        <v>5</v>
      </c>
      <c r="B7" s="1"/>
      <c r="C7" s="1"/>
      <c r="D7" s="1"/>
      <c r="H7" s="44"/>
      <c r="I7" s="44"/>
      <c r="J7" s="161"/>
      <c r="K7" s="1"/>
      <c r="L7" s="1"/>
      <c r="M7" s="1"/>
      <c r="N7" s="1"/>
      <c r="O7" s="1"/>
      <c r="P7" s="1" t="s">
        <v>6</v>
      </c>
      <c r="R7" s="24"/>
      <c r="S7" s="20" t="s">
        <v>7</v>
      </c>
      <c r="T7" s="20" t="s">
        <v>8</v>
      </c>
      <c r="U7" s="21" t="s">
        <v>9</v>
      </c>
    </row>
    <row r="8" spans="1:21" x14ac:dyDescent="0.25">
      <c r="B8" s="163" t="s">
        <v>10</v>
      </c>
      <c r="C8" s="163" t="s">
        <v>11</v>
      </c>
      <c r="D8" s="128" t="s">
        <v>12</v>
      </c>
      <c r="E8" s="128" t="s">
        <v>13</v>
      </c>
      <c r="F8" s="128" t="s">
        <v>14</v>
      </c>
      <c r="G8" s="128" t="s">
        <v>15</v>
      </c>
      <c r="H8" s="128" t="s">
        <v>16</v>
      </c>
      <c r="I8" s="128" t="s">
        <v>17</v>
      </c>
      <c r="J8" s="128" t="s">
        <v>18</v>
      </c>
      <c r="K8" s="128" t="s">
        <v>19</v>
      </c>
      <c r="L8" s="128" t="s">
        <v>20</v>
      </c>
      <c r="M8" s="128" t="s">
        <v>21</v>
      </c>
      <c r="N8" s="128" t="s">
        <v>22</v>
      </c>
      <c r="O8" s="128" t="s">
        <v>23</v>
      </c>
      <c r="P8" s="128" t="s">
        <v>24</v>
      </c>
      <c r="R8" s="25" t="s">
        <v>25</v>
      </c>
      <c r="S8" s="19">
        <f>P14</f>
        <v>221860</v>
      </c>
      <c r="T8" s="19">
        <f>P61</f>
        <v>42132</v>
      </c>
      <c r="U8" s="26">
        <f>SUM(S8:T8)</f>
        <v>263992</v>
      </c>
    </row>
    <row r="9" spans="1:21" ht="14.4" x14ac:dyDescent="0.3">
      <c r="A9" s="34" t="s">
        <v>26</v>
      </c>
      <c r="B9" s="34">
        <v>12890</v>
      </c>
      <c r="C9" s="18">
        <f>555+35+215+798+376+1230+1454+637+78+297+2470+1069+900+274+1664+770+1034+1133+619+2257+286+336+1270+651+215</f>
        <v>20623</v>
      </c>
      <c r="D9" s="78">
        <f>310+315+485+483+136+781+929+1115+929+274+489+464+499+314+31+92+958+612+186+204+101+54+15+40+507+874+516+444+556+597+322+1091+71+1512+1461+240+587+404</f>
        <v>18998</v>
      </c>
      <c r="E9" s="88">
        <f>12+298+655+339+517+859+944+725+1023+706+652+630+763+378+796+343+70+1276+548+1093+1440+713+671+448+1044+1460+870+286+1255+580+953+69+306+382+112+209+854+388+146+228+37+89+77</f>
        <v>25244</v>
      </c>
      <c r="F9" s="101">
        <f>154+354+25+1723+2524+137+2911+791+1087+914+613+1024+415+21+445+3901+1810+1615+553+1073+1035+655+837+142+34+34+34+68+67+103+238+735+1300+700+135+33+1118+172</f>
        <v>29530</v>
      </c>
      <c r="G9" s="114">
        <f>33+136+66+862+2158+1432+958+971+578+2133+1333+425+313+1664+99+584+139+1945+1676+1938+999+1073+1235+2290+1935+2241+1418+1755+929+869+980+1339+2426+847+1375+1542+2881+950+36+2985+574+861+1088+361+592</f>
        <v>53024</v>
      </c>
      <c r="H9" s="101">
        <f>872+296+560+500+1151+850+494+208+386+594+304+331+136+476+164+505+135+1296+221+309+549+549+757+67+177+155+218+141+1176+841+108+33+1752+412+2711+4+1074+1581+1126+788+721+1343+1431</f>
        <v>27502</v>
      </c>
      <c r="I9" s="101">
        <f>770+480+342+759+539+448+1521+102+277+776+674+918+1123+869+1388+1232+137+281+210</f>
        <v>12846</v>
      </c>
      <c r="J9" s="101">
        <f>1284+817+1781+1941+736+1642+1179+1117+1627+920+544+865+1321+1113+1613+900+74+502+954+1136+1391+2084+1981+1203+912+794+1636+688+485+410+137+645+993+803+68+196+474+1300+866+1114+858</f>
        <v>41104</v>
      </c>
      <c r="K9" s="101">
        <f>1113+1905+2432+1558+2242+923+1492+1044+1508+1695+70+2568+384+106+354+1328+1503+71+1031+1599+1981+1686+2265+820+1604+967+1269+777+937+912+1138+622+624+385+31+78+202+966+823+784+457+200+543+920+2431+1665+1444+1268+2074+780+34</f>
        <v>55613</v>
      </c>
      <c r="L9" s="101">
        <f>1369+1996+1830+1562+1510+952+980+798+949+841+932+1166+2085+1668+1915+871+1445+877+709+950+819+1958+1647+1294+1062+773+650+544+834+316+1169+505+608+341+476+36+35+107+481+312+278+546+1985+316+1142</f>
        <v>43639</v>
      </c>
      <c r="M9" s="101">
        <f>796+959+1083+1087+781+741+1747+683+740+1630+1930+1041+309+1218+2395+1827+1047+432+1269+671+944+1185+1417+1412+689+449+349+104+64+350+318+101+411+760+376+2917+1584+738+777</f>
        <v>37331</v>
      </c>
      <c r="N9" s="101">
        <f>1191+1942+1779+1711+1805+1035+928+686+708+1084+1776+2097+2229+1868+2863+3019+873+617+1006+1230+1692+2006+2573+1581+826+1056+1432+1822+861+373+365+1311+722+70+563+133+34+278+99+820+528+660+384+1802+1056+1254+967+998+533+1224+1924</f>
        <v>60394</v>
      </c>
      <c r="O9" s="101">
        <f>740+420+536+1270+2428+1538+2194+1088+1401+1328+1334+1505+942+2679+888+682+350+1044+2340+1424+3336+2875+1381+1297+979+912+1001+994+927+2273+325+1528+2347+1095+1048+971+137+168+282+452+344+1780+628+634+414+391+1917+1339</f>
        <v>57906</v>
      </c>
      <c r="P9" s="100">
        <f>1428+2385+713+641+72+229+479+2004+3038+1968+979+1959+1720+205+731+1517+1729+1050+687+1275+403+874+682+1527+175+138+419+236+199+99+66+68+98+60+55+632+1157+1825+1261+1869+1836+1349+512</f>
        <v>40349</v>
      </c>
      <c r="R9" s="25" t="s">
        <v>27</v>
      </c>
      <c r="S9" s="19">
        <f>P10</f>
        <v>104512</v>
      </c>
      <c r="T9" s="19">
        <f>P57</f>
        <v>1779</v>
      </c>
      <c r="U9" s="26">
        <f>SUM(S9:T9)</f>
        <v>106291</v>
      </c>
    </row>
    <row r="10" spans="1:21" ht="14.4" x14ac:dyDescent="0.3">
      <c r="A10" s="34" t="s">
        <v>27</v>
      </c>
      <c r="B10" s="34">
        <v>139001</v>
      </c>
      <c r="C10" s="18">
        <f>1010+1722+797+2407+961+759+1331+467+954+1453+1323+2717+869+1555+1194+3074+302+4639+2791+3081+2388+1684+1351+2847+7661+4811+3702+2944+6592+2117+3149+2596+6213+3650+4367+2510+2755+7969+2211+2891+2282+8268+4194+3949+1633+477+1341+1707+2057+937</f>
        <v>134659</v>
      </c>
      <c r="D10" s="78">
        <f>1005+574+888+1545+1054+1089+1831+527+308+723+1365+2599+1095+181+749+2095+1761+310+483+1012+2552+836+792+46+1045+1775+1813+2506+2355+2536+1631+1949+560+1691+354+243+397+934+1291+1295+843</f>
        <v>48638</v>
      </c>
      <c r="E10" s="88">
        <f>1435+1790+2578+408+3601+705+721+1569+2405+2487+968+1837+2393+1308+2907+405+1383+997+554+965+2078+1975+1282+1539+1650+2402+828+3943+3081+3968+2284+2795+2790+2646+8252+3865+2594+3962+6173+1633+3199+2603+3457+1332+864+287+596</f>
        <v>103494</v>
      </c>
      <c r="F10" s="101">
        <f>2662+670+602+178+233+615+305+404+1201+2406+3246+1082+265+199+1168+1165+252+4875+2385+2481+1637+1305+1755+879+349+2365+823+150+1395+396+695+465+4284+3728+4148+3254+3005+2259+131+65+1421+292+401+863+527</f>
        <v>62986</v>
      </c>
      <c r="G10" s="114">
        <f>203+588+1606+2046+1634+1671+1548+2542+2378+1170+538+234+862+537+342+477+1138+3579+2003+1128+1803+1056+4426+2762+531+1795+4171+3618+2131+1655+4091+5094+2269+2793+2047+3350+1245+2399+979+1722+547+242+580+545+1785+1678+839</f>
        <v>82377</v>
      </c>
      <c r="H10" s="101">
        <f>1042+1871+68+1351+1690+462+1146+655+1331+4101+787+657+1034+2469+842+751+324+1440+1084+1172+1119+1303+400+3049+1597+323+908+358+103+1306+897+2903+2644+1684+2076+2579+4785+5278+3395+3353+1515+522+962+952+1592+997+607+1420</f>
        <v>72904</v>
      </c>
      <c r="I10" s="101">
        <f>1011+307+396+1386+847+2003+1267+1319+880+2242+106+228+3566+7754+647+475+383+1225+32+12+1561+440+134+2177+633+229+563+2774+726+8+441+936+3133+308+668+1408</f>
        <v>42225</v>
      </c>
      <c r="J10" s="101">
        <f>418+864+132+1163+2075+1319+1638+1105+396+438+974+855+4699+1143+542+264+162+913+1314+2210+1641+1111+119+2004+584+969+1025+1632+609+210+1294+1906+1613+2457+2103+1430+1596+994+1934+879+52+654+1276+308+712</f>
        <v>51736</v>
      </c>
      <c r="K10" s="101">
        <f>572+543+613+137+475+2650+610+745+547+681+702+541+1348+1846+1524+1110+477+613+456+1507+839+1408+873+928+403+2276+997+519+2241+1339+1520+2342+3160+3125+2299+2261+1164+2291+2554+1496+1656+1776+1435+1128+721+170+1123+584+1641+532+306</f>
        <v>62804</v>
      </c>
      <c r="L10" s="101">
        <f>2229+1257+64+4840+936+1039+299+1832+1320+1848+567+1234+877+536+508+242+1340+1676+3426+1338+2294+1393+4050+1317+1348+1255+1436+1681+1500+1852+584+1209+1184+649+745+273+536+447+539</f>
        <v>51700</v>
      </c>
      <c r="M10" s="101">
        <f>482+1132+769+500+4924+920+1552+1359+2185+3945+1018+1005+648+3249+541+304+1662+55+447+11+683+680+710+2502+2753+2182+2660+1380+6034+2048+1353+767+1789+2086+307+646+509+2241+652+704+1939+302+2602+613+635+473+6680</f>
        <v>72638</v>
      </c>
      <c r="N10" s="101">
        <f>302+302+501+3937+1119+1564+1656+1091+4388+2771+757+3173+1028+1807+6723+1104+1129+635+3720+618+596+900+3177+1755+1789+1757+4469+880+440+6079+4660+488</f>
        <v>65315</v>
      </c>
      <c r="O10" s="101">
        <f>1416+1063+2134+893+2671+416+180+1154+2919+1446+1237+955+1124+1836+1861+3533+5+318+3401+507+653+618+1723+1937+1719+1230+1003+72+569+1533+1031+2184+2390+2490+1977+2106+4348+3295+3124+3489+3020+2466+2371+2696+5483+499+606+312</f>
        <v>84013</v>
      </c>
      <c r="P10" s="100">
        <f>3111+2151+2066+2159+2741+1885+1383+3434+1826+1396+1323+4566+1219+1311+1926+1024+4976+1133+1795+2359+4436+2326+2042+1753+4647+1239+1111+1114+413+4674+2375+1965+1839+1182+618+2310+1578+1174+4135+2608+2017+223+7575+163+1566+1404+2146+1393+178+524</f>
        <v>104512</v>
      </c>
      <c r="R10" s="25" t="s">
        <v>28</v>
      </c>
      <c r="S10" s="19">
        <f>P13</f>
        <v>133547</v>
      </c>
      <c r="T10" s="19">
        <f>P60</f>
        <v>56522</v>
      </c>
      <c r="U10" s="26">
        <f>SUM(S10:T10)</f>
        <v>190069</v>
      </c>
    </row>
    <row r="11" spans="1:21" ht="14.4" x14ac:dyDescent="0.3">
      <c r="A11" s="34" t="s">
        <v>29</v>
      </c>
      <c r="B11" s="34">
        <v>65301</v>
      </c>
      <c r="C11" s="18">
        <f>1473+1247+2010+1797+2337+3444+1115+2694+437+1951+1072+1534+1415+2853+1075+1551+1298+1608+1382+1154+1920+1143+3523+2229+819+482+267+656+778+419+787+1978+1244+1392+2204+260+392+907+2142+972+909+1933+723+787+1337+1503</f>
        <v>65153</v>
      </c>
      <c r="D11" s="78">
        <f>1404+2097+2048+1502+1446+1926+1456+618+895+848+1046+4122+866+1595+2358+3900+230+5108+2357+3746+1274+4525+1536+2460+1083+1418+1516+2329+533+851+2891+2095+933+679+396+303+440+1071+2894+811+685+2208+1144+693+1026+797+2975+1149+569</f>
        <v>80852</v>
      </c>
      <c r="E11" s="88">
        <f>1797+1888+2154+2107+2505+1988+2705+2542+1195+7287+813+1733+1597+3079+2013+879+1571+4784+3215+673+2116+1653+2432+1825+2910+2049+1387+3266+1250+2106+3013+3873+3488+2845+1570+1631+1038+2206+1698+1608+1295+1080+702+231+688+1603+628+800+770+173</f>
        <v>98459</v>
      </c>
      <c r="F11" s="101">
        <f>2144+2917+2439+2250+1524+1451+1030+1032+64+241+1985+163+951+860+1084+793+686+2920+907+1063+826+975+1932+3607+3008+1872+1885+2080+1664+2954+1410+1839+1700+2038+1353+1241+531+1241+237+746+1867+800+401+1374+642+2934+664+1280+1801+1518</f>
        <v>72924</v>
      </c>
      <c r="G11" s="114">
        <f>431+270+133+1268+1316+127+739+1238+1950+1733+535+1814+1038+1382+1576+1256+2107+5198+936+837+266+330+494+173+305+507+609+355+858+1696+1109+732+702+700+133+69+290+2375+1434+1378+814+796</f>
        <v>42009</v>
      </c>
      <c r="H11" s="101">
        <f>1279+1356+1272+1536+1223+938+1345+2014+1378+1453+871+540+1048+1710+2232+1230+1322+4341+711+1955+2480+1980+1616+1720+1444+1712+1524+2267+1224+1683+755+1243+1882+1544+1204+1062+1539+1775+846+481+240+242+574+89+406+1189+874+496+1552+893</f>
        <v>66290</v>
      </c>
      <c r="I11" s="101">
        <f>1302+1356+1057+911+2126+3328+2554+1801+1001+1317+1624+972+2157+1584+2024+1696+1660+1259+2004+1623+503+1134+1793+1384+1093+740+167+1093+1388+1316+807+1148+1349+602+1112+1127+928+678+1308+1232+914+2373+1562+1448</f>
        <v>60555</v>
      </c>
      <c r="J11" s="101">
        <f>1142+1863+1475+2922+3288+1905+13515+17930+5078+1331+2627+1868+4012+12941+2969+2813+1499+1585+1656+2832+1619+2163+2661+10670+15034+1945+3160+1655+1423+1484+1423+1046+6983+817+847+1222+1152+1276+1603+1088+962+1254+1891+885+538+841+1488+1084+1252+2307+1998+309</f>
        <v>159331</v>
      </c>
      <c r="K11" s="101">
        <f>505+1886+1543+1322+867+1729+2245+1497+1727+1810+2987+2303+1706+2352+2838+1385+1166+806+1555+2255+2443+2657+2514+3268+3257+2900+2867+2584+17097+6389+1451+1759+1711+1453+1402+1901+1950+1957+1039+4058+2191+4575+5843+5819+5925+4421+639+470+1053+725+557+570+165</f>
        <v>132094</v>
      </c>
      <c r="L11" s="101">
        <f>923+1201+644+1247+2142+1518+2185+1605+2726+1218+1473+1263+1194+2448+1710+2139+1229+962+1251+921+1098+1322+1801+1731+1578+1362+2339+1859+1678+2184+833+786+1161+2012+677+622+945+1250+1666+1806+813+1202+1330+1618+952+1441+1158+2097+1001+1695+1000</f>
        <v>73016</v>
      </c>
      <c r="M11" s="101">
        <f>1440+1950+1288+886+3106+1187+1020+618+1142+1597+1080+867+416+886+388+2744+713+629+1794+2671+2014+1396+1224+1351+582+693+1268+1005+903+1249+516+795+624+1096+1033+664+557+947+140+138+312+208+593+309+620+481+172+244+478+1237+1447+789</f>
        <v>51507</v>
      </c>
      <c r="N11" s="101">
        <f>1748+2172+750+1143+1745+861+1135+491+1821+1451+2214+2397+20934+4990+1926+1584+1075+23184+2924+2474+1967+2051+1622+1059+1152+1434+1466+1029+1239+1398+1103+1901+2194+1534+940+11815+10643+3854+1204+804+520+643+353+1707+1844+645+1045+593+742+587+1115+234</f>
        <v>137456</v>
      </c>
      <c r="O11" s="101">
        <f>649+1171+11167+1075+1883+1868+1304+998+881+1022+992+820+608+828+11513+359+393+257+1626+68+1643+1835+3351+681+179+561+681+1279+12560+686+1294+689+789+1671+1487+1821+2451+2613+2385+2747+752+11354+691+189+909+71+1204+1095+1677+1134+923+1014</f>
        <v>101898</v>
      </c>
      <c r="P11" s="100">
        <f>790+758+1308+3060+965+578+1807+1511+465+970+2443+10911+1257+1479+1146+181+397+1020+936+493+363+656+1191+11478+1902+21211+255+437+575+624+2362+11005+1667+767+590+770+354+836+684+504+547+108+37+205+107+823+540+510+322</f>
        <v>93905</v>
      </c>
      <c r="R11" s="25" t="s">
        <v>30</v>
      </c>
      <c r="S11" s="19">
        <f>P9</f>
        <v>40349</v>
      </c>
      <c r="T11" s="19">
        <f>P59</f>
        <v>106657</v>
      </c>
      <c r="U11" s="26">
        <f>SUM(S11:T11)</f>
        <v>147006</v>
      </c>
    </row>
    <row r="12" spans="1:21" ht="15.6" customHeight="1" thickBot="1" x14ac:dyDescent="0.35">
      <c r="A12" s="34" t="s">
        <v>31</v>
      </c>
      <c r="B12" s="34">
        <v>352</v>
      </c>
      <c r="C12" s="18">
        <f>1189+572+171+1660+947+880+484+176</f>
        <v>6079</v>
      </c>
      <c r="D12" s="78">
        <f>2240+2858+6559+5669+7466+7377+11372+7127+5154+8500+10069+7256+4677+5956+8416+6029+3027+13173+7761+1537+6417+4091+4768+7426+4051+8631+7542+7299+7334+7480+9353+7351+6328+3189+1003+1283+1046+2601+964+748+649+264+692+5154+3734+2058+1406+1607</f>
        <v>246692</v>
      </c>
      <c r="E12" s="88">
        <f>508+74+792+2224+1364+682+2860+2552+2200+1185+836+1848+792+2508+1100+1232+2387+2288+1450+1844+0+2499+5101+5415+4184+4330+1500+650+2625+529</f>
        <v>57559</v>
      </c>
      <c r="F12" s="101">
        <f>632+740+1494+2640+2508+3651+4311+4224+3300+2728+1012+1760+3080+2420+1980</f>
        <v>36480</v>
      </c>
      <c r="G12" s="114">
        <f>2510+2730+5051+5980+5417+3774+4436+2014+1794+4450+1187+4428+815+1308+1625+1056+924+7140+782+1414+4071+3354+2029+616+4664+880+918+447+346+1400+819+908+846+2124+1275+1108+340+446+441+2290+3751+1468+2595+3378+4996+4780+5487+4391</f>
        <v>119003</v>
      </c>
      <c r="H12" s="101">
        <f>35+36+109+109+1100+880+2156+1276+111+35+35+99+272+1185+3039</f>
        <v>10477</v>
      </c>
      <c r="I12" s="101"/>
      <c r="J12" s="101">
        <f>14517+8245+7549+14757+20712+13141+17226+21883+18560+15913+17442+21347+17457+13688+8650+6478+3984+3090+3118+2333+1651+1310+1036+2599+1300+34+135+34+64+906</f>
        <v>259159</v>
      </c>
      <c r="K12" s="101">
        <f>2500+5328+5722+6844+8526+9739+9804+10759+11770+11922+14951+10937+11128+13043+11144+10529+6482+2352+6063+3372+5783+6401+4836+6531+4476+5893+6546+3739+4408+2542+6351+7965+5352+5054+1015+1916+1076+714+1081+2696+2658+1637+3624+10591+7050+8426+16239+15758+14297+13408+9472+9166+938</f>
        <v>370554</v>
      </c>
      <c r="L12" s="101">
        <f>4+11+475+1256+921+1949</f>
        <v>4616</v>
      </c>
      <c r="M12" s="101">
        <f>7851+8066+4756+6449+15625+5016+7767+1712+5073+6849+4287+2709+2091+4576+2606+1536+3065+1547+1026+2328+489+452+3074+880+1364+2268+1891+596+1895+1257+1907+1312+1098+878</f>
        <v>114296</v>
      </c>
      <c r="N12" s="101">
        <f>10581+14410+19030+16685+15849+21319+20688+20084+19149+15232+21421+21554+23479+23036+21399+15464+10391+9034+9734+6612+8681+8487+8497+9114+7848+7775+9523+6610+8160+4768+4138+2747+44+23+133+197+700+3697+4116+4784+4137</f>
        <v>439330</v>
      </c>
      <c r="O12" s="101">
        <f>6976+8047+9284+11571+9865+11632+16975+13953+18882+19263+17841+21026+23603+19328+19597+19526+16959+13883+22595+22821+18482+21804+18548+15931+17109+13175+16537+18619+16919+15059+14535+16812+16350+16022+24985+17422+18884+12036+13406+25722+19351+19462+16931+19506+14095+10725+13365+11172+11058+10348+10152+6628</f>
        <v>834777</v>
      </c>
      <c r="P12" s="100">
        <f>16392+12578+12659+16081+13662+13652+12569+16140+11909+15251+9871+14466+14635+10593+11142+4517+8698+11544+15772+16605+16691+13601+17227+17164+24532+16662+20447+16356+10015+10190+708+792+391+422+1465+210+2344+4093+3210+1633+7802+5772+2979+2478+627</f>
        <v>456547</v>
      </c>
      <c r="R12" s="27" t="s">
        <v>32</v>
      </c>
      <c r="S12" s="28">
        <f>SUM(S8:S11)</f>
        <v>500268</v>
      </c>
      <c r="T12" s="28">
        <f>SUM(T8:T11)</f>
        <v>207090</v>
      </c>
      <c r="U12" s="29">
        <f>SUM(S12:T12)</f>
        <v>707358</v>
      </c>
    </row>
    <row r="13" spans="1:21" ht="14.4" x14ac:dyDescent="0.3">
      <c r="A13" s="34" t="s">
        <v>28</v>
      </c>
      <c r="B13" s="34">
        <v>37759</v>
      </c>
      <c r="C13" s="18">
        <f>2765+2237+3193+2301+2796+3816+4022+4320+3409+7642+1250+4861+2643+4705+2924+2477+237+4181+1347+1484+1477+100+135+30+94+96+521+66+51+1045</f>
        <v>66225</v>
      </c>
      <c r="D13" s="78">
        <f>2250+2071+3068+5054+3151+3073+4389+3459+4274+4919+3358+4335+3513+4506+4144+3393+561+8368+2896+3995+5022+2954+4348+4811+4750+4081+4297+2940+4267+3836+3854+3683+6064+1489+709+660+260+299+357+1051+741+807+1689+1262+1345+1591+1327+2015+3072+2827</f>
        <v>151185</v>
      </c>
      <c r="E13" s="88">
        <f>1809+2582+2140+1955+3453+4824+3076+2952+3090+3753+2117+2393+2858+3306+4080+3612+3164+9704+3264+2015+2445+1482+1311+2038+424+34+80+205+409+358+327+146+213+510+567+486+195+311+55+86+86+1165+2821+1736+251+855+211+152</f>
        <v>85106</v>
      </c>
      <c r="F13" s="101">
        <f>1919+2769+1542+403+1154+2845+2160+1931+2532+1864+2423+2209+2404+2865+4354+2152+430+9004+3928+2934+2880+3241+2589+1880+2424+2440+2789+1655+2010+1675+2028+1448+1334+358+405+537+34+2168+1276+618+1038+1315+1874+1748+1726+2273+2446+2178+1928+247</f>
        <v>102384</v>
      </c>
      <c r="G13" s="114">
        <f>3057+3100+1402+2436+4682+2927+2736+1671+1940+2746+1729+1879+1923+1551+1848+1954+1063+6815+1557+2259+1784+1074+1054+1174+2125+1515+1374+1330+1643+1886+900+804+212+3035+2345+278+225+35+795+108+354+286+804+799+1444+1450+1477+1013+36</f>
        <v>80634</v>
      </c>
      <c r="H13" s="101">
        <f>1687+3385+2873+1928+2386+3420+2940+2712+3185+2841+3423+3234+2791+3362+2478+120+118+62+150+94+58+90+10+60+89+120+91+175+116+59+55+59+86+1+89+28+342+236+236+637+1887+2007+2098+2196+2060</f>
        <v>56074</v>
      </c>
      <c r="I13" s="101">
        <f>2568+2374+2186+2379+1766+2725+2406+2926+70+509+1845+2782+2589+2892+2930+2633+1461+380+618+2939+1989</f>
        <v>42967</v>
      </c>
      <c r="J13" s="101">
        <f>3517+3879+3957+4004+5000+3363+3775+3529+3901+3568+4413+4917+4457+5537+5681+4505+1172+2180+4668+4435+4619+6554+4705+2767+3470+3741+4034+3500+3935+3419+3064+3441+3265+2245+2782+1618+2128+2158+2801+3665+2959+3507+2396+2173+2320+1927+1645+2048+2010+2536+1885+1510</f>
        <v>175285</v>
      </c>
      <c r="K13" s="101">
        <f>3471+4581+5195+3224+2506+4474+4111+3823+3044+3046+3356+3629+3516+4231+4386+3719+4230+599+282+3690+5693+3934+3532+3790+3553+3086+2308+2371+353+11+1991+263+1116+1498+1762+1263+1297+2818</f>
        <v>109752</v>
      </c>
      <c r="L13" s="101">
        <f>4072+4042+4174+4657+4550+5197+5577+6095+5816+5715+5855+4714+5545+6113+5182+4019+2584+1754+3756+4225+4447+4718+3166+2470+1663+36+104+257+2480+3191</f>
        <v>116174</v>
      </c>
      <c r="M13" s="101">
        <f>4356+5177+3969+4342+6952+4924+5495+5975+3719+4439+4394+4433+3467+4488+4822+5673+4281+1718+3665+5943+4702+2562+1882</f>
        <v>101378</v>
      </c>
      <c r="N13" s="101">
        <f>5520+6730+6906+4235+3330+6714+5374+5968+4911+5850+6320+5207+5507+5269+5663+5776+3624+696+4066+5153+6264+5626+5956+4555+4174+4571+4153+4522+4697+3536+4472+4582+3757+4292+1806+2592+2147+647+237+181+469+72</f>
        <v>176127</v>
      </c>
      <c r="O13" s="101">
        <f>508+866+1180+838+4226+2400+4062+5197+5365+4926+4896+5913+4552+4663+4036+3490+987+968+3799+5744+5354+4418+4601+4505+4580+5446+6621+5702+6113+5922+4965+5156+3350+3266+3022+4926+4968+3892+4642+5183+5054+3580+3212+2756+3199+3873+3733+4407+2622+4204+1789+2419</f>
        <v>206096</v>
      </c>
      <c r="P13" s="100">
        <f>5271+3422+3940+6213+6174+5902+3980+4561+4047+3698+2481+3424+3618+4422+4994+504+333+4149+4923+5575+4315+4791+5272+3971+1816+4117+4534+4504+3685+2436+1269+1258+2489+1670+2789+968+70+108+233+24+707+705+185</f>
        <v>133547</v>
      </c>
      <c r="R13" s="1"/>
      <c r="S13" s="33"/>
      <c r="T13" s="33"/>
      <c r="U13" s="33"/>
    </row>
    <row r="14" spans="1:21" ht="14.4" x14ac:dyDescent="0.3">
      <c r="A14" s="34" t="s">
        <v>25</v>
      </c>
      <c r="B14" s="34">
        <v>149901</v>
      </c>
      <c r="C14" s="18">
        <f>4431+5179+7017+4192+6696+7104+5009+2910+3346+4730+5080+2194+1350+5434+2480+1264+8295+2752+5939+2219+3352+2705+1489+1701+2624+3295+1679+1644+2765+3101+2984+2734+2282+3185+4498+2409+943+3398+5291+5573+4825+2424+2674+2175+1579+3006+4111+938</f>
        <v>167005</v>
      </c>
      <c r="D14" s="78">
        <f>1979+2426+2373+918+2219+3966+3280+3059+3318+2842+1851+4106+3329+3944+3389+4167+1113+7194+3000+6403+5035+2982+4280+4015+3743+4580+2357+1306+3195+3423+3472+4132+1485+3781+2689+1378+865+5914+4216+1805+1699+8153+1063+2665+1707+2662+5035+5790+3035</f>
        <v>161338</v>
      </c>
      <c r="E14" s="88">
        <f>3969+3647+2263+1602+3119+3895+2174+2320+3838+2845+3549+2863+3014+3165+5481+4183+1312+9274+2971+2891+2741+3067+3309+3764+2637+2525+2403+1890+3322+3682+2640+2468+1955+2033+3391+2739+2968+4747+6953+1831+2808+5998+3450+2042+5501+4074+2810+1881+1340+1243</f>
        <v>160587</v>
      </c>
      <c r="F14" s="101">
        <f>1687+3255+2662+3407+2117+2101+2041+2038+2267+1343+1532+2049+2350+4374+4736+4793+477+16789+5882+3339+3090+1411+1450+2448+2461+1595+1781+1926+1831+2350+2173+1310+1618+2951+3117+3698+2397+2148+4986+6438+5866+3741+2984+2238+2498+2256+3733+3946+4346+316</f>
        <v>152342</v>
      </c>
      <c r="G14" s="114">
        <f>3204+1652+1450+2155+3369+2220+1770+2220+2355+694+1466+1541+1236+1006+3043+4439+2212+6392+2651+4310+1637+2866+2692+3045+2911+3486+2420+4028+4644+1857+2145+2553+5402+2393+1060+1535+1817+923+2281+4366+2451+7102+5002+4914+3473+1821+3226+2008+1369</f>
        <v>134812</v>
      </c>
      <c r="H14" s="101">
        <f>3007+4110+4971+3808+3553+2800+3430+3887+3207+2524+2668+2243+1472+2345+1735+2174+1462+12702+3429+2448+3954+4393+3780+3461+4253+4893+3872+3638+2743+3955+3916+3760+3242+5267+4826+2993+3026+4443+3650+3324+4218+7366+3645+2813+2052+3533+5276+2692+2323+2085</f>
        <v>181367</v>
      </c>
      <c r="I14" s="101">
        <f>1933+2011+2398+2865+2906+3240+4204+5497+1426+923+5292+5533+2941+3777+4317+4240+3761+2989+4872+3468+3916+3197+4387+5413+3806+3871+3903+5623+3864+4182+2953+3365+3064+4208+3575+4467+4680+3888+3885+2546+4424+4367+4681+2492</f>
        <v>163350</v>
      </c>
      <c r="J14" s="101">
        <f>3745+4270+4366+5124+4249+4220+3764+3921+4161+3485+4053+4171+3907+5380+5677+5927+1487+2477+3778+3732+3912+4784+3696+3570+2492+3145+2814+1858+2061+3057+3607+5120+4180+2991+2952+3656+3899+3271+4230+4051+2677+3739+2260+4078+3844+3778+3241+3926+3672+3798+3702+1618</f>
        <v>191573</v>
      </c>
      <c r="K14" s="101">
        <f>3806+4771+4575+4022+3782+6748+5088+5584+2792+3942+4118+4036+2812+4211+5358+5037+4414+2172+2467+5254+4249+4293+5826+4388+3847+3307+5596+4558+5152+4695+2824+3860+4619+3734+4452+5457+5705+4687+4511+3141+3140+4563+4107+4352+16887+5203+5401+6064+4891+3817+3870+2156</f>
        <v>238341</v>
      </c>
      <c r="L14" s="101">
        <f>4685+4459+4350+4935+5192+4608+4987+4444+5630+3520+3852+5475+6873+6115+6038+4488+1519+3131+3092+3843+4824+6125+6235+5438+4905+5390+6237+5297+3594+981+3926+3876+5916+5619+5382+6716+4326+4680+6849+4415+6349+4562+3660+4424+4576+5146+3875+2721+6249+5303+4975</f>
        <v>243807</v>
      </c>
      <c r="M14" s="101">
        <f>2869+3416+2199+1532+2898+3663+3375+2821+4203+4694+4837+4508+5021+5502+4983+3663+1993+1860+3690+3428+3452+4837+3725+4551+3943+2949+4195+4379+5044+4201+3803+4920+4878+4251+3872+6035+5324+4229+3786+4945+6105+5597+4353+3712+5717+4273+3420+3636+4450+4125+3281+3642</f>
        <v>210785</v>
      </c>
      <c r="N14" s="101">
        <f>3822+5636+5637+3996+3996+4007+4685+4326+5677+7888+4701+4861+5055+5921+5401+6328+3851+1949+3715+3894+3665+3291+4403+6170+4239+3598+5161+6852+4496+4932+2398+5462+5762+3753+6318+4944+5685+5672+4083+4564+4146+4158+5092+7583+6020+6130+5776+5799+6686+5084+5806+3365</f>
        <v>256439</v>
      </c>
      <c r="O14" s="101">
        <f>2987+2158+3860+5046+5442+3291+3025+3542+3779+3254+4048+3953+2267+292+3439+5210+1426+2570+3258+4002+4035+5033+3140+4043+2750+312+5610+3145+3479+4695+3197+3222+3178+1666+3242+4904+4496+3944+4113+4743+2023+3123+3094+4162+4780+4364+5151+5754+6030+6062+6542+2814</f>
        <v>193695</v>
      </c>
      <c r="P14" s="100">
        <f>5611+3968+3874+5386+5130+5913+4423+5469+8538+6793+6494+6984+4848+6855+7346+1905+2768+5367+5843+5746+6484+4550+5084+4693+3640+3912+3782+2720+2630+3525+3944+3294+3292+5108+5273+3123+3204+4293+3916+2626+1898+4293+5445+3824+5498+3113+2472+1576+2629+2070+688</f>
        <v>221860</v>
      </c>
      <c r="R14" s="1"/>
      <c r="S14" s="33"/>
      <c r="T14" s="33"/>
      <c r="U14" s="33"/>
    </row>
    <row r="15" spans="1:21" ht="15" thickBot="1" x14ac:dyDescent="0.35">
      <c r="A15" s="34" t="s">
        <v>33</v>
      </c>
      <c r="B15" s="34">
        <v>1162100</v>
      </c>
      <c r="C15" s="18">
        <f>41799+7929+33870+5287+34531+16808+21292+9016+33661+23950+35584+31309+33991+6700+29671+25192+50399+87300+26999+61633+74765+14729+81000+32550</f>
        <v>819965</v>
      </c>
      <c r="D15" s="78">
        <f>19803+18866+8186+31763+4804+33834+7893+28248+36700</f>
        <v>190097</v>
      </c>
      <c r="E15" s="88"/>
      <c r="F15" s="101"/>
      <c r="G15" s="114"/>
      <c r="H15" s="101"/>
      <c r="I15" s="101"/>
      <c r="J15" s="101"/>
      <c r="K15" s="101"/>
      <c r="L15" s="101"/>
      <c r="M15" s="101">
        <f>35493+5034+17540+27460+50100+18415+36121+17070+4251+7031+4718+29287+23558+20442+40400</f>
        <v>336920</v>
      </c>
      <c r="N15" s="101"/>
      <c r="O15" s="101"/>
      <c r="P15" s="100"/>
      <c r="R15" s="1" t="s">
        <v>34</v>
      </c>
    </row>
    <row r="16" spans="1:21" ht="14.4" x14ac:dyDescent="0.3">
      <c r="A16" s="34" t="s">
        <v>35</v>
      </c>
      <c r="B16" s="34"/>
      <c r="C16" s="19"/>
      <c r="D16" s="79">
        <v>2369</v>
      </c>
      <c r="E16" s="89"/>
      <c r="F16" s="102"/>
      <c r="G16" s="115"/>
      <c r="H16" s="102"/>
      <c r="I16" s="102"/>
      <c r="J16" s="101"/>
      <c r="K16" s="101"/>
      <c r="L16" s="101">
        <f>309+549+1195+652+858+515+4704+1034+241+483+692+340+342+276+1387+205+445+549+307+410+479+136+272+102+272+204+170+34+102</f>
        <v>17264</v>
      </c>
      <c r="M16" s="101">
        <v>0</v>
      </c>
      <c r="N16" s="101"/>
      <c r="O16" s="101"/>
      <c r="P16" s="100"/>
      <c r="R16" s="24"/>
      <c r="S16" s="20" t="s">
        <v>7</v>
      </c>
      <c r="T16" s="20" t="s">
        <v>8</v>
      </c>
      <c r="U16" s="21" t="s">
        <v>9</v>
      </c>
    </row>
    <row r="17" spans="1:24" ht="14.4" x14ac:dyDescent="0.3">
      <c r="A17" s="34" t="s">
        <v>36</v>
      </c>
      <c r="B17" s="34"/>
      <c r="C17" s="18"/>
      <c r="D17" s="78"/>
      <c r="E17" s="88"/>
      <c r="F17" s="101"/>
      <c r="G17" s="114"/>
      <c r="H17" s="101"/>
      <c r="I17" s="101"/>
      <c r="J17" s="101"/>
      <c r="K17" s="101"/>
      <c r="L17" s="101"/>
      <c r="M17" s="101"/>
      <c r="N17" s="101"/>
      <c r="O17" s="101"/>
      <c r="P17" s="100"/>
      <c r="R17" s="25" t="s">
        <v>37</v>
      </c>
      <c r="S17" s="73">
        <f>L9+L10+L11+L12+L13+L14</f>
        <v>532952</v>
      </c>
      <c r="T17" s="73">
        <f>L57+L58+L59+L60+L61+L65+L90+L87</f>
        <v>214392</v>
      </c>
      <c r="U17" s="26">
        <f>SUM(S17:T17)</f>
        <v>747344</v>
      </c>
      <c r="W17" s="2"/>
      <c r="X17" s="2"/>
    </row>
    <row r="18" spans="1:24" ht="14.4" x14ac:dyDescent="0.3">
      <c r="A18" s="34" t="s">
        <v>38</v>
      </c>
      <c r="B18" s="34"/>
      <c r="C18" s="18"/>
      <c r="D18" s="78"/>
      <c r="E18" s="88"/>
      <c r="F18" s="101"/>
      <c r="G18" s="114"/>
      <c r="H18" s="101"/>
      <c r="I18" s="101"/>
      <c r="J18" s="101"/>
      <c r="K18" s="101"/>
      <c r="L18" s="101"/>
      <c r="M18" s="101"/>
      <c r="N18" s="101"/>
      <c r="O18" s="101"/>
      <c r="P18" s="100"/>
      <c r="R18" s="159" t="s">
        <v>39</v>
      </c>
      <c r="S18" s="73">
        <f>P35</f>
        <v>0</v>
      </c>
      <c r="T18" s="73">
        <f>P62+P63+P73+P89+P93+P95</f>
        <v>207008</v>
      </c>
      <c r="U18" s="26">
        <f>SUM(S18:T18)</f>
        <v>207008</v>
      </c>
    </row>
    <row r="19" spans="1:24" ht="15" thickBot="1" x14ac:dyDescent="0.35">
      <c r="A19" s="34" t="s">
        <v>40</v>
      </c>
      <c r="B19" s="34"/>
      <c r="C19" s="18"/>
      <c r="D19" s="78">
        <v>1058</v>
      </c>
      <c r="E19" s="88"/>
      <c r="F19" s="101"/>
      <c r="G19" s="114"/>
      <c r="H19" s="101"/>
      <c r="I19" s="101"/>
      <c r="J19" s="101"/>
      <c r="K19" s="101"/>
      <c r="L19" s="101"/>
      <c r="M19" s="101"/>
      <c r="N19" s="101"/>
      <c r="O19" s="101"/>
      <c r="P19" s="100"/>
      <c r="R19" s="27" t="s">
        <v>32</v>
      </c>
      <c r="S19" s="28">
        <f>SUM(S17:S18)</f>
        <v>532952</v>
      </c>
      <c r="T19" s="28">
        <f>SUM(T17:T18)</f>
        <v>421400</v>
      </c>
      <c r="U19" s="29">
        <f>SUM(S19:T19)</f>
        <v>954352</v>
      </c>
    </row>
    <row r="20" spans="1:24" ht="14.4" x14ac:dyDescent="0.3">
      <c r="A20" s="34" t="s">
        <v>41</v>
      </c>
      <c r="B20" s="34"/>
      <c r="C20" s="18">
        <f>43+774+645</f>
        <v>1462</v>
      </c>
      <c r="D20" s="78"/>
      <c r="E20" s="88"/>
      <c r="F20" s="101"/>
      <c r="G20" s="114"/>
      <c r="H20" s="101"/>
      <c r="I20" s="101"/>
      <c r="J20" s="101"/>
      <c r="K20" s="101"/>
      <c r="L20" s="101"/>
      <c r="M20" s="101"/>
      <c r="N20" s="101"/>
      <c r="O20" s="101"/>
      <c r="P20" s="100"/>
      <c r="R20" s="1"/>
      <c r="S20" s="33"/>
      <c r="T20" s="33"/>
      <c r="U20" s="33"/>
    </row>
    <row r="21" spans="1:24" ht="14.4" x14ac:dyDescent="0.3">
      <c r="A21" s="34" t="s">
        <v>42</v>
      </c>
      <c r="B21" s="34"/>
      <c r="C21" s="18"/>
      <c r="D21" s="78"/>
      <c r="E21" s="88"/>
      <c r="F21" s="101"/>
      <c r="G21" s="114"/>
      <c r="H21" s="101"/>
      <c r="I21" s="101"/>
      <c r="J21" s="101"/>
      <c r="K21" s="101"/>
      <c r="L21" s="101"/>
      <c r="M21" s="101"/>
      <c r="N21" s="101"/>
      <c r="O21" s="101"/>
      <c r="P21" s="100"/>
      <c r="R21" s="1"/>
      <c r="S21" s="33"/>
      <c r="T21" s="33"/>
      <c r="U21" s="33"/>
    </row>
    <row r="22" spans="1:24" ht="14.4" x14ac:dyDescent="0.3">
      <c r="A22" s="34" t="s">
        <v>43</v>
      </c>
      <c r="B22" s="34"/>
      <c r="C22" s="18"/>
      <c r="D22" s="78"/>
      <c r="E22" s="88"/>
      <c r="F22" s="101"/>
      <c r="G22" s="114"/>
      <c r="H22" s="101"/>
      <c r="I22" s="101"/>
      <c r="J22" s="101"/>
      <c r="K22" s="101"/>
      <c r="L22" s="101"/>
      <c r="M22" s="101"/>
      <c r="N22" s="101"/>
      <c r="O22" s="101"/>
      <c r="P22" s="100"/>
      <c r="R22" s="1"/>
      <c r="S22" s="33"/>
      <c r="T22" s="33"/>
      <c r="U22" s="33"/>
    </row>
    <row r="23" spans="1:24" ht="14.4" x14ac:dyDescent="0.3">
      <c r="A23" s="34" t="s">
        <v>44</v>
      </c>
      <c r="B23" s="34"/>
      <c r="C23" s="18"/>
      <c r="D23" s="78"/>
      <c r="E23" s="88"/>
      <c r="F23" s="101"/>
      <c r="G23" s="114"/>
      <c r="H23" s="101"/>
      <c r="I23" s="101"/>
      <c r="J23" s="101"/>
      <c r="K23" s="101"/>
      <c r="L23" s="101"/>
      <c r="M23" s="101"/>
      <c r="N23" s="101"/>
      <c r="O23" s="101"/>
      <c r="P23" s="100"/>
      <c r="R23" s="1"/>
      <c r="S23" s="33"/>
      <c r="T23" s="33"/>
      <c r="U23" s="33"/>
    </row>
    <row r="24" spans="1:24" ht="15" thickBot="1" x14ac:dyDescent="0.35">
      <c r="A24" s="34" t="s">
        <v>45</v>
      </c>
      <c r="B24" s="34"/>
      <c r="C24" s="18"/>
      <c r="D24" s="78"/>
      <c r="E24" s="88"/>
      <c r="F24" s="101"/>
      <c r="G24" s="114"/>
      <c r="H24" s="101"/>
      <c r="I24" s="101"/>
      <c r="J24" s="101"/>
      <c r="K24" s="101"/>
      <c r="L24" s="101"/>
      <c r="M24" s="101"/>
      <c r="N24" s="101"/>
      <c r="O24" s="101"/>
      <c r="P24" s="100"/>
      <c r="R24" s="62"/>
      <c r="S24" s="63"/>
      <c r="T24" s="63"/>
      <c r="U24" s="63"/>
    </row>
    <row r="25" spans="1:24" ht="14.4" x14ac:dyDescent="0.3">
      <c r="A25" s="34" t="s">
        <v>46</v>
      </c>
      <c r="B25" s="34"/>
      <c r="C25" s="18"/>
      <c r="D25" s="78"/>
      <c r="E25" s="88"/>
      <c r="F25" s="101"/>
      <c r="G25" s="114"/>
      <c r="H25" s="101"/>
      <c r="I25" s="101">
        <f>38509</f>
        <v>38509</v>
      </c>
      <c r="J25" s="101">
        <f>35521+14360+24140</f>
        <v>74021</v>
      </c>
      <c r="K25" s="101">
        <f>20014</f>
        <v>20014</v>
      </c>
      <c r="L25" s="101"/>
      <c r="M25" s="101"/>
      <c r="N25" s="101"/>
      <c r="O25" s="101"/>
      <c r="P25" s="100"/>
      <c r="R25" s="206" t="s">
        <v>47</v>
      </c>
      <c r="S25" s="20" t="s">
        <v>48</v>
      </c>
      <c r="T25" s="20" t="s">
        <v>49</v>
      </c>
      <c r="U25" s="21" t="s">
        <v>32</v>
      </c>
    </row>
    <row r="26" spans="1:24" ht="14.4" x14ac:dyDescent="0.3">
      <c r="A26" s="34" t="s">
        <v>50</v>
      </c>
      <c r="B26" s="34"/>
      <c r="C26" s="18"/>
      <c r="D26" s="78"/>
      <c r="E26" s="88"/>
      <c r="F26" s="101"/>
      <c r="G26" s="114"/>
      <c r="H26" s="101"/>
      <c r="I26" s="101"/>
      <c r="J26" s="101"/>
      <c r="K26" s="101"/>
      <c r="L26" s="101"/>
      <c r="M26" s="101"/>
      <c r="N26" s="101">
        <f>2051+1967</f>
        <v>4018</v>
      </c>
      <c r="O26" s="101"/>
      <c r="P26" s="100"/>
      <c r="R26" s="207"/>
      <c r="S26" s="103">
        <f>P53/(52-S35)</f>
        <v>21896.49019607843</v>
      </c>
      <c r="T26" s="103">
        <f>P97/(52-S35)</f>
        <v>16435.705882352941</v>
      </c>
      <c r="U26" s="86">
        <f>H98/(52-S35)</f>
        <v>44052.431372549021</v>
      </c>
    </row>
    <row r="27" spans="1:24" ht="15" thickBot="1" x14ac:dyDescent="0.35">
      <c r="A27" s="34" t="s">
        <v>51</v>
      </c>
      <c r="B27" s="34"/>
      <c r="C27" s="18"/>
      <c r="D27" s="78"/>
      <c r="E27" s="88"/>
      <c r="F27" s="101"/>
      <c r="G27" s="114"/>
      <c r="H27" s="101">
        <f>22591+20001+24996+71010+552+706+38442+38518+30434</f>
        <v>247250</v>
      </c>
      <c r="I27" s="101"/>
      <c r="J27" s="101"/>
      <c r="K27" s="101"/>
      <c r="L27" s="101"/>
      <c r="M27" s="101">
        <f>48868+20906+6367+4974+4170+1761</f>
        <v>87046</v>
      </c>
      <c r="N27" s="101">
        <f>143+2407+108+5494+6813+3480+4910+5719+17750+4637+2757+4114+6361+3099</f>
        <v>67792</v>
      </c>
      <c r="O27" s="101"/>
      <c r="P27" s="100"/>
      <c r="R27" s="69" t="s">
        <v>52</v>
      </c>
      <c r="S27" s="67">
        <f>S26*52</f>
        <v>1138617.4901960783</v>
      </c>
      <c r="T27" s="67">
        <f>T26*52</f>
        <v>854656.70588235289</v>
      </c>
      <c r="U27" s="68">
        <f>S27+T27</f>
        <v>1993274.1960784313</v>
      </c>
    </row>
    <row r="28" spans="1:24" ht="14.4" x14ac:dyDescent="0.3">
      <c r="A28" s="34" t="s">
        <v>53</v>
      </c>
      <c r="B28" s="34">
        <v>45234</v>
      </c>
      <c r="C28" s="18">
        <f>9621+39629+997</f>
        <v>50247</v>
      </c>
      <c r="D28" s="78"/>
      <c r="E28" s="88">
        <f>1687+1690+723+731+326+408</f>
        <v>5565</v>
      </c>
      <c r="F28" s="101"/>
      <c r="G28" s="114"/>
      <c r="H28" s="101"/>
      <c r="I28" s="101"/>
      <c r="J28" s="101"/>
      <c r="K28" s="101"/>
      <c r="L28" s="101"/>
      <c r="M28" s="101">
        <f>24664+19336+26509+24991</f>
        <v>95500</v>
      </c>
      <c r="N28" s="101"/>
      <c r="O28" s="101"/>
      <c r="P28" s="100"/>
      <c r="R28" s="161" t="s">
        <v>54</v>
      </c>
      <c r="S28" s="41"/>
      <c r="T28" s="41"/>
    </row>
    <row r="29" spans="1:24" ht="14.4" x14ac:dyDescent="0.3">
      <c r="A29" s="34" t="s">
        <v>55</v>
      </c>
      <c r="B29" s="34"/>
      <c r="C29" s="18"/>
      <c r="D29" s="78"/>
      <c r="E29" s="88"/>
      <c r="F29" s="101"/>
      <c r="G29" s="114"/>
      <c r="H29" s="101"/>
      <c r="I29" s="101"/>
      <c r="J29" s="101"/>
      <c r="K29" s="101"/>
      <c r="L29" s="101"/>
      <c r="M29" s="101"/>
      <c r="N29" s="101"/>
      <c r="O29" s="101"/>
      <c r="P29" s="100"/>
      <c r="S29" s="41"/>
      <c r="T29" s="41"/>
    </row>
    <row r="30" spans="1:24" ht="15" thickBot="1" x14ac:dyDescent="0.35">
      <c r="A30" s="34" t="s">
        <v>56</v>
      </c>
      <c r="B30" s="34"/>
      <c r="C30" s="18"/>
      <c r="D30" s="78"/>
      <c r="E30" s="88"/>
      <c r="F30" s="101"/>
      <c r="G30" s="114"/>
      <c r="H30" s="101"/>
      <c r="I30" s="101"/>
      <c r="J30" s="101"/>
      <c r="K30" s="101"/>
      <c r="L30" s="101"/>
      <c r="M30" s="101"/>
      <c r="N30" s="101"/>
      <c r="O30" s="101"/>
      <c r="P30" s="100"/>
      <c r="R30" s="1" t="s">
        <v>57</v>
      </c>
    </row>
    <row r="31" spans="1:24" ht="14.4" x14ac:dyDescent="0.3">
      <c r="A31" s="34" t="s">
        <v>58</v>
      </c>
      <c r="B31" s="34"/>
      <c r="C31" s="18"/>
      <c r="D31" s="78"/>
      <c r="E31" s="88"/>
      <c r="F31" s="101"/>
      <c r="G31" s="114">
        <f>134+238+65+100+133+165+357+229+316+604+29+457</f>
        <v>2827</v>
      </c>
      <c r="H31" s="101"/>
      <c r="I31" s="101"/>
      <c r="J31" s="101"/>
      <c r="K31" s="101"/>
      <c r="L31" s="101"/>
      <c r="M31" s="101"/>
      <c r="N31" s="101"/>
      <c r="O31" s="101"/>
      <c r="P31" s="100"/>
      <c r="R31" s="30"/>
      <c r="S31" s="20" t="s">
        <v>59</v>
      </c>
      <c r="T31" s="20" t="s">
        <v>60</v>
      </c>
      <c r="U31" s="21" t="s">
        <v>61</v>
      </c>
    </row>
    <row r="32" spans="1:24" ht="14.4" x14ac:dyDescent="0.3">
      <c r="A32" s="34" t="s">
        <v>62</v>
      </c>
      <c r="B32" s="34"/>
      <c r="C32" s="18">
        <f>817+559+516+967</f>
        <v>2859</v>
      </c>
      <c r="D32" s="78"/>
      <c r="E32" s="88"/>
      <c r="F32" s="101"/>
      <c r="G32" s="114"/>
      <c r="H32" s="101"/>
      <c r="I32" s="101"/>
      <c r="J32" s="101"/>
      <c r="K32" s="101"/>
      <c r="L32" s="101"/>
      <c r="M32" s="101"/>
      <c r="N32" s="101"/>
      <c r="O32" s="101"/>
      <c r="P32" s="100"/>
      <c r="R32" s="164" t="s">
        <v>63</v>
      </c>
      <c r="S32" s="72">
        <v>2000000</v>
      </c>
      <c r="T32" s="72">
        <v>2650000</v>
      </c>
      <c r="U32" s="74">
        <v>2700000</v>
      </c>
      <c r="X32" s="161"/>
    </row>
    <row r="33" spans="1:21" ht="14.4" x14ac:dyDescent="0.3">
      <c r="A33" s="34" t="s">
        <v>64</v>
      </c>
      <c r="B33" s="34"/>
      <c r="C33" s="18"/>
      <c r="D33" s="78"/>
      <c r="E33" s="88"/>
      <c r="F33" s="101"/>
      <c r="G33" s="114"/>
      <c r="H33" s="101"/>
      <c r="I33" s="101"/>
      <c r="J33" s="101"/>
      <c r="K33" s="101"/>
      <c r="L33" s="101"/>
      <c r="M33" s="101">
        <f>24024+28476</f>
        <v>52500</v>
      </c>
      <c r="N33" s="101"/>
      <c r="O33" s="101"/>
      <c r="P33" s="100"/>
      <c r="R33" s="159" t="s">
        <v>65</v>
      </c>
      <c r="S33" s="18">
        <f>P53</f>
        <v>1116721</v>
      </c>
      <c r="T33" s="18">
        <f>P53</f>
        <v>1116721</v>
      </c>
      <c r="U33" s="31">
        <f>H53</f>
        <v>769973</v>
      </c>
    </row>
    <row r="34" spans="1:21" ht="14.4" x14ac:dyDescent="0.3">
      <c r="A34" s="34" t="s">
        <v>66</v>
      </c>
      <c r="B34" s="34"/>
      <c r="C34" s="18"/>
      <c r="D34" s="78"/>
      <c r="E34" s="88"/>
      <c r="F34" s="101"/>
      <c r="G34" s="114"/>
      <c r="H34" s="101"/>
      <c r="I34" s="101"/>
      <c r="J34" s="101"/>
      <c r="K34" s="101"/>
      <c r="L34" s="101"/>
      <c r="M34" s="101"/>
      <c r="N34" s="101"/>
      <c r="O34" s="101"/>
      <c r="P34" s="100"/>
      <c r="R34" s="25" t="s">
        <v>67</v>
      </c>
      <c r="S34" s="18">
        <f>S32-S33</f>
        <v>883279</v>
      </c>
      <c r="T34" s="18">
        <f>T32-T33</f>
        <v>1533279</v>
      </c>
      <c r="U34" s="31">
        <f>U32-U33</f>
        <v>1930027</v>
      </c>
    </row>
    <row r="35" spans="1:21" ht="14.4" x14ac:dyDescent="0.3">
      <c r="A35" s="34" t="s">
        <v>68</v>
      </c>
      <c r="B35" s="34">
        <v>68005</v>
      </c>
      <c r="C35" s="18">
        <f>27700+33176</f>
        <v>60876</v>
      </c>
      <c r="D35" s="78"/>
      <c r="E35" s="88"/>
      <c r="F35" s="101"/>
      <c r="G35" s="114"/>
      <c r="H35" s="101"/>
      <c r="I35" s="101">
        <f>29110+14968+19022+27529</f>
        <v>90629</v>
      </c>
      <c r="J35" s="101"/>
      <c r="K35" s="101">
        <f>26114+6536+29628+17007+22887+25729</f>
        <v>127901</v>
      </c>
      <c r="L35" s="101">
        <f>36387+12000+29972+14028+11250+31298+39447</f>
        <v>174382</v>
      </c>
      <c r="M35" s="101">
        <f>47500+31566+12434+41651+12405+27595+44000+45060</f>
        <v>262211</v>
      </c>
      <c r="N35" s="101"/>
      <c r="O35" s="101"/>
      <c r="P35" s="100"/>
      <c r="R35" s="25" t="s">
        <v>69</v>
      </c>
      <c r="S35" s="18">
        <f>P5</f>
        <v>1</v>
      </c>
      <c r="T35" s="18">
        <f>$S$35</f>
        <v>1</v>
      </c>
      <c r="U35" s="31">
        <f>$S$35</f>
        <v>1</v>
      </c>
    </row>
    <row r="36" spans="1:21" ht="15" thickBot="1" x14ac:dyDescent="0.35">
      <c r="A36" s="34" t="s">
        <v>70</v>
      </c>
      <c r="B36" s="34">
        <v>19442</v>
      </c>
      <c r="C36" s="18"/>
      <c r="D36" s="78"/>
      <c r="E36" s="88"/>
      <c r="F36" s="101"/>
      <c r="G36" s="114"/>
      <c r="H36" s="101">
        <f>480</f>
        <v>480</v>
      </c>
      <c r="I36" s="101"/>
      <c r="J36" s="101">
        <f>22900</f>
        <v>22900</v>
      </c>
      <c r="K36" s="101"/>
      <c r="L36" s="101"/>
      <c r="M36" s="101"/>
      <c r="N36" s="101"/>
      <c r="O36" s="101"/>
      <c r="P36" s="100"/>
      <c r="R36" s="32" t="s">
        <v>71</v>
      </c>
      <c r="S36" s="22">
        <f>S34/S35</f>
        <v>883279</v>
      </c>
      <c r="T36" s="22">
        <f>T34/T35</f>
        <v>1533279</v>
      </c>
      <c r="U36" s="23">
        <f>U34/U35</f>
        <v>1930027</v>
      </c>
    </row>
    <row r="37" spans="1:21" ht="14.4" x14ac:dyDescent="0.3">
      <c r="A37" s="34" t="s">
        <v>72</v>
      </c>
      <c r="B37" s="34"/>
      <c r="C37" s="18"/>
      <c r="D37" s="78"/>
      <c r="E37" s="88"/>
      <c r="F37" s="101"/>
      <c r="G37" s="114"/>
      <c r="H37" s="101"/>
      <c r="I37" s="101"/>
      <c r="J37" s="101"/>
      <c r="K37" s="101"/>
      <c r="L37" s="101"/>
      <c r="M37" s="101"/>
      <c r="N37" s="101"/>
      <c r="O37" s="101"/>
      <c r="P37" s="100"/>
      <c r="S37" s="42"/>
      <c r="T37" s="33"/>
      <c r="U37" s="42"/>
    </row>
    <row r="38" spans="1:21" ht="14.4" x14ac:dyDescent="0.3">
      <c r="A38" s="34" t="s">
        <v>73</v>
      </c>
      <c r="B38" s="34"/>
      <c r="C38" s="18"/>
      <c r="D38" s="78"/>
      <c r="E38" s="88"/>
      <c r="F38" s="101"/>
      <c r="G38" s="114"/>
      <c r="H38" s="101"/>
      <c r="I38" s="101"/>
      <c r="J38" s="101"/>
      <c r="K38" s="101"/>
      <c r="L38" s="101"/>
      <c r="M38" s="101"/>
      <c r="N38" s="101"/>
      <c r="O38" s="101"/>
      <c r="P38" s="100"/>
      <c r="R38" s="65" t="s">
        <v>74</v>
      </c>
      <c r="S38" s="42"/>
      <c r="T38" s="33"/>
      <c r="U38" s="42"/>
    </row>
    <row r="39" spans="1:21" ht="14.4" x14ac:dyDescent="0.3">
      <c r="A39" s="34" t="s">
        <v>75</v>
      </c>
      <c r="B39" s="34"/>
      <c r="C39" s="18"/>
      <c r="D39" s="78"/>
      <c r="E39" s="88"/>
      <c r="F39" s="101"/>
      <c r="G39" s="114"/>
      <c r="H39" s="101"/>
      <c r="I39" s="101"/>
      <c r="J39" s="101"/>
      <c r="K39" s="101"/>
      <c r="L39" s="101"/>
      <c r="M39" s="101"/>
      <c r="N39" s="101"/>
      <c r="O39" s="101"/>
      <c r="P39" s="100"/>
      <c r="R39" s="65"/>
      <c r="S39" s="42"/>
      <c r="T39" s="33"/>
      <c r="U39" s="42"/>
    </row>
    <row r="40" spans="1:21" ht="14.4" x14ac:dyDescent="0.3">
      <c r="A40" s="34" t="s">
        <v>76</v>
      </c>
      <c r="B40" s="34">
        <v>258</v>
      </c>
      <c r="C40" s="18"/>
      <c r="D40" s="78"/>
      <c r="E40" s="88"/>
      <c r="F40" s="101"/>
      <c r="G40" s="114"/>
      <c r="H40" s="101"/>
      <c r="I40" s="101"/>
      <c r="J40" s="101"/>
      <c r="K40" s="101"/>
      <c r="L40" s="101"/>
      <c r="M40" s="101"/>
      <c r="N40" s="101"/>
      <c r="O40" s="101"/>
      <c r="P40" s="100"/>
      <c r="R40" s="65" t="s">
        <v>77</v>
      </c>
      <c r="S40" s="42"/>
      <c r="T40" s="33"/>
      <c r="U40" s="42"/>
    </row>
    <row r="41" spans="1:21" ht="14.4" x14ac:dyDescent="0.3">
      <c r="A41" s="34" t="s">
        <v>78</v>
      </c>
      <c r="B41" s="34"/>
      <c r="C41" s="18"/>
      <c r="D41" s="78"/>
      <c r="E41" s="88"/>
      <c r="F41" s="101"/>
      <c r="G41" s="114"/>
      <c r="H41" s="101">
        <f>5820+44789+22</f>
        <v>50631</v>
      </c>
      <c r="I41" s="101">
        <f>1496+16080</f>
        <v>17576</v>
      </c>
      <c r="J41" s="101"/>
      <c r="K41" s="101"/>
      <c r="L41" s="101"/>
      <c r="M41" s="101"/>
      <c r="N41" s="101"/>
      <c r="O41" s="101"/>
      <c r="P41" s="100"/>
      <c r="R41" s="65"/>
      <c r="S41" s="42"/>
      <c r="T41" s="33"/>
      <c r="U41" s="42"/>
    </row>
    <row r="42" spans="1:21" ht="14.4" x14ac:dyDescent="0.3">
      <c r="A42" s="34" t="s">
        <v>79</v>
      </c>
      <c r="B42" s="34"/>
      <c r="C42" s="18"/>
      <c r="D42" s="78"/>
      <c r="E42" s="88"/>
      <c r="F42" s="101"/>
      <c r="G42" s="114"/>
      <c r="H42" s="101"/>
      <c r="I42" s="101"/>
      <c r="J42" s="101"/>
      <c r="K42" s="101"/>
      <c r="L42" s="101"/>
      <c r="M42" s="101"/>
      <c r="N42" s="101"/>
      <c r="O42" s="101"/>
      <c r="P42" s="100"/>
      <c r="S42" s="42"/>
      <c r="T42" s="42"/>
      <c r="U42" s="42"/>
    </row>
    <row r="43" spans="1:21" ht="14.4" x14ac:dyDescent="0.3">
      <c r="A43" s="34" t="s">
        <v>80</v>
      </c>
      <c r="B43" s="34"/>
      <c r="C43" s="18"/>
      <c r="D43" s="78"/>
      <c r="E43" s="88"/>
      <c r="F43" s="101"/>
      <c r="G43" s="114">
        <f>10105</f>
        <v>10105</v>
      </c>
      <c r="H43" s="101"/>
      <c r="I43" s="101"/>
      <c r="J43" s="101">
        <f>10100+12982</f>
        <v>23082</v>
      </c>
      <c r="K43" s="101"/>
      <c r="L43" s="101"/>
      <c r="M43" s="101"/>
      <c r="N43" s="101"/>
      <c r="O43" s="101"/>
      <c r="P43" s="100"/>
      <c r="S43" s="42"/>
      <c r="T43" s="42"/>
      <c r="U43" s="42"/>
    </row>
    <row r="44" spans="1:21" ht="14.4" x14ac:dyDescent="0.3">
      <c r="A44" s="34" t="s">
        <v>81</v>
      </c>
      <c r="B44" s="34"/>
      <c r="C44" s="18"/>
      <c r="D44" s="78"/>
      <c r="E44" s="88"/>
      <c r="F44" s="101"/>
      <c r="G44" s="114"/>
      <c r="H44" s="101"/>
      <c r="I44" s="101"/>
      <c r="J44" s="101"/>
      <c r="K44" s="101"/>
      <c r="L44" s="101"/>
      <c r="M44" s="101">
        <f>21+21</f>
        <v>42</v>
      </c>
      <c r="N44" s="101"/>
      <c r="O44" s="101"/>
      <c r="P44" s="100"/>
      <c r="S44" s="42"/>
      <c r="T44" s="42"/>
      <c r="U44" s="42"/>
    </row>
    <row r="45" spans="1:21" ht="14.4" x14ac:dyDescent="0.3">
      <c r="A45" s="145" t="s">
        <v>35</v>
      </c>
      <c r="B45" s="34"/>
      <c r="C45" s="18"/>
      <c r="D45" s="78"/>
      <c r="E45" s="88"/>
      <c r="F45" s="101"/>
      <c r="G45" s="114"/>
      <c r="H45" s="101"/>
      <c r="I45" s="101"/>
      <c r="J45" s="101"/>
      <c r="K45" s="101"/>
      <c r="L45" s="101"/>
      <c r="M45" s="101"/>
      <c r="N45" s="101">
        <f>35+70</f>
        <v>105</v>
      </c>
      <c r="O45" s="101"/>
      <c r="P45" s="100"/>
      <c r="S45" s="42"/>
      <c r="T45" s="42"/>
      <c r="U45" s="42"/>
    </row>
    <row r="46" spans="1:21" ht="14.4" x14ac:dyDescent="0.3">
      <c r="A46" s="34" t="s">
        <v>82</v>
      </c>
      <c r="B46" s="34"/>
      <c r="C46" s="18"/>
      <c r="D46" s="78"/>
      <c r="E46" s="88"/>
      <c r="F46" s="101"/>
      <c r="G46" s="114"/>
      <c r="H46" s="101"/>
      <c r="I46" s="101"/>
      <c r="J46" s="101"/>
      <c r="K46" s="101"/>
      <c r="L46" s="101"/>
      <c r="M46" s="101">
        <f>1811+20000+25000</f>
        <v>46811</v>
      </c>
      <c r="N46" s="101"/>
      <c r="O46" s="101"/>
      <c r="P46" s="100"/>
      <c r="S46" s="42"/>
      <c r="T46" s="42"/>
      <c r="U46" s="42"/>
    </row>
    <row r="47" spans="1:21" ht="14.4" x14ac:dyDescent="0.3">
      <c r="A47" s="34" t="s">
        <v>83</v>
      </c>
      <c r="B47" s="34"/>
      <c r="C47" s="18"/>
      <c r="D47" s="78"/>
      <c r="E47" s="88"/>
      <c r="F47" s="101"/>
      <c r="G47" s="114"/>
      <c r="H47" s="101"/>
      <c r="I47" s="101"/>
      <c r="J47" s="101"/>
      <c r="K47" s="101"/>
      <c r="L47" s="101"/>
      <c r="M47" s="101">
        <f>4811+17000</f>
        <v>21811</v>
      </c>
      <c r="N47" s="101">
        <f>23327+19443</f>
        <v>42770</v>
      </c>
      <c r="O47" s="101"/>
      <c r="P47" s="100"/>
      <c r="S47" s="42"/>
      <c r="T47" s="42"/>
      <c r="U47" s="42"/>
    </row>
    <row r="48" spans="1:21" ht="14.4" x14ac:dyDescent="0.3">
      <c r="A48" s="34" t="s">
        <v>84</v>
      </c>
      <c r="B48" s="34"/>
      <c r="C48" s="18"/>
      <c r="D48" s="78"/>
      <c r="E48" s="88"/>
      <c r="F48" s="101"/>
      <c r="G48" s="114"/>
      <c r="H48" s="101"/>
      <c r="I48" s="101"/>
      <c r="J48" s="101"/>
      <c r="K48" s="101"/>
      <c r="L48" s="101"/>
      <c r="M48" s="101"/>
      <c r="N48" s="101"/>
      <c r="O48" s="101"/>
      <c r="P48" s="100"/>
      <c r="S48" s="42"/>
      <c r="T48" s="42"/>
      <c r="U48" s="42"/>
    </row>
    <row r="49" spans="1:21" ht="14.4" x14ac:dyDescent="0.3">
      <c r="A49" s="34" t="s">
        <v>85</v>
      </c>
      <c r="B49" s="34"/>
      <c r="C49" s="18"/>
      <c r="D49" s="78"/>
      <c r="E49" s="88"/>
      <c r="F49" s="101"/>
      <c r="G49" s="114"/>
      <c r="H49" s="101"/>
      <c r="I49" s="101"/>
      <c r="J49" s="101"/>
      <c r="K49" s="101"/>
      <c r="L49" s="101"/>
      <c r="M49" s="101"/>
      <c r="N49" s="101"/>
      <c r="O49" s="101"/>
      <c r="P49" s="100"/>
    </row>
    <row r="50" spans="1:21" ht="15" thickBot="1" x14ac:dyDescent="0.35">
      <c r="A50" s="34" t="s">
        <v>86</v>
      </c>
      <c r="B50" s="34"/>
      <c r="C50" s="18"/>
      <c r="D50" s="78"/>
      <c r="E50" s="88"/>
      <c r="F50" s="101"/>
      <c r="G50" s="114"/>
      <c r="H50" s="101">
        <f>24998</f>
        <v>24998</v>
      </c>
      <c r="I50" s="101"/>
      <c r="J50" s="101">
        <f>20000</f>
        <v>20000</v>
      </c>
      <c r="K50" s="101"/>
      <c r="L50" s="101"/>
      <c r="M50" s="101"/>
      <c r="N50" s="101"/>
      <c r="O50" s="101"/>
      <c r="P50" s="100"/>
      <c r="R50" s="1" t="s">
        <v>87</v>
      </c>
    </row>
    <row r="51" spans="1:21" ht="14.4" x14ac:dyDescent="0.3">
      <c r="A51" s="34" t="s">
        <v>88</v>
      </c>
      <c r="B51" s="34">
        <v>31000</v>
      </c>
      <c r="C51" s="18"/>
      <c r="D51" s="78"/>
      <c r="E51" s="88"/>
      <c r="F51" s="101"/>
      <c r="G51" s="114"/>
      <c r="H51" s="101">
        <f>17289+14711</f>
        <v>32000</v>
      </c>
      <c r="I51" s="101"/>
      <c r="J51" s="101"/>
      <c r="K51" s="101"/>
      <c r="L51" s="101"/>
      <c r="M51" s="101"/>
      <c r="N51" s="101"/>
      <c r="O51" s="101"/>
      <c r="P51" s="100">
        <f>33001+15134+17866</f>
        <v>66001</v>
      </c>
      <c r="R51" s="30"/>
      <c r="S51" s="20" t="s">
        <v>59</v>
      </c>
      <c r="T51" s="20" t="s">
        <v>89</v>
      </c>
      <c r="U51" s="21" t="s">
        <v>61</v>
      </c>
    </row>
    <row r="52" spans="1:21" ht="14.4" x14ac:dyDescent="0.3">
      <c r="A52" s="34" t="s">
        <v>90</v>
      </c>
      <c r="B52" s="34"/>
      <c r="C52" s="18"/>
      <c r="D52" s="78"/>
      <c r="E52" s="88"/>
      <c r="F52" s="101"/>
      <c r="G52" s="114">
        <f>30+225+33</f>
        <v>288</v>
      </c>
      <c r="H52" s="101"/>
      <c r="I52" s="101"/>
      <c r="J52" s="101"/>
      <c r="K52" s="101"/>
      <c r="L52" s="101"/>
      <c r="M52" s="101"/>
      <c r="N52" s="101"/>
      <c r="O52" s="101">
        <f>68+69</f>
        <v>137</v>
      </c>
      <c r="P52" s="100"/>
      <c r="R52" s="164" t="s">
        <v>91</v>
      </c>
      <c r="S52" s="72">
        <v>1400000</v>
      </c>
      <c r="T52" s="72">
        <v>1600000</v>
      </c>
      <c r="U52" s="72">
        <v>1800000</v>
      </c>
    </row>
    <row r="53" spans="1:21" ht="14.4" x14ac:dyDescent="0.3">
      <c r="A53" s="35" t="s">
        <v>92</v>
      </c>
      <c r="B53" s="35">
        <f>SUM(B9:B51)</f>
        <v>1731243</v>
      </c>
      <c r="C53" s="76">
        <f>SUM(C9:C35)</f>
        <v>1395153</v>
      </c>
      <c r="D53" s="80">
        <f t="shared" ref="D53:I53" si="0">SUM(D9:D52)</f>
        <v>901227</v>
      </c>
      <c r="E53" s="87">
        <f t="shared" si="0"/>
        <v>536014</v>
      </c>
      <c r="F53" s="102">
        <f t="shared" si="0"/>
        <v>456646</v>
      </c>
      <c r="G53" s="115">
        <f t="shared" si="0"/>
        <v>525079</v>
      </c>
      <c r="H53" s="102">
        <f t="shared" si="0"/>
        <v>769973</v>
      </c>
      <c r="I53" s="102">
        <f t="shared" si="0"/>
        <v>468657</v>
      </c>
      <c r="J53" s="101">
        <f t="shared" ref="J53:O53" si="1">SUM(J9:J52)</f>
        <v>1018191</v>
      </c>
      <c r="K53" s="101">
        <f t="shared" si="1"/>
        <v>1117073</v>
      </c>
      <c r="L53" s="101">
        <f t="shared" si="1"/>
        <v>724598</v>
      </c>
      <c r="M53" s="101">
        <f t="shared" si="1"/>
        <v>1490776</v>
      </c>
      <c r="N53" s="101">
        <f t="shared" si="1"/>
        <v>1249746</v>
      </c>
      <c r="O53" s="101">
        <f t="shared" si="1"/>
        <v>1478522</v>
      </c>
      <c r="P53" s="143">
        <f>SUM(P9:P52)</f>
        <v>1116721</v>
      </c>
      <c r="R53" s="159" t="s">
        <v>93</v>
      </c>
      <c r="S53" s="18">
        <f>H97</f>
        <v>1476701</v>
      </c>
      <c r="T53" s="18">
        <f>H97</f>
        <v>1476701</v>
      </c>
      <c r="U53" s="31">
        <f>F97</f>
        <v>210799</v>
      </c>
    </row>
    <row r="54" spans="1:21" ht="14.4" x14ac:dyDescent="0.3">
      <c r="E54" s="81"/>
      <c r="H54" s="165"/>
      <c r="J54" s="161"/>
      <c r="K54" s="135"/>
      <c r="L54" s="135"/>
      <c r="O54" s="194">
        <f>(O53-N53)/N53</f>
        <v>0.18305799738506864</v>
      </c>
      <c r="R54" s="25" t="s">
        <v>67</v>
      </c>
      <c r="S54" s="18">
        <f>S52-S53</f>
        <v>-76701</v>
      </c>
      <c r="T54" s="18">
        <f>T52-T53</f>
        <v>123299</v>
      </c>
      <c r="U54" s="31">
        <f>U52-U53</f>
        <v>1589201</v>
      </c>
    </row>
    <row r="55" spans="1:21" ht="14.4" x14ac:dyDescent="0.3">
      <c r="A55" s="1" t="s">
        <v>94</v>
      </c>
      <c r="B55" s="1"/>
      <c r="C55" s="1"/>
      <c r="D55" s="1"/>
      <c r="H55" s="161"/>
      <c r="J55" s="161"/>
      <c r="K55" s="135"/>
      <c r="L55" s="135" t="s">
        <v>95</v>
      </c>
      <c r="M55" s="144" t="s">
        <v>95</v>
      </c>
      <c r="N55" s="1"/>
      <c r="O55" s="1"/>
      <c r="P55" s="1" t="s">
        <v>6</v>
      </c>
      <c r="R55" s="25" t="s">
        <v>69</v>
      </c>
      <c r="S55" s="18">
        <f>$S$35</f>
        <v>1</v>
      </c>
      <c r="T55" s="18">
        <f>$S$35</f>
        <v>1</v>
      </c>
      <c r="U55" s="31">
        <f>$S$35</f>
        <v>1</v>
      </c>
    </row>
    <row r="56" spans="1:21" ht="13.8" thickBot="1" x14ac:dyDescent="0.3">
      <c r="B56" s="163" t="s">
        <v>10</v>
      </c>
      <c r="C56" s="163" t="s">
        <v>11</v>
      </c>
      <c r="D56" s="129" t="s">
        <v>12</v>
      </c>
      <c r="E56" s="128" t="s">
        <v>13</v>
      </c>
      <c r="F56" s="128" t="s">
        <v>14</v>
      </c>
      <c r="G56" s="128" t="s">
        <v>15</v>
      </c>
      <c r="H56" s="130" t="s">
        <v>16</v>
      </c>
      <c r="I56" s="128" t="s">
        <v>17</v>
      </c>
      <c r="J56" s="128" t="s">
        <v>18</v>
      </c>
      <c r="K56" s="128" t="s">
        <v>18</v>
      </c>
      <c r="L56" s="128" t="s">
        <v>20</v>
      </c>
      <c r="M56" s="128" t="s">
        <v>21</v>
      </c>
      <c r="N56" s="128" t="s">
        <v>22</v>
      </c>
      <c r="O56" s="128" t="s">
        <v>23</v>
      </c>
      <c r="P56" s="128" t="s">
        <v>24</v>
      </c>
      <c r="R56" s="32" t="s">
        <v>71</v>
      </c>
      <c r="S56" s="22">
        <f>S54/S55</f>
        <v>-76701</v>
      </c>
      <c r="T56" s="22">
        <f>T54/T55</f>
        <v>123299</v>
      </c>
      <c r="U56" s="23">
        <f>U54/U55</f>
        <v>1589201</v>
      </c>
    </row>
    <row r="57" spans="1:21" ht="14.4" x14ac:dyDescent="0.3">
      <c r="A57" s="34" t="s">
        <v>27</v>
      </c>
      <c r="B57" s="34">
        <v>6587</v>
      </c>
      <c r="C57" s="51">
        <f>15+593+506+514+2+172+104+492+454+220+228+781+182+405+743+1096+189+228+819+50+301+274+56+3+160+223+56+36+279+5</f>
        <v>9186</v>
      </c>
      <c r="D57" s="78">
        <f>432+66+344+134+148+212+250+640+33+32+35+159+679+19+135+2137+176+137+560+726+209+15+36+248+166+439+324+121+34+168</f>
        <v>8814</v>
      </c>
      <c r="E57" s="78">
        <v>7506</v>
      </c>
      <c r="F57" s="101">
        <f>748+34+694+396+440+317+704+484+440+968+484+484+484+484+484+968+660+880+616+484+484</f>
        <v>11737</v>
      </c>
      <c r="G57" s="114">
        <f>45+34+42+34+6+34+61+20+1012+979+1470+49+58+527+484+774+572+1188+851+660+949+440+799+771+357+469</f>
        <v>12685</v>
      </c>
      <c r="H57" s="101">
        <f>10+176+18+440+6+440+487+3</f>
        <v>1580</v>
      </c>
      <c r="I57" s="101">
        <f>5+395+12+533+15+466+96+234+480+904+166+509+419+34+204+137+647+240+240+1092+337+131</f>
        <v>7296</v>
      </c>
      <c r="J57" s="101">
        <f>556+924+616+414+159+37+484+320+949+20+489+264+977+826+412+536+275+2167+521+7+26+792+14+704+12+20+21+18+36+23+19+26</f>
        <v>12664</v>
      </c>
      <c r="K57" s="101">
        <f>57+12+1311+440+6+111+150+224+288+1421+347+172+633+428+793+339+418+138+140+209+105+23+572+482+30+11+12+520+60</f>
        <v>9452</v>
      </c>
      <c r="L57" s="101">
        <f>8+20+5+12+15+17+9+12+55+50+55+67</f>
        <v>325</v>
      </c>
      <c r="M57" s="101">
        <f>5+38+6+6+11+7+11+11+5+3+69+96+201+136+3+132+880+814+432+271+265+144+103+409+287+240+271+268+636+268+815+136+135+34+174+212+276+201+201+242+44+32+113+237+3</f>
        <v>8883</v>
      </c>
      <c r="N57" s="101">
        <f>9+11+2+17+14+6+3+6+3+3+36+654+5+307+8+12+3+3+4+23+33</f>
        <v>1162</v>
      </c>
      <c r="O57" s="101">
        <f>23+15+12+5+370+358+66+218+449+400+292+316+70+590+342+18+8+3+8+52+482+18+1030+245+383</f>
        <v>5773</v>
      </c>
      <c r="P57" s="100">
        <f>3+6+113+319+203+390+7+4+3+2+423+3+3+6+79+8+207</f>
        <v>1779</v>
      </c>
      <c r="S57" s="42"/>
      <c r="T57" s="33"/>
      <c r="U57" s="42"/>
    </row>
    <row r="58" spans="1:21" ht="14.4" x14ac:dyDescent="0.3">
      <c r="A58" s="34" t="s">
        <v>29</v>
      </c>
      <c r="B58" s="34">
        <v>14833</v>
      </c>
      <c r="C58" s="51">
        <f>442+352+471+159+522+155+97+223+98+1208+427+220+251+320+451+535+294+1020+1115+271+326+258+513+168+181+35+47+255+1680+791+1175+749+394+958+83+84+82+27+511+427+400</f>
        <v>17775</v>
      </c>
      <c r="D58" s="78">
        <f>104+81+631+231+213+199+138+220+979+131+507+487+461+1509+410+771+288+1886+496+624+850+1081+544+865+409+194+124+205+197+169+639+362+433+364+735+911+168+570+1013+550+381+793+183+164+67+110+95</f>
        <v>22542</v>
      </c>
      <c r="E58" s="78">
        <v>24483</v>
      </c>
      <c r="F58" s="101">
        <f>441+775+462+320+193+459+301+725+1922+1529+1025+716+389+334+262+435+139+1278+365+1059+224+1850+216+1285+644+1175+1315+886+1107+303+1360+965+1054+444+1139+957+686+1618+948+391+495+325+945+1182+1063+743+616+548+719</f>
        <v>38332</v>
      </c>
      <c r="G58" s="114">
        <f>235+241+1120+329+492+842+101+227+554+859+468+273+143+203+367+132+1909+956+675+348+508+588+570+536+498+295+1238+102+477+175+348+170+267+207+800+931+539+744+203+206+1185+1131+885+296+730+1078+803+811</f>
        <v>26795</v>
      </c>
      <c r="H58" s="101">
        <f>499+589+492+655+625+570+159+760+991+445+237+467+535+510+269+501+102+914+134+247+237+512+770+1239+539+235+540+131+32+394+1070+473+344+542+163+70+318+434+1307+1308+301+9+134+204+160+62+374+215+98</f>
        <v>21916</v>
      </c>
      <c r="I58" s="101">
        <f>378+431+1056+1195+1017+926+519+880+371+1897+582+492+590+588+472+643+854+1280+951+537+896+379+408+1030+913+1079+920+271+374+306+261+1080+274+373+714+339+356+697+764+395+382+432+1125+441</f>
        <v>29868</v>
      </c>
      <c r="J58" s="101">
        <f>1503+748+868+650+1062+870+539+736+748+853+539+1342+546+1859+1765+1741+539+604+1188+1469+993+1549+1627+917+1332+1337+1619+689+576+952+950+1133+515+940+844+812+855+66+477+549+1612+242+402+1880+653+938+100+1053+1600+1120+782+479</f>
        <v>49762</v>
      </c>
      <c r="K58" s="101">
        <f>563+894+515+274+422+690+463+688+765+1456+911+924+1152+1201+1536+680+346+374+872+541+1369+1242+2533+955+1011+780+1348+1429+1629+1422+917+511+884+1764+1469+1080+1091+1362+1493+1486+1280+880+313+166+834+508+573+376+339+1002+1350+1318+293</f>
        <v>50274</v>
      </c>
      <c r="L58" s="101">
        <f>455+383+382+978+627+736+425+765+940+1062+1337+504+1862+38+517+666+232+718+803+1005+713+1328+1180+1367+1214+792+754+1654+1055+604+1457+1722+1350+620+279+637+409+315+1010+760+1253+1259+523+696+708+277+833+795+1076+1170+712</f>
        <v>42957</v>
      </c>
      <c r="M58" s="101">
        <f>1214+1507+1736+835+1229+540+1262+959+621+1343+1483+1497+1527+1374+1660+1699+382+698+620+803+1529+1860+2055+1106+1473+901+635+683+829+592+529+461+494+631+287+271+1401+1542+784+722+488+782+440+1147+733+1071+1372+1185+658+381+266+230</f>
        <v>50527</v>
      </c>
      <c r="N58" s="101">
        <f>2109+814+555+453+207+654+1295+2433+618+1566+1600+987+666+599+1620+1123+1010+545+1852+1013+2755+1939+2868+1297+1441+1295+1027+977+1107+1542+2427+2331+1290+1562+1183+1793+1088+802+803+1638+996+908+976+420+240+699+762+1170+1568+1869+935+559</f>
        <v>63986</v>
      </c>
      <c r="O58" s="101">
        <f>508+603+527+1044+524+379+1287+641+562+1108+1350+1287+3547+1230+1004+2039+1012+3481+2253+271+2518+2726+4139+2032+418+1725+2201+1974+1298+673+316+583+1587+1018+1040+828+1397+628+1141+2158+1634+1081+407+537+1309+2511+1069+1392+1314+1605+1936+1678</f>
        <v>71530</v>
      </c>
      <c r="P58" s="100">
        <f>1635+1112+943+831+1677+1440+1619+2778+2680+2966+2160+3431+2138+2374+2220+633+768+1296+1565+1035+2051+2056+2513+1435+1169+2208+1388+1035+1154+2391+1168+1837+526+1627+1022+874+3514+2555+3267+3251+3235+2286+1315+1758+957+1297+3057+1384+1430+1046+379</f>
        <v>90486</v>
      </c>
      <c r="R58" s="65" t="s">
        <v>74</v>
      </c>
      <c r="S58" s="42"/>
      <c r="T58" s="33"/>
      <c r="U58" s="42"/>
    </row>
    <row r="59" spans="1:21" ht="14.4" x14ac:dyDescent="0.3">
      <c r="A59" s="34" t="s">
        <v>26</v>
      </c>
      <c r="B59" s="34">
        <v>55618</v>
      </c>
      <c r="C59" s="51">
        <f>987+1095+990+886+2360+703+952+1464+1085+1144+1117+679+326+531+780+1768+564+5017+1532+1485+1099+1610+1373+1277+1528+872+1137+1269+1036+778+1352+1047+1238+1509+1183+605+1353+1945+456+335+639+1034+747+733+692+590+895+1139+1003+631</f>
        <v>56570</v>
      </c>
      <c r="D59" s="78">
        <f>230+477+569+880+750+1120+874+1288+548+465+647+1364+1253+698+956+1401+531+2481+798+1356+1534+715+917+565+1310+1024+1550+700+1370+293+896+557+729+974+825+733+651+200+118+444+614+700+1492+969+352+608+250+285+265+512</f>
        <v>40838</v>
      </c>
      <c r="E59" s="78">
        <v>45076</v>
      </c>
      <c r="F59" s="101">
        <f>347+610+962+632+176+529+609+218+173+267+751+1333+1453+1695+1822+464+5067+1477+2773+1223+1095+1778+1119+1078+786+742+1698+1307+1632+1099+1386+1098+908+863+1305+1140+1473+1068+1402+374+411+1547+422+306+600+426+1055+671+758</f>
        <v>52128</v>
      </c>
      <c r="G59" s="114">
        <f>1656+1072+824+536+1336+1802+1333+1854+1129+1100+1426+1166+1545+1835+439+1691+1543+6209+1967+876+1512+1752+1638+2443+1777+1824+1176+1420+1067+1180+1446+911+1288+1881+1118+1155+1801+983+2128+1430+1160+784+537+1025+539+1079+774+1073+1133</f>
        <v>69373</v>
      </c>
      <c r="H59" s="101">
        <f>1708+1438+1730+871+1658+1352+1831+1903+1815+1077+1739+1685+1589+1477+1419+1556+1893+5260+2054+1647+2332+1832+1603+2175+2039+1617+2004+2016+2286+1732+1682+910+1240+1388+1138+1631+1220+1321+1260+1315+1624+1649+1496+1868+1031+1118+1869+1582+1329+1138</f>
        <v>83147</v>
      </c>
      <c r="I59" s="101">
        <f>1994+1652+1373+1735+1673+1393+2405+2238+1143+1365+1263+2157+2139+2424+2293+2546+1720+1627+2426+2485+1686+1534+1922+1924+1820+1693+2085+1904+2002+1433+1918+2025+1581+2105+1889+2723+2779+1300+2365+1977+3080+1130+1807+770</f>
        <v>83503</v>
      </c>
      <c r="J59" s="101">
        <f>1771+1612+1914+1968+3055+2345+2198+1651+2876+1433+1641+1343+1832+2053+1507+2305+1198+1443+1942+3418+2428+2815+2525+2054+2291+2187+2440+2333+2738+2767+1748+2532+1618+1212+2284+2999+2086+1936+2686+1807+2033+1810+2423+1679+1403+1897+1668+2329+1267+1787+2229+1162</f>
        <v>106678</v>
      </c>
      <c r="K59" s="101">
        <f>1451+2728+1376+1202+1882+2224+1804+2234+2332+2138+1794+1300+2099+1998+2578+2555+2557+1943+2211+2171+2227+2350+2140+2494+2420+2556+2834+2822+2913+1676+1304+3656+2228+2746+2771+1725+1142+2186+1990+2643+1829+1688+2025+1669+1633+1862+2907+757+5341+1399+1479+1357+188</f>
        <v>111534</v>
      </c>
      <c r="L59" s="101">
        <f>1686+1861+2229+1826+1973+1909+2424+1428+1796+1896+1578+1546+2222+2596+2430+1944+1798+1773+1953+2577+1998+2473+2560+2049+1577+2843+2462+2600+2336+1868+1316+1828+1361+1576+1957+1193+1646+1998+2273+2382+1839+2034+716+1770+1832+1203+1297+1442+1696+3525+1975</f>
        <v>99070</v>
      </c>
      <c r="M59" s="101">
        <f>1892+1789+1928+1400+2205+1014+1311+978+1786+1481+1637+1834+957+1248+2425+2795+2575+1041+2509+2095+2464+2455+3011+1794+2267+1894+2350+1814+2896+1972+1799+2300+2618+1448+1307+3419+1392+131+693+957+1253+725+704+982+969+1244+1233+1405+1663+1635+1607</f>
        <v>87301</v>
      </c>
      <c r="N59" s="101">
        <f>1897+1381+2001+1374+1421+1933+1551+1497+2347+1738+1846+1389+1430+1362+1621+2306+1692+1311+1706+1974+2363+1895+2272+2100+2126+2091+1755+1717+2177+2114+2236+1797+2402+2086+1473+1704+1868+1039+1371+1617+1242+727+1126+1393+367+311+1196+900+1234+632+1544+973</f>
        <v>83625</v>
      </c>
      <c r="O59" s="101">
        <f>1065+531+1791+1709+1091+1095+1513+1603+1595+1994+1799+1789+331+827+1231+2325+1861+1125+1479+1966+2385+2301+2188+1545+1907+1622+2514+1766+1589+1478+2339+1630+1272+1802+1834+1626+2011+1705+1607+621+1188+1473+1723+1729+1847+1916+1804+2057+1470+2164+1975+1116</f>
        <v>84924</v>
      </c>
      <c r="P59" s="100">
        <f>2258+2003+1623+2584+1451+2336+1166+1106+1955+1414+1012+2060+2302+2589+2678+1504+762+3278+3373+1622+2900+2709+2906+2817+2231+2146+3702+1934+2091+2348+1543+1748+1935+1714+1974+2077+3095+1829+1565+2201+2372+1752+1895+2018+2213+2492+957+2010+2633+1758+2016</f>
        <v>106657</v>
      </c>
      <c r="R59" s="65" t="s">
        <v>77</v>
      </c>
    </row>
    <row r="60" spans="1:21" ht="14.4" x14ac:dyDescent="0.3">
      <c r="A60" s="34" t="s">
        <v>28</v>
      </c>
      <c r="B60" s="34">
        <v>15632</v>
      </c>
      <c r="C60" s="51">
        <f>351+605+233+305+817+415+277+384+367+848+1059+1094+689+993+572+818+73+1858+1438+1599+1054+1189+664+565+719+322+922+570+477+461+256+152+398+605+389+694+154+531+395+336+669+471+699+566+330+125+873+139+136+279</f>
        <v>29935</v>
      </c>
      <c r="D60" s="78">
        <f>922+817+696+717+771+896+845+991+1201+995+1244+975+892+894+766+1138+494+1486+1269+450+1099+1537+1314+977+1637+1441+1558+999+1098+867+928+817+463+601+517+559+669+1058+1227+1555+898+367+495+1133+1093+823+197+362+167+233</f>
        <v>45148</v>
      </c>
      <c r="E60" s="78">
        <v>37518</v>
      </c>
      <c r="F60" s="101">
        <f>244+348+282+272+918+164+212+840+739+1013+1522+826+1046+557+475+367+444+3201+936+1332+929+908+1214+920+819+1197+1065+1293+718+917+794+971+623+1064+720+899+1345+590+719+1162+771+760+743+861+1400+1144+832+537+470+88</f>
        <v>42211</v>
      </c>
      <c r="G60" s="114">
        <f>215+224+301+248+200+130+165+66+144+441+463+294+291+1198+277+143+1423+231+312+227+343+594+946+682+29+138+66+25+162+589+419+297+387+457+1+35+35+36+116+183+255+290+481+502+501+133+296</f>
        <v>14991</v>
      </c>
      <c r="H60" s="101">
        <f>1519+1083+777+569+1485+627+231+766+1048+1100+1392+1298+1159+896+895+1122+3550+1042+1075+1193+1008+967+783+2675+45+131+234+782+998+842+1014+1021+1241+1430+1083+1151+1281+996+238+889+434+990+1162+811+717+283+179+140+170</f>
        <v>46522</v>
      </c>
      <c r="I60" s="101">
        <f>1373+1525+1030+1146+1014+1019+1011+1134+157+1248+1677+1556+1457+775+529+786+1611+1312+1047+488+392+280+374+295+380+482+464+1068+861+639+626+1190+557+468+1076+1110+1065+785+893+1510+331+143+307</f>
        <v>37191</v>
      </c>
      <c r="J60" s="101">
        <f>730+1410+1273+211+1355+1084+806+559+828+983+1031+1157+1216+575+806+2525+251+315+1437+1956+1563+2379+863+1151+1022+1352+3117+1610+1105+461+1898+1605+1628+1355+1659+1309+1326+1045+1074+2111+1696+1322+2009+1158+1344+579+1091+2535+1648+1129+413+530</f>
        <v>65595</v>
      </c>
      <c r="K60" s="101">
        <f>906+652+1353+1176+1204+1482+1000+671+1338+1345+817+1254+645+2027+788+1009+1045+183+1167+1327+1172+1344+1305+1209+1176+1339+1537+984+196+1071+1376+1197+1468+1216+707+1885+1257+1213+1120+4687+538+163+1043+1355+5563+932+380+249+1331+1397+1072+106+33</f>
        <v>63010</v>
      </c>
      <c r="L60" s="101">
        <f>504+455+393+507+450+68+469+106+1326+1044+958+574+2734+863+866+727+677+427+276+106+329+1564+960+815+736+926+402+490+764+1126+1280+393+709+849+1586+1055+779+1138+1197+796+1143+986+1138+1822+907+1055+672+1248+1373+1192+1137</f>
        <v>44097</v>
      </c>
      <c r="M60" s="101">
        <f>731+927+460+498+454+253+362+242+305+184+211+174+165+420+203+285+176+668+106+320+559+1117+1549+1096+984+1607+863+898+615+561+1949+962+590+1066+1292+1257+941+1172+837+1852+373+1291+765+725+736+345+201+335+1022+578+386+435</f>
        <v>36103</v>
      </c>
      <c r="N60" s="101">
        <f>1386+973+1538+1223+970+1572+1358+1330+1097+1888+1188+1248+873+1452+1251+1189+787+202+418+711+893+994+2067+839+1277+1246+1415+980+1237+1234+1863+1722+1454+1211+1386+1409+1666+1247+665+1025+879+1027+1118+1153+1314+655+580+1079+1763+994+1110+680</f>
        <v>60836</v>
      </c>
      <c r="O60" s="101">
        <f>34+217+99+130+523+580+1324+1364+1551+1255+681+1278+1626+1087+944+702+698+719+889+1212+1054+1826+1506+1460+1135+1601+2476+1165+926+1372+2453+959+1757+960+1044+762+1760+1321+1518+2141+1355+1135+629+2016+849+1160+1920+1467+894+752+203+304</f>
        <v>58793</v>
      </c>
      <c r="P60" s="100">
        <f>1452+1421+1264+1916+902+829+1629+1434+1385+510+1794+1173+1427+1577+1676+30+1640+2433+1206+1152+943+139+176+1034+1123+1492+733+766+1426+1287+1054+908+1088+983+714+215+1862+535+1262+1046+885+1340+1977+1622+982+1557+1408+1010+75+30</f>
        <v>56522</v>
      </c>
    </row>
    <row r="61" spans="1:21" ht="14.4" x14ac:dyDescent="0.3">
      <c r="A61" s="34" t="s">
        <v>25</v>
      </c>
      <c r="B61" s="34">
        <v>22153</v>
      </c>
      <c r="C61" s="51">
        <f>540+329+759+511+168+346+135+401+270+406+532+201+416+716+209+318+544+1004+287+269+934+901+534+878+844+1100+725+688+590+1335+1240+418+2824+1226+1603+825+1233+861+1339+1503+411+528+1620+679+635+491+636+930+322</f>
        <v>36214</v>
      </c>
      <c r="D61" s="78">
        <f>519+409+220+614+228+132+503+1162+314+987+1586+1240+1632+832+1371+1033+2266+1379+1214+1378+1350+1133+887+1244+1655+1341+854+1314+1037+656+725+781+1372+1486+1217+694+689+261+395+993+647+1064+324+982+468+729+364+417+329</f>
        <v>44427</v>
      </c>
      <c r="E61" s="78">
        <v>30126</v>
      </c>
      <c r="F61" s="101">
        <f>1909+1569+442+927+867+1052+1530+1532+729+1454+2122+1176+1108+792+597+544+1050+3590+1298+2051+1683+1729+1151+1480+2035+1232+1401+881+683+996+1952+2140+1085+790+1030+851+584+652+1350+1213+140+376+1106+1434+929+569+1110+1307+1511</f>
        <v>59739</v>
      </c>
      <c r="G61" s="114">
        <f>1013+713+1059+1372+2151+1238+1425+1132+551+1037+470+880+1342+982+764+824+1545+6226+1193+1813+1577+1472+1141+1954+2015+930+912+1111+1340+1967+1112+1333+1563+1166+1265+996+1597+1601+2050+1369+1435+3214+1746+1515+645+1645+1292+1355+559</f>
        <v>69607</v>
      </c>
      <c r="H61" s="101">
        <f>235+162+435+304+658+363+748+470+606+258+422+299+289+371+247+278+89+1091+339+242+292+208+210+540+395+132+36+169+180+11+158+179+83+204+71+134+27+57+34+592+141+34+224+168+1850+915+943+510+551+1039</f>
        <v>17993</v>
      </c>
      <c r="I61" s="101">
        <f>1445+2094+674+1059+1447+1725+1958+997+290+273+466+868+771+329+587+366+834+490+497+723+541+70+493+664+241+395+423+315+243+273+248+767+130+518+386+677+457+726+173+130+2076+524+537+135</f>
        <v>29035</v>
      </c>
      <c r="J61" s="101">
        <f>1607+1726+1662+1319+2905+2119+2706+1598+1856+481+627+512+1970+839+549+730+251+1747+599+726+425+1627+1601+1176+1297+1977+2444+1730+1386+1796+2585+1703+1626+1829+2558+1719+2004+1896+1214+3143+1386+1957+1173+1817+1397+1724+1965+1370+1715+1633+2547+859</f>
        <v>81808</v>
      </c>
      <c r="K61" s="101">
        <f>185+374+555+681+402+1251+506+1192+674+1418+838+674+1252+1260+757+588+605+170+974+799+811+603+1246+274+294+778+997+439+542+723+320+704+474+666+770+752+387+386+1224+2482+607+797+364+1237+1655+849+952+1118+3700+1732+1321+1625+102</f>
        <v>46086</v>
      </c>
      <c r="L61" s="101">
        <f>159+97+99+128+1164+64+35+115+935+30+69+92+1298+1+160+31+317+28+97+717+68+34+533+67+68+276+68+241+70+232+71+100+208+599+172+102+353+1135+472+483+480</f>
        <v>11468</v>
      </c>
      <c r="M61" s="101">
        <f>1406+1625+1053+713+654+810+1300+1110+1362+557+828+1586+1627+1384+1307+1554+1103+1085+1766+1503+460+32+100+32+35+34+45+35+35+6+90+316+35+107+341+33+34+125+101+68+121+33+32+33+369+321+63</f>
        <v>27369</v>
      </c>
      <c r="N61" s="101">
        <f>2464+2605+1506+1833+1387+2071+1617+1469+846+1438+528+2224+1551+2410+845+768+1226+599+2388+1841+2021+1646+1553+1343+1427+103+1107+209+165+129+101+100+102+402+223+168+165+368+173+201+204+440+141+231+110+162+141+66+205+645</f>
        <v>45667</v>
      </c>
      <c r="O61" s="101">
        <f>1372+1021+1728+815+1961+1706+2103+2995+3906+1162+2214+2051+3339+36+1282+2791+546+2950+1269+1564+2531+2819+1820+2308+2211+2227+2933+1753+2185+2259+2632+2109+1274+1837+2844+2671+1769+2458+2130+1744+1922+1755+2440+2297+1274+2066+1858+2005+2424+2318+905+1309</f>
        <v>103898</v>
      </c>
      <c r="P61" s="100">
        <f>69+209+244+226+171+198+206+414+100+105+463+784+292+69+138+1165+408+336+544+407+1522+737+35+651+997+480+1570+1154+1875+490+2361+1578+1157+1006+1494+2252+1648+1177+1045+2093+1121+2628+323+1291+678+2293+1070+308+522+28</f>
        <v>42132</v>
      </c>
    </row>
    <row r="62" spans="1:21" ht="15" thickBot="1" x14ac:dyDescent="0.35">
      <c r="A62" s="145" t="s">
        <v>96</v>
      </c>
      <c r="B62" s="34">
        <v>161550</v>
      </c>
      <c r="C62" s="51">
        <f>31849+21249+27982</f>
        <v>81080</v>
      </c>
      <c r="D62" s="78">
        <f>236+4206+2320+14699+21493+23043+26457+20376+54124+1726</f>
        <v>168680</v>
      </c>
      <c r="E62" s="78">
        <v>679185</v>
      </c>
      <c r="F62" s="101"/>
      <c r="G62" s="114"/>
      <c r="H62" s="101">
        <f>12779+27898+7311+53225+66100+40001+36317+18283</f>
        <v>261914</v>
      </c>
      <c r="I62" s="101">
        <f>54399+51999</f>
        <v>106398</v>
      </c>
      <c r="J62" s="101"/>
      <c r="K62" s="101">
        <f>8891+44641+56118+13109+41491+52489+22512+32088+21400+30450</f>
        <v>323189</v>
      </c>
      <c r="L62" s="101">
        <f>9205+10001+55000+53132+32042+44157+75547+13060+46758+17913+45262+54550+24060+30290+46821+3074+6056+52010+35106+18780+55000+54000+52700</f>
        <v>834524</v>
      </c>
      <c r="M62" s="101">
        <f>31992+100221+51648+51501+2477+31226+23531+47728+4785+55300+54230+32203+23669+10226+44224+32486+77964+23512+21087</f>
        <v>720010</v>
      </c>
      <c r="N62" s="101">
        <f>52478+20385+32083+7717+31863+23638+23651+25915+6225+13039+28442+54980+24500+47723+36877+33570</f>
        <v>463086</v>
      </c>
      <c r="O62" s="101"/>
      <c r="P62" s="100">
        <f>50255</f>
        <v>50255</v>
      </c>
      <c r="R62" s="1" t="s">
        <v>97</v>
      </c>
    </row>
    <row r="63" spans="1:21" ht="14.4" x14ac:dyDescent="0.3">
      <c r="A63" s="145" t="s">
        <v>98</v>
      </c>
      <c r="B63" s="145">
        <v>48880</v>
      </c>
      <c r="C63" s="51">
        <f>25083+24806+39128+27873+22427</f>
        <v>139317</v>
      </c>
      <c r="D63" s="78">
        <f>18608+30231+50170+2930+92055+7681+84537+77568+54112+24125+34803+39324+29995+45209+4967</f>
        <v>596315</v>
      </c>
      <c r="E63" s="78">
        <v>198197</v>
      </c>
      <c r="F63" s="101"/>
      <c r="G63" s="114"/>
      <c r="H63" s="102">
        <f>10250+40114+36227+39306+55248+22494+47041+5682+1846+51254+34370+11130+52611+22466+57016+99855+53806+74644+28124+2398+19786</f>
        <v>765668</v>
      </c>
      <c r="I63" s="102">
        <f>51000+26957+23135+50425</f>
        <v>151517</v>
      </c>
      <c r="J63" s="101"/>
      <c r="K63" s="101">
        <f>30685+21955+34334+15776+39311+10719+7695+44775</f>
        <v>205250</v>
      </c>
      <c r="L63" s="101">
        <f>32459+18294+27805+22845+28298+53428+23937+52460+52155+19755+82796+6370+101747+85190+61911+52133+55000+48240</f>
        <v>824823</v>
      </c>
      <c r="M63" s="101">
        <f>50146+24477+28273+34402+15013+14317+33995+9192+68604+51520+54262+53047+59513+32722+30962+44701</f>
        <v>605146</v>
      </c>
      <c r="N63" s="101">
        <f>30131+23009+6802+24368+20000+113666+84008+12419+61515+19250+20001+22580+30554</f>
        <v>468303</v>
      </c>
      <c r="O63" s="101"/>
      <c r="P63" s="143"/>
      <c r="R63" s="30"/>
      <c r="S63" s="20" t="s">
        <v>59</v>
      </c>
      <c r="T63" s="20" t="s">
        <v>99</v>
      </c>
      <c r="U63" s="21" t="s">
        <v>61</v>
      </c>
    </row>
    <row r="64" spans="1:21" ht="14.4" x14ac:dyDescent="0.3">
      <c r="A64" s="145" t="s">
        <v>100</v>
      </c>
      <c r="B64" s="145"/>
      <c r="C64" s="51"/>
      <c r="D64" s="78"/>
      <c r="E64" s="78"/>
      <c r="F64" s="101"/>
      <c r="G64" s="114"/>
      <c r="H64" s="102"/>
      <c r="I64" s="102"/>
      <c r="J64" s="101"/>
      <c r="K64" s="101"/>
      <c r="L64" s="101"/>
      <c r="M64" s="101">
        <f>26652+81452</f>
        <v>108104</v>
      </c>
      <c r="N64" s="101">
        <f>26953+16628+11972+55960</f>
        <v>111513</v>
      </c>
      <c r="O64" s="101"/>
      <c r="P64" s="143"/>
      <c r="R64" s="164" t="s">
        <v>101</v>
      </c>
      <c r="S64" s="166">
        <f>S52+S32</f>
        <v>3400000</v>
      </c>
      <c r="T64" s="166">
        <f>T52+T32</f>
        <v>4250000</v>
      </c>
      <c r="U64" s="167">
        <f>U52+U32</f>
        <v>4500000</v>
      </c>
    </row>
    <row r="65" spans="1:23" ht="14.4" x14ac:dyDescent="0.3">
      <c r="A65" s="145" t="s">
        <v>35</v>
      </c>
      <c r="B65" s="145"/>
      <c r="C65" s="82"/>
      <c r="D65" s="79">
        <v>1009</v>
      </c>
      <c r="E65" s="79">
        <v>1011</v>
      </c>
      <c r="F65" s="102"/>
      <c r="G65" s="115"/>
      <c r="H65" s="102">
        <f>102+345+172+782+782+299</f>
        <v>2482</v>
      </c>
      <c r="I65" s="102"/>
      <c r="J65" s="101">
        <f>481</f>
        <v>481</v>
      </c>
      <c r="K65" s="101"/>
      <c r="L65" s="101">
        <f>35+35+35+3013+643+1416+2079+35+35+1176+238+68+1013+125+992+34+34+102+34+1013+68+102+34+1000+991+993+1105</f>
        <v>16448</v>
      </c>
      <c r="M65" s="101">
        <f>1983+1978+1488+499+35</f>
        <v>5983</v>
      </c>
      <c r="N65" s="101"/>
      <c r="O65" s="101"/>
      <c r="P65" s="143"/>
      <c r="R65" s="159" t="s">
        <v>102</v>
      </c>
      <c r="S65" s="18">
        <f>H97+H53</f>
        <v>2246674</v>
      </c>
      <c r="T65" s="18">
        <f>S65</f>
        <v>2246674</v>
      </c>
      <c r="U65" s="31">
        <f>T65</f>
        <v>2246674</v>
      </c>
    </row>
    <row r="66" spans="1:23" ht="14.4" x14ac:dyDescent="0.3">
      <c r="A66" s="34" t="s">
        <v>103</v>
      </c>
      <c r="B66" s="34">
        <v>229</v>
      </c>
      <c r="C66" s="51"/>
      <c r="D66" s="78"/>
      <c r="E66" s="78"/>
      <c r="F66" s="101"/>
      <c r="G66" s="114"/>
      <c r="H66" s="101"/>
      <c r="I66" s="101"/>
      <c r="J66" s="101"/>
      <c r="K66" s="101"/>
      <c r="L66" s="101"/>
      <c r="M66" s="101"/>
      <c r="N66" s="101"/>
      <c r="O66" s="101"/>
      <c r="P66" s="100"/>
      <c r="R66" s="25" t="s">
        <v>67</v>
      </c>
      <c r="S66" s="18">
        <f>S64-S65</f>
        <v>1153326</v>
      </c>
      <c r="T66" s="18">
        <f>T64-T65</f>
        <v>2003326</v>
      </c>
      <c r="U66" s="31">
        <f>U64-U65</f>
        <v>2253326</v>
      </c>
    </row>
    <row r="67" spans="1:23" ht="14.4" x14ac:dyDescent="0.3">
      <c r="A67" s="145" t="s">
        <v>104</v>
      </c>
      <c r="B67" s="145">
        <v>28100</v>
      </c>
      <c r="C67" s="51"/>
      <c r="D67" s="78"/>
      <c r="E67" s="78"/>
      <c r="F67" s="101"/>
      <c r="G67" s="114"/>
      <c r="H67" s="101"/>
      <c r="I67" s="101"/>
      <c r="J67" s="101"/>
      <c r="K67" s="101"/>
      <c r="L67" s="101"/>
      <c r="M67" s="101"/>
      <c r="N67" s="101"/>
      <c r="O67" s="101"/>
      <c r="P67" s="100"/>
      <c r="R67" s="25" t="s">
        <v>69</v>
      </c>
      <c r="S67" s="18">
        <f>$S$35</f>
        <v>1</v>
      </c>
      <c r="T67" s="18">
        <f>$S$35</f>
        <v>1</v>
      </c>
      <c r="U67" s="31">
        <f>$S$35</f>
        <v>1</v>
      </c>
    </row>
    <row r="68" spans="1:23" ht="15" thickBot="1" x14ac:dyDescent="0.35">
      <c r="A68" s="145" t="s">
        <v>40</v>
      </c>
      <c r="B68" s="145"/>
      <c r="C68" s="51"/>
      <c r="D68" s="78">
        <f>382+452+516</f>
        <v>1350</v>
      </c>
      <c r="E68" s="78">
        <v>3540</v>
      </c>
      <c r="F68" s="101"/>
      <c r="G68" s="114"/>
      <c r="H68" s="101"/>
      <c r="I68" s="101"/>
      <c r="J68" s="101"/>
      <c r="K68" s="101"/>
      <c r="L68" s="101"/>
      <c r="M68" s="101"/>
      <c r="N68" s="101"/>
      <c r="O68" s="101"/>
      <c r="P68" s="100"/>
      <c r="R68" s="32" t="s">
        <v>71</v>
      </c>
      <c r="S68" s="22">
        <f>S66/S67</f>
        <v>1153326</v>
      </c>
      <c r="T68" s="22">
        <f>T66/T67</f>
        <v>2003326</v>
      </c>
      <c r="U68" s="23">
        <f>U66/U67</f>
        <v>2253326</v>
      </c>
    </row>
    <row r="69" spans="1:23" ht="14.4" x14ac:dyDescent="0.3">
      <c r="A69" s="145" t="s">
        <v>105</v>
      </c>
      <c r="B69" s="145"/>
      <c r="C69" s="51"/>
      <c r="D69" s="78"/>
      <c r="E69" s="78"/>
      <c r="F69" s="101"/>
      <c r="G69" s="114"/>
      <c r="H69" s="101"/>
      <c r="I69" s="101"/>
      <c r="J69" s="101"/>
      <c r="K69" s="101"/>
      <c r="L69" s="101"/>
      <c r="M69" s="101"/>
      <c r="N69" s="101"/>
      <c r="O69" s="101"/>
      <c r="P69" s="100"/>
    </row>
    <row r="70" spans="1:23" ht="14.4" x14ac:dyDescent="0.3">
      <c r="A70" s="145" t="s">
        <v>50</v>
      </c>
      <c r="B70" s="145">
        <v>7700</v>
      </c>
      <c r="C70" s="51"/>
      <c r="D70" s="78"/>
      <c r="E70" s="78"/>
      <c r="F70" s="101"/>
      <c r="G70" s="114"/>
      <c r="H70" s="101">
        <f>301</f>
        <v>301</v>
      </c>
      <c r="I70" s="101">
        <f>20000</f>
        <v>20000</v>
      </c>
      <c r="J70" s="101"/>
      <c r="K70" s="101"/>
      <c r="L70" s="101">
        <f>9505</f>
        <v>9505</v>
      </c>
      <c r="M70" s="101">
        <v>0</v>
      </c>
      <c r="N70" s="101">
        <f>654+1315</f>
        <v>1969</v>
      </c>
      <c r="O70" s="101"/>
      <c r="P70" s="100"/>
      <c r="S70" s="42"/>
      <c r="T70" s="45"/>
      <c r="U70" s="42"/>
    </row>
    <row r="71" spans="1:23" ht="14.4" x14ac:dyDescent="0.3">
      <c r="A71" s="145" t="s">
        <v>106</v>
      </c>
      <c r="B71" s="145"/>
      <c r="C71" s="51"/>
      <c r="D71" s="78"/>
      <c r="E71" s="78"/>
      <c r="F71" s="101">
        <f>1104+543+810+36+788</f>
        <v>3281</v>
      </c>
      <c r="G71" s="114"/>
      <c r="H71" s="101"/>
      <c r="I71" s="101"/>
      <c r="J71" s="101"/>
      <c r="K71" s="101"/>
      <c r="L71" s="101"/>
      <c r="M71" s="101"/>
      <c r="N71" s="101"/>
      <c r="O71" s="101"/>
      <c r="P71" s="100"/>
      <c r="S71" s="42"/>
      <c r="T71" s="45"/>
      <c r="U71" s="42"/>
    </row>
    <row r="72" spans="1:23" ht="14.4" x14ac:dyDescent="0.3">
      <c r="A72" s="145" t="s">
        <v>107</v>
      </c>
      <c r="B72" s="145">
        <v>302259</v>
      </c>
      <c r="C72" s="51">
        <f>594+1100+5818+12152</f>
        <v>19664</v>
      </c>
      <c r="D72" s="78">
        <f>2544+29810+36024+30166+49500</f>
        <v>148044</v>
      </c>
      <c r="E72" s="78">
        <v>214474</v>
      </c>
      <c r="F72" s="101">
        <f>2277</f>
        <v>2277</v>
      </c>
      <c r="G72" s="114">
        <f>506+828+483+1932+691+510+530+483</f>
        <v>5963</v>
      </c>
      <c r="H72" s="101">
        <f>644+828+828</f>
        <v>2300</v>
      </c>
      <c r="I72" s="101"/>
      <c r="J72" s="101"/>
      <c r="K72" s="101"/>
      <c r="L72" s="101"/>
      <c r="M72" s="101"/>
      <c r="N72" s="101"/>
      <c r="O72" s="101"/>
      <c r="P72" s="100"/>
      <c r="W72" s="1"/>
    </row>
    <row r="73" spans="1:23" ht="14.4" x14ac:dyDescent="0.3">
      <c r="A73" s="145" t="s">
        <v>108</v>
      </c>
      <c r="B73" s="145"/>
      <c r="C73" s="51"/>
      <c r="D73" s="78"/>
      <c r="E73" s="78"/>
      <c r="F73" s="101"/>
      <c r="G73" s="114"/>
      <c r="H73" s="101">
        <f>11313+40938+53280+39974+13319+25257+27863</f>
        <v>211944</v>
      </c>
      <c r="I73" s="101">
        <f>2106+590+391+576+307+399+195+200+399+8210+39332+53700+36010+17490+54800</f>
        <v>214705</v>
      </c>
      <c r="J73" s="101">
        <f>513+483+989+84+322+1465+483+490+532+492+496</f>
        <v>6349</v>
      </c>
      <c r="K73" s="101">
        <f>12751+88323+4701+54094+31686+38182+22125+16475+12942+40501+41337+508</f>
        <v>363625</v>
      </c>
      <c r="L73" s="101">
        <f>15250+30536+9788+495+248+275+54130+248+371+124+36118+17023+9923+46821+249+55346+15950+40075+50925+500+500+34857+10643</f>
        <v>430395</v>
      </c>
      <c r="M73" s="101">
        <f>25006+21556+31166+52075</f>
        <v>129803</v>
      </c>
      <c r="N73" s="101">
        <f>56211+32529+52830+53033+65447+4532+78700+51399+24015+29648+13914+29994</f>
        <v>492252</v>
      </c>
      <c r="O73" s="101"/>
      <c r="P73" s="100">
        <f>30743+16890</f>
        <v>47633</v>
      </c>
      <c r="W73" s="1"/>
    </row>
    <row r="74" spans="1:23" ht="14.4" x14ac:dyDescent="0.3">
      <c r="A74" s="145" t="s">
        <v>109</v>
      </c>
      <c r="B74" s="145"/>
      <c r="C74" s="51"/>
      <c r="D74" s="78"/>
      <c r="E74" s="78"/>
      <c r="F74" s="101"/>
      <c r="G74" s="114"/>
      <c r="H74" s="101"/>
      <c r="I74" s="101">
        <f>304+506+552+943+23+207+506+483+598</f>
        <v>4122</v>
      </c>
      <c r="J74" s="101">
        <f>968+483+463+969+462+833+629+506+484+2231+276</f>
        <v>8304</v>
      </c>
      <c r="K74" s="101"/>
      <c r="L74" s="101"/>
      <c r="M74" s="101"/>
      <c r="N74" s="101"/>
      <c r="O74" s="101"/>
      <c r="P74" s="100"/>
      <c r="W74" s="1"/>
    </row>
    <row r="75" spans="1:23" ht="14.4" x14ac:dyDescent="0.3">
      <c r="A75" s="145" t="s">
        <v>84</v>
      </c>
      <c r="B75" s="34"/>
      <c r="C75" s="51"/>
      <c r="D75" s="78"/>
      <c r="E75" s="78"/>
      <c r="F75" s="101"/>
      <c r="G75" s="114"/>
      <c r="H75" s="101"/>
      <c r="I75" s="101"/>
      <c r="J75" s="101"/>
      <c r="K75" s="101"/>
      <c r="L75" s="101"/>
      <c r="M75" s="101"/>
      <c r="N75" s="101"/>
      <c r="O75" s="101"/>
      <c r="P75" s="100"/>
      <c r="W75" s="43"/>
    </row>
    <row r="76" spans="1:23" ht="14.4" x14ac:dyDescent="0.3">
      <c r="A76" s="34" t="s">
        <v>73</v>
      </c>
      <c r="B76" s="34"/>
      <c r="C76" s="51"/>
      <c r="D76" s="78"/>
      <c r="E76" s="78"/>
      <c r="F76" s="101"/>
      <c r="G76" s="114"/>
      <c r="H76" s="101"/>
      <c r="I76" s="101"/>
      <c r="J76" s="101"/>
      <c r="K76" s="101"/>
      <c r="L76" s="101"/>
      <c r="M76" s="101"/>
      <c r="N76" s="101"/>
      <c r="O76" s="101"/>
      <c r="P76" s="100">
        <f>16509+16504</f>
        <v>33013</v>
      </c>
      <c r="W76" s="43"/>
    </row>
    <row r="77" spans="1:23" ht="14.4" x14ac:dyDescent="0.3">
      <c r="A77" s="34" t="s">
        <v>110</v>
      </c>
      <c r="B77" s="34">
        <v>4109</v>
      </c>
      <c r="C77" s="51">
        <f>352+2002</f>
        <v>2354</v>
      </c>
      <c r="D77" s="78">
        <f>1757+280+280+473+2151</f>
        <v>4941</v>
      </c>
      <c r="E77" s="78"/>
      <c r="F77" s="101"/>
      <c r="G77" s="114"/>
      <c r="H77" s="101"/>
      <c r="I77" s="101"/>
      <c r="J77" s="101"/>
      <c r="K77" s="101"/>
      <c r="L77" s="101"/>
      <c r="M77" s="101"/>
      <c r="N77" s="101"/>
      <c r="O77" s="101">
        <f>301</f>
        <v>301</v>
      </c>
      <c r="P77" s="100">
        <f>177+357+796</f>
        <v>1330</v>
      </c>
      <c r="R77" s="17"/>
      <c r="W77" s="17"/>
    </row>
    <row r="78" spans="1:23" ht="14.4" x14ac:dyDescent="0.3">
      <c r="A78" s="34" t="s">
        <v>66</v>
      </c>
      <c r="B78" s="34"/>
      <c r="C78" s="51"/>
      <c r="D78" s="78">
        <f>5812+7883</f>
        <v>13695</v>
      </c>
      <c r="E78" s="78"/>
      <c r="F78" s="101"/>
      <c r="G78" s="114"/>
      <c r="H78" s="101"/>
      <c r="I78" s="101"/>
      <c r="J78" s="101"/>
      <c r="K78" s="101"/>
      <c r="L78" s="101"/>
      <c r="M78" s="101"/>
      <c r="N78" s="101"/>
      <c r="O78" s="101"/>
      <c r="P78" s="100"/>
      <c r="R78" s="17"/>
      <c r="W78" s="17"/>
    </row>
    <row r="79" spans="1:23" ht="14.4" x14ac:dyDescent="0.3">
      <c r="A79" s="145" t="s">
        <v>111</v>
      </c>
      <c r="B79" s="34"/>
      <c r="C79" s="51"/>
      <c r="D79" s="78"/>
      <c r="E79" s="78"/>
      <c r="F79" s="101"/>
      <c r="G79" s="114"/>
      <c r="H79" s="101"/>
      <c r="I79" s="101"/>
      <c r="J79" s="101"/>
      <c r="K79" s="101"/>
      <c r="L79" s="101"/>
      <c r="M79" s="101"/>
      <c r="N79" s="101">
        <f>136+91+300+379+239</f>
        <v>1145</v>
      </c>
      <c r="O79" s="101"/>
      <c r="P79" s="100"/>
    </row>
    <row r="80" spans="1:23" ht="14.4" x14ac:dyDescent="0.3">
      <c r="A80" s="34" t="s">
        <v>112</v>
      </c>
      <c r="B80" s="34"/>
      <c r="C80" s="51"/>
      <c r="D80" s="78"/>
      <c r="E80" s="78"/>
      <c r="F80" s="101"/>
      <c r="G80" s="114"/>
      <c r="H80" s="101"/>
      <c r="I80" s="101"/>
      <c r="J80" s="101"/>
      <c r="K80" s="101">
        <f>21</f>
        <v>21</v>
      </c>
      <c r="L80" s="101"/>
      <c r="M80" s="101"/>
      <c r="N80" s="101"/>
      <c r="O80" s="101"/>
      <c r="P80" s="100"/>
    </row>
    <row r="81" spans="1:18" ht="14.4" x14ac:dyDescent="0.3">
      <c r="A81" s="34" t="s">
        <v>64</v>
      </c>
      <c r="B81" s="34"/>
      <c r="C81" s="51"/>
      <c r="D81" s="78"/>
      <c r="E81" s="78">
        <v>52499</v>
      </c>
      <c r="F81" s="101"/>
      <c r="G81" s="114"/>
      <c r="H81" s="101"/>
      <c r="I81" s="101"/>
      <c r="J81" s="101"/>
      <c r="K81" s="101"/>
      <c r="L81" s="101"/>
      <c r="M81" s="101"/>
      <c r="N81" s="101"/>
      <c r="O81" s="101"/>
      <c r="P81" s="100"/>
      <c r="R81" s="17"/>
    </row>
    <row r="82" spans="1:18" ht="14.4" x14ac:dyDescent="0.3">
      <c r="A82" s="145" t="s">
        <v>75</v>
      </c>
      <c r="B82" s="34"/>
      <c r="C82" s="51"/>
      <c r="D82" s="78"/>
      <c r="E82" s="78"/>
      <c r="F82" s="101"/>
      <c r="G82" s="114"/>
      <c r="H82" s="101">
        <f>283+594+599+725+552+602+604+456+606+454</f>
        <v>5475</v>
      </c>
      <c r="I82" s="101"/>
      <c r="J82" s="101"/>
      <c r="K82" s="101"/>
      <c r="L82" s="101"/>
      <c r="M82" s="101"/>
      <c r="N82" s="101"/>
      <c r="O82" s="101"/>
      <c r="P82" s="100"/>
      <c r="R82" s="17"/>
    </row>
    <row r="83" spans="1:18" ht="14.4" x14ac:dyDescent="0.3">
      <c r="A83" s="145" t="s">
        <v>113</v>
      </c>
      <c r="B83" s="34"/>
      <c r="C83" s="51"/>
      <c r="D83" s="78"/>
      <c r="E83" s="78">
        <v>55959</v>
      </c>
      <c r="F83" s="101"/>
      <c r="G83" s="114"/>
      <c r="H83" s="101"/>
      <c r="I83" s="101"/>
      <c r="J83" s="101"/>
      <c r="K83" s="101">
        <f>262+254+264</f>
        <v>780</v>
      </c>
      <c r="L83" s="101">
        <f>1116+549</f>
        <v>1665</v>
      </c>
      <c r="M83" s="101">
        <f>2054+506+1364+1518+770+220</f>
        <v>6432</v>
      </c>
      <c r="N83" s="101">
        <f>41+275+572+305+204+512+512+287+225+308+362+273+356+106+382</f>
        <v>4720</v>
      </c>
      <c r="O83" s="101">
        <f>437+569+127+127+429+663+339+237+432+662</f>
        <v>4022</v>
      </c>
      <c r="P83" s="100">
        <v>0</v>
      </c>
      <c r="R83" s="17"/>
    </row>
    <row r="84" spans="1:18" ht="14.4" x14ac:dyDescent="0.3">
      <c r="A84" s="145" t="s">
        <v>76</v>
      </c>
      <c r="B84" s="145">
        <v>2537</v>
      </c>
      <c r="C84" s="51"/>
      <c r="D84" s="78"/>
      <c r="E84" s="78"/>
      <c r="F84" s="101"/>
      <c r="G84" s="114"/>
      <c r="H84" s="101"/>
      <c r="I84" s="101"/>
      <c r="J84" s="101"/>
      <c r="K84" s="101"/>
      <c r="L84" s="101"/>
      <c r="M84" s="101"/>
      <c r="N84" s="101"/>
      <c r="O84" s="101"/>
      <c r="P84" s="100"/>
    </row>
    <row r="85" spans="1:18" ht="14.4" x14ac:dyDescent="0.3">
      <c r="A85" s="145" t="s">
        <v>271</v>
      </c>
      <c r="B85" s="145"/>
      <c r="C85" s="51"/>
      <c r="D85" s="78"/>
      <c r="E85" s="78"/>
      <c r="F85" s="101"/>
      <c r="G85" s="114"/>
      <c r="H85" s="101"/>
      <c r="I85" s="101"/>
      <c r="J85" s="101"/>
      <c r="K85" s="101"/>
      <c r="L85" s="101"/>
      <c r="M85" s="101"/>
      <c r="N85" s="101"/>
      <c r="O85" s="101"/>
      <c r="P85" s="100">
        <f>1011+962+975+999+713</f>
        <v>4660</v>
      </c>
    </row>
    <row r="86" spans="1:18" ht="14.4" x14ac:dyDescent="0.3">
      <c r="A86" s="145" t="s">
        <v>80</v>
      </c>
      <c r="B86" s="145"/>
      <c r="C86" s="51"/>
      <c r="D86" s="78"/>
      <c r="E86" s="78"/>
      <c r="F86" s="101"/>
      <c r="G86" s="114"/>
      <c r="H86" s="101"/>
      <c r="I86" s="101"/>
      <c r="J86" s="101"/>
      <c r="K86" s="101"/>
      <c r="L86" s="101"/>
      <c r="M86" s="101"/>
      <c r="N86" s="101"/>
      <c r="O86" s="101"/>
      <c r="P86" s="100"/>
    </row>
    <row r="87" spans="1:18" ht="14.4" x14ac:dyDescent="0.3">
      <c r="A87" s="34" t="s">
        <v>90</v>
      </c>
      <c r="B87" s="34"/>
      <c r="C87" s="51"/>
      <c r="D87" s="78"/>
      <c r="E87" s="78"/>
      <c r="F87" s="101"/>
      <c r="G87" s="114">
        <f>132</f>
        <v>132</v>
      </c>
      <c r="H87" s="101"/>
      <c r="I87" s="101"/>
      <c r="J87" s="101"/>
      <c r="K87" s="101"/>
      <c r="L87" s="101"/>
      <c r="M87" s="101"/>
      <c r="N87" s="101">
        <f>72</f>
        <v>72</v>
      </c>
      <c r="O87" s="101">
        <f>553+315+417+71</f>
        <v>1356</v>
      </c>
      <c r="P87" s="100">
        <v>0</v>
      </c>
    </row>
    <row r="88" spans="1:18" ht="14.4" x14ac:dyDescent="0.3">
      <c r="A88" s="34" t="s">
        <v>114</v>
      </c>
      <c r="B88" s="34"/>
      <c r="C88" s="51"/>
      <c r="D88" s="78"/>
      <c r="E88" s="78"/>
      <c r="F88" s="101"/>
      <c r="G88" s="114"/>
      <c r="H88" s="101"/>
      <c r="I88" s="101"/>
      <c r="J88" s="101"/>
      <c r="K88" s="101"/>
      <c r="L88" s="101">
        <f>335+434</f>
        <v>769</v>
      </c>
      <c r="M88" s="101">
        <f>139+208</f>
        <v>347</v>
      </c>
      <c r="N88" s="101"/>
      <c r="O88" s="101"/>
      <c r="P88" s="100"/>
    </row>
    <row r="89" spans="1:18" ht="14.4" x14ac:dyDescent="0.3">
      <c r="A89" s="34" t="s">
        <v>78</v>
      </c>
      <c r="B89" s="34"/>
      <c r="C89" s="51"/>
      <c r="D89" s="78"/>
      <c r="E89" s="78"/>
      <c r="F89" s="101"/>
      <c r="G89" s="114"/>
      <c r="H89" s="101"/>
      <c r="I89" s="101"/>
      <c r="J89" s="101"/>
      <c r="K89" s="101"/>
      <c r="L89" s="101">
        <f>53610+27400+22400</f>
        <v>103410</v>
      </c>
      <c r="M89" s="101">
        <v>0</v>
      </c>
      <c r="N89" s="101"/>
      <c r="O89" s="101"/>
      <c r="P89" s="100"/>
    </row>
    <row r="90" spans="1:18" ht="14.4" x14ac:dyDescent="0.3">
      <c r="A90" s="34" t="s">
        <v>31</v>
      </c>
      <c r="B90" s="34">
        <v>263</v>
      </c>
      <c r="C90" s="51"/>
      <c r="D90" s="78">
        <f>638+633+506+319+1025+397+1008+1075+488+2034+1910+904+1675+1248+531+66+1085+775+587+1489+1543+1213+968+359+174+70+1035+366+951+598+365+69+318+784</f>
        <v>27206</v>
      </c>
      <c r="E90" s="78">
        <v>3617</v>
      </c>
      <c r="F90" s="101">
        <f>33+67+62+35</f>
        <v>197</v>
      </c>
      <c r="G90" s="114">
        <f>394+179+598+197+491+1740+2194+3167+2177+2486+2619+3109+3240+2734+1713+8992+4692+4785+4210+4018+5162+2556+2616+2436+3011+1426+1349+1233+888+249+922+765+670+37+738+355+362+572+1783+1593+332+101+748+5711+244</f>
        <v>89594</v>
      </c>
      <c r="H90" s="101">
        <f>889</f>
        <v>889</v>
      </c>
      <c r="I90" s="101"/>
      <c r="J90" s="101">
        <f>1226+1351+1901+2089+5750+5079+4513+4378+5445+3977+2687+1448+2015+2522+2337+1820+209+101+1162+1494+1240+925+1281+1230+1501+582+398+68+1137+934+1763+1731+2438+1052+1435+808+705</f>
        <v>70732</v>
      </c>
      <c r="K90" s="101">
        <f>132+351+742+836+1906+1971+3770+6590+6452+5576+3741+3190+2941+5076+4003+3750+5424+2584+1306+3992+2653+3647+5798+6056+3348+2977+4807+3398+2733+2787+2286+4243+2100+2015+2126+969+1851+1090+984+1058+894+134+454+966+2655+3169+2506+1562+2599+2314+3359+2695+238</f>
        <v>144804</v>
      </c>
      <c r="L90" s="101">
        <f>27</f>
        <v>27</v>
      </c>
      <c r="M90" s="101">
        <f>935+202+264+535+770+472+647+1167+809+5+1067+751+376+781+104+64+1015+64</f>
        <v>10028</v>
      </c>
      <c r="N90" s="101">
        <f>7372+7523+7060+5682+4559+6281+7086+7707+6670+8583+7498+7244+7269+9454+5528+8844+4999+1876+2075+5583+8694+6933+7638+5447+4472+4085+5197+4487+6908+2942+2144+15+141+493+495+478</f>
        <v>189462</v>
      </c>
      <c r="O90" s="101">
        <f>4829+5017+3353+4519+8324+6932+8860+7213+7850+5186+4984+6242+5959+10049+10635+13470+8354+6783+8985+13315+13914+17372+14005+8932+9363+6205+9867+9761+11381+8198+9434+8611+8365+8737+10447+7368+11614+8061+9684+8347+8249+9808+6621+8468+8894+9669+7381+8790+8491+5211+4737+2936</f>
        <v>439780</v>
      </c>
      <c r="P90" s="100">
        <f>8336+6203+9700+10957+9427+8620+7142+7416+4973+5647+7748+7896+9114+7960+6732+2747+2699+6520+8265+9325+11707+11527+13908+15151+12217+11572+12882+12595+10566+4660+140+444+34+175+104+1+37+416+1363+141+10060+6552+4304+3883+2288</f>
        <v>294154</v>
      </c>
    </row>
    <row r="91" spans="1:18" ht="14.4" x14ac:dyDescent="0.3">
      <c r="A91" s="145" t="s">
        <v>55</v>
      </c>
      <c r="B91" s="145">
        <v>40800</v>
      </c>
      <c r="C91" s="51"/>
      <c r="D91" s="78"/>
      <c r="E91" s="78"/>
      <c r="F91" s="101"/>
      <c r="G91" s="114"/>
      <c r="H91" s="101"/>
      <c r="I91" s="101"/>
      <c r="J91" s="101"/>
      <c r="K91" s="101"/>
      <c r="L91" s="101"/>
      <c r="M91" s="101"/>
      <c r="N91" s="101"/>
      <c r="O91" s="101"/>
      <c r="P91" s="100"/>
    </row>
    <row r="92" spans="1:18" ht="14.4" x14ac:dyDescent="0.3">
      <c r="A92" s="165" t="s">
        <v>272</v>
      </c>
      <c r="B92" s="168"/>
      <c r="C92" s="50"/>
      <c r="D92" s="78"/>
      <c r="E92" s="78"/>
      <c r="F92" s="101"/>
      <c r="G92" s="114"/>
      <c r="H92" s="101"/>
      <c r="I92" s="101"/>
      <c r="J92" s="101"/>
      <c r="K92" s="101"/>
      <c r="L92" s="101"/>
      <c r="M92" s="101"/>
      <c r="N92" s="101"/>
      <c r="O92" s="101"/>
      <c r="P92" s="100">
        <f>480</f>
        <v>480</v>
      </c>
    </row>
    <row r="93" spans="1:18" ht="14.4" x14ac:dyDescent="0.3">
      <c r="A93" s="165" t="s">
        <v>68</v>
      </c>
      <c r="B93" s="168"/>
      <c r="C93" s="50"/>
      <c r="D93" s="78"/>
      <c r="E93" s="78">
        <v>50078</v>
      </c>
      <c r="F93" s="101"/>
      <c r="G93" s="114"/>
      <c r="H93" s="101"/>
      <c r="I93" s="101">
        <f>9300+39000+40093+11057</f>
        <v>99450</v>
      </c>
      <c r="J93" s="101"/>
      <c r="K93" s="101"/>
      <c r="L93" s="101">
        <f>27150</f>
        <v>27150</v>
      </c>
      <c r="M93" s="101">
        <f>2231+807+983</f>
        <v>4021</v>
      </c>
      <c r="N93" s="101"/>
      <c r="O93" s="101"/>
      <c r="P93" s="100"/>
    </row>
    <row r="94" spans="1:18" ht="14.4" x14ac:dyDescent="0.3">
      <c r="A94" s="165" t="s">
        <v>115</v>
      </c>
      <c r="B94" s="168"/>
      <c r="C94" s="50"/>
      <c r="D94" s="78"/>
      <c r="E94" s="78"/>
      <c r="F94" s="101"/>
      <c r="G94" s="114"/>
      <c r="H94" s="101"/>
      <c r="I94" s="101"/>
      <c r="J94" s="101"/>
      <c r="K94" s="101"/>
      <c r="L94" s="101"/>
      <c r="M94" s="101"/>
      <c r="N94" s="101"/>
      <c r="O94" s="101"/>
      <c r="P94" s="100"/>
    </row>
    <row r="95" spans="1:18" ht="14.4" x14ac:dyDescent="0.3">
      <c r="A95" s="165" t="s">
        <v>116</v>
      </c>
      <c r="B95" s="168"/>
      <c r="C95" s="50"/>
      <c r="D95" s="78"/>
      <c r="E95" s="78"/>
      <c r="F95" s="101"/>
      <c r="G95" s="114"/>
      <c r="H95" s="101">
        <f>54570</f>
        <v>54570</v>
      </c>
      <c r="I95" s="101">
        <f>1200+53400+53520+780+36867+17733+7523+51287+47633+25012+28280+11056+85566+112887+63203+40701+54600</f>
        <v>691248</v>
      </c>
      <c r="J95" s="101"/>
      <c r="K95" s="101">
        <f>23529+27871+10303+44365</f>
        <v>106068</v>
      </c>
      <c r="L95" s="101">
        <f>59950+23037+29065+29828+22672+31844+20656+58957+47161+28536+57458+22946</f>
        <v>432110</v>
      </c>
      <c r="M95" s="101">
        <f>52718+41485+12315+54610+52320+29271+25009+25847+15953+10803+4830+27528</f>
        <v>352689</v>
      </c>
      <c r="N95" s="101">
        <f>52775+54560+21280+6038+44677</f>
        <v>179330</v>
      </c>
      <c r="O95" s="101"/>
      <c r="P95" s="100">
        <f>41445+12675+22946+32054</f>
        <v>109120</v>
      </c>
    </row>
    <row r="96" spans="1:18" ht="14.4" x14ac:dyDescent="0.3">
      <c r="A96" s="165" t="s">
        <v>117</v>
      </c>
      <c r="B96" s="168"/>
      <c r="C96" s="50"/>
      <c r="D96" s="78"/>
      <c r="E96" s="78"/>
      <c r="F96" s="101">
        <f>897</f>
        <v>897</v>
      </c>
      <c r="G96" s="114"/>
      <c r="H96" s="101"/>
      <c r="I96" s="101"/>
      <c r="J96" s="101"/>
      <c r="K96" s="101"/>
      <c r="L96" s="101"/>
      <c r="M96" s="101"/>
      <c r="N96" s="101"/>
      <c r="O96" s="101"/>
      <c r="P96" s="100"/>
    </row>
    <row r="97" spans="1:30" ht="14.4" x14ac:dyDescent="0.3">
      <c r="A97" s="35" t="s">
        <v>118</v>
      </c>
      <c r="B97" s="70">
        <f>SUM(B57:B96)</f>
        <v>711250</v>
      </c>
      <c r="C97" s="77">
        <f>SUM(C57:C77)</f>
        <v>392095</v>
      </c>
      <c r="D97" s="83">
        <f t="shared" ref="D97:O97" si="2">SUM(D57:D96)</f>
        <v>1123009</v>
      </c>
      <c r="E97" s="83">
        <f t="shared" si="2"/>
        <v>1403269</v>
      </c>
      <c r="F97" s="101">
        <f t="shared" si="2"/>
        <v>210799</v>
      </c>
      <c r="G97" s="114">
        <f t="shared" si="2"/>
        <v>289140</v>
      </c>
      <c r="H97" s="101">
        <f t="shared" si="2"/>
        <v>1476701</v>
      </c>
      <c r="I97" s="101">
        <f t="shared" si="2"/>
        <v>1474333</v>
      </c>
      <c r="J97" s="101">
        <f t="shared" si="2"/>
        <v>402373</v>
      </c>
      <c r="K97" s="101">
        <f t="shared" si="2"/>
        <v>1424093</v>
      </c>
      <c r="L97" s="101">
        <f t="shared" si="2"/>
        <v>2878743</v>
      </c>
      <c r="M97" s="101">
        <f t="shared" si="2"/>
        <v>2152746</v>
      </c>
      <c r="N97" s="101">
        <f t="shared" si="2"/>
        <v>2167128</v>
      </c>
      <c r="O97" s="101">
        <f t="shared" si="2"/>
        <v>770377</v>
      </c>
      <c r="P97" s="100">
        <f t="shared" ref="P97" si="3">SUM(P57:P96)</f>
        <v>838221</v>
      </c>
      <c r="R97" s="17"/>
      <c r="Z97" s="161"/>
      <c r="AA97" s="161"/>
      <c r="AB97" s="161"/>
      <c r="AC97" s="161"/>
      <c r="AD97" s="161"/>
    </row>
    <row r="98" spans="1:30" ht="14.4" x14ac:dyDescent="0.3">
      <c r="A98" s="35" t="s">
        <v>119</v>
      </c>
      <c r="B98" s="70">
        <f t="shared" ref="B98:K98" si="4">B53+B97</f>
        <v>2442493</v>
      </c>
      <c r="C98" s="77">
        <f t="shared" si="4"/>
        <v>1787248</v>
      </c>
      <c r="D98" s="83">
        <f t="shared" si="4"/>
        <v>2024236</v>
      </c>
      <c r="E98" s="83">
        <f t="shared" si="4"/>
        <v>1939283</v>
      </c>
      <c r="F98" s="83">
        <f t="shared" si="4"/>
        <v>667445</v>
      </c>
      <c r="G98" s="116">
        <f t="shared" si="4"/>
        <v>814219</v>
      </c>
      <c r="H98" s="116">
        <f t="shared" si="4"/>
        <v>2246674</v>
      </c>
      <c r="I98" s="116">
        <f t="shared" si="4"/>
        <v>1942990</v>
      </c>
      <c r="J98" s="116">
        <f t="shared" si="4"/>
        <v>1420564</v>
      </c>
      <c r="K98" s="116">
        <f t="shared" si="4"/>
        <v>2541166</v>
      </c>
      <c r="L98" s="101"/>
      <c r="M98" s="99"/>
      <c r="N98" s="99"/>
      <c r="O98" s="193">
        <f>(O97-N97)/N97</f>
        <v>-0.64451707513354084</v>
      </c>
      <c r="P98" s="99"/>
    </row>
  </sheetData>
  <mergeCells count="1">
    <mergeCell ref="R25:R26"/>
  </mergeCells>
  <phoneticPr fontId="7" type="noConversion"/>
  <pageMargins left="0.75" right="0.75" top="1" bottom="1" header="0.5" footer="0.5"/>
  <pageSetup paperSize="9" scale="4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5"/>
  <sheetViews>
    <sheetView workbookViewId="0">
      <selection activeCell="A6" sqref="A6:G65"/>
    </sheetView>
  </sheetViews>
  <sheetFormatPr defaultRowHeight="13.2" x14ac:dyDescent="0.25"/>
  <cols>
    <col min="1" max="1" width="14.33203125" customWidth="1"/>
    <col min="2" max="2" width="28.109375" bestFit="1" customWidth="1"/>
    <col min="3" max="3" width="10.33203125" customWidth="1"/>
    <col min="4" max="4" width="14.44140625" customWidth="1"/>
    <col min="5" max="5" width="15.33203125" customWidth="1"/>
    <col min="6" max="6" width="12.33203125" customWidth="1"/>
    <col min="7" max="7" width="12.109375" bestFit="1" customWidth="1"/>
  </cols>
  <sheetData>
    <row r="1" spans="1:7" ht="14.4" x14ac:dyDescent="0.3">
      <c r="A1" s="93" t="s">
        <v>257</v>
      </c>
      <c r="B1" s="94"/>
      <c r="C1" s="94"/>
      <c r="D1" s="94"/>
      <c r="E1" s="94"/>
    </row>
    <row r="2" spans="1:7" ht="14.4" x14ac:dyDescent="0.3">
      <c r="A2" s="94"/>
      <c r="B2" s="94"/>
      <c r="C2" s="94"/>
      <c r="D2" s="94"/>
      <c r="E2" s="94"/>
    </row>
    <row r="3" spans="1:7" ht="14.4" x14ac:dyDescent="0.3">
      <c r="A3" s="95" t="s">
        <v>173</v>
      </c>
      <c r="B3" s="96" t="e">
        <f>#REF!</f>
        <v>#REF!</v>
      </c>
      <c r="C3" s="94"/>
      <c r="D3" s="94"/>
      <c r="E3" s="94"/>
    </row>
    <row r="4" spans="1:7" ht="14.4" x14ac:dyDescent="0.3">
      <c r="A4" s="95" t="s">
        <v>174</v>
      </c>
      <c r="B4" s="97" t="e">
        <f>B3</f>
        <v>#REF!</v>
      </c>
      <c r="C4" s="94"/>
      <c r="D4" s="94"/>
      <c r="E4" s="94"/>
    </row>
    <row r="5" spans="1:7" ht="14.4" x14ac:dyDescent="0.3">
      <c r="A5" s="94"/>
      <c r="B5" s="94"/>
      <c r="C5" s="94"/>
      <c r="D5" s="94"/>
      <c r="E5" s="94"/>
    </row>
    <row r="6" spans="1:7" ht="15.6" x14ac:dyDescent="0.3">
      <c r="A6" s="208" t="s">
        <v>258</v>
      </c>
      <c r="B6" s="209"/>
      <c r="C6" s="209"/>
      <c r="D6" s="209"/>
      <c r="E6" s="209"/>
      <c r="F6" s="209"/>
      <c r="G6" s="210"/>
    </row>
    <row r="7" spans="1:7" ht="15.6" x14ac:dyDescent="0.3">
      <c r="A7" s="208" t="s">
        <v>259</v>
      </c>
      <c r="B7" s="209"/>
      <c r="C7" s="209"/>
      <c r="D7" s="209"/>
      <c r="E7" s="209"/>
      <c r="F7" s="209"/>
      <c r="G7" s="210"/>
    </row>
    <row r="8" spans="1:7" x14ac:dyDescent="0.25">
      <c r="A8" s="211" t="s">
        <v>178</v>
      </c>
      <c r="B8" s="212"/>
      <c r="C8" s="212"/>
      <c r="D8" s="212"/>
      <c r="E8" s="212"/>
      <c r="F8" s="212"/>
      <c r="G8" s="213"/>
    </row>
    <row r="9" spans="1:7" x14ac:dyDescent="0.25">
      <c r="A9" s="107"/>
      <c r="B9" s="107" t="s">
        <v>179</v>
      </c>
      <c r="C9" s="107" t="s">
        <v>260</v>
      </c>
      <c r="D9" s="107" t="s">
        <v>261</v>
      </c>
      <c r="E9" s="107" t="s">
        <v>262</v>
      </c>
      <c r="F9" s="107" t="s">
        <v>263</v>
      </c>
      <c r="G9" s="107" t="s">
        <v>263</v>
      </c>
    </row>
    <row r="10" spans="1:7" x14ac:dyDescent="0.25">
      <c r="A10" s="106">
        <v>1</v>
      </c>
      <c r="B10" s="106" t="s">
        <v>185</v>
      </c>
      <c r="C10" s="108">
        <v>0</v>
      </c>
      <c r="D10" s="108">
        <v>0</v>
      </c>
      <c r="E10" s="108">
        <v>0</v>
      </c>
      <c r="F10" s="109">
        <f t="shared" ref="F10:F61" si="0">SUM(C10:E10)</f>
        <v>0</v>
      </c>
      <c r="G10" s="109">
        <f>F10</f>
        <v>0</v>
      </c>
    </row>
    <row r="11" spans="1:7" x14ac:dyDescent="0.25">
      <c r="A11" s="106">
        <v>2</v>
      </c>
      <c r="B11" s="106" t="s">
        <v>186</v>
      </c>
      <c r="C11" s="108">
        <v>0</v>
      </c>
      <c r="D11" s="108">
        <v>0</v>
      </c>
      <c r="E11" s="108">
        <v>0</v>
      </c>
      <c r="F11" s="109">
        <f t="shared" si="0"/>
        <v>0</v>
      </c>
      <c r="G11" s="109">
        <f t="shared" ref="G11:G61" si="1">F11+G10</f>
        <v>0</v>
      </c>
    </row>
    <row r="12" spans="1:7" x14ac:dyDescent="0.25">
      <c r="A12" s="106">
        <v>3</v>
      </c>
      <c r="B12" s="106" t="s">
        <v>187</v>
      </c>
      <c r="C12" s="108">
        <v>22313</v>
      </c>
      <c r="D12" s="108">
        <v>0</v>
      </c>
      <c r="E12" s="108">
        <v>0</v>
      </c>
      <c r="F12" s="109">
        <f t="shared" si="0"/>
        <v>22313</v>
      </c>
      <c r="G12" s="109">
        <f t="shared" si="1"/>
        <v>22313</v>
      </c>
    </row>
    <row r="13" spans="1:7" x14ac:dyDescent="0.25">
      <c r="A13" s="106">
        <v>4</v>
      </c>
      <c r="B13" s="106" t="s">
        <v>188</v>
      </c>
      <c r="C13" s="108">
        <v>0</v>
      </c>
      <c r="D13" s="108">
        <v>0</v>
      </c>
      <c r="E13" s="108">
        <v>0</v>
      </c>
      <c r="F13" s="109">
        <f t="shared" si="0"/>
        <v>0</v>
      </c>
      <c r="G13" s="109">
        <f t="shared" si="1"/>
        <v>22313</v>
      </c>
    </row>
    <row r="14" spans="1:7" x14ac:dyDescent="0.25">
      <c r="A14" s="106">
        <v>5</v>
      </c>
      <c r="B14" s="106" t="s">
        <v>189</v>
      </c>
      <c r="C14" s="108">
        <v>0</v>
      </c>
      <c r="D14" s="108">
        <v>0</v>
      </c>
      <c r="E14" s="108">
        <v>0</v>
      </c>
      <c r="F14" s="109">
        <f t="shared" si="0"/>
        <v>0</v>
      </c>
      <c r="G14" s="109">
        <f t="shared" si="1"/>
        <v>22313</v>
      </c>
    </row>
    <row r="15" spans="1:7" x14ac:dyDescent="0.25">
      <c r="A15" s="106">
        <v>6</v>
      </c>
      <c r="B15" s="106" t="s">
        <v>190</v>
      </c>
      <c r="C15" s="108">
        <v>0</v>
      </c>
      <c r="D15" s="108">
        <v>0</v>
      </c>
      <c r="E15" s="108">
        <v>0</v>
      </c>
      <c r="F15" s="109">
        <f t="shared" si="0"/>
        <v>0</v>
      </c>
      <c r="G15" s="109">
        <f t="shared" si="1"/>
        <v>22313</v>
      </c>
    </row>
    <row r="16" spans="1:7" x14ac:dyDescent="0.25">
      <c r="A16" s="106">
        <v>7</v>
      </c>
      <c r="B16" s="106" t="s">
        <v>191</v>
      </c>
      <c r="C16" s="108">
        <v>0</v>
      </c>
      <c r="D16" s="108">
        <v>0</v>
      </c>
      <c r="E16" s="108">
        <v>0</v>
      </c>
      <c r="F16" s="109">
        <f t="shared" si="0"/>
        <v>0</v>
      </c>
      <c r="G16" s="109">
        <f t="shared" si="1"/>
        <v>22313</v>
      </c>
    </row>
    <row r="17" spans="1:7" x14ac:dyDescent="0.25">
      <c r="A17" s="106">
        <v>8</v>
      </c>
      <c r="B17" s="106" t="s">
        <v>192</v>
      </c>
      <c r="C17" s="108">
        <v>0</v>
      </c>
      <c r="D17" s="108">
        <v>0</v>
      </c>
      <c r="E17" s="108">
        <v>0</v>
      </c>
      <c r="F17" s="109">
        <f t="shared" si="0"/>
        <v>0</v>
      </c>
      <c r="G17" s="109">
        <f t="shared" si="1"/>
        <v>22313</v>
      </c>
    </row>
    <row r="18" spans="1:7" x14ac:dyDescent="0.25">
      <c r="A18" s="106">
        <v>9</v>
      </c>
      <c r="B18" s="106" t="s">
        <v>193</v>
      </c>
      <c r="C18" s="108">
        <v>1646</v>
      </c>
      <c r="D18" s="108">
        <v>0</v>
      </c>
      <c r="E18" s="108">
        <v>0</v>
      </c>
      <c r="F18" s="109">
        <f t="shared" si="0"/>
        <v>1646</v>
      </c>
      <c r="G18" s="109">
        <f t="shared" si="1"/>
        <v>23959</v>
      </c>
    </row>
    <row r="19" spans="1:7" x14ac:dyDescent="0.25">
      <c r="A19" s="106">
        <v>10</v>
      </c>
      <c r="B19" s="106" t="s">
        <v>194</v>
      </c>
      <c r="C19" s="108">
        <v>42211</v>
      </c>
      <c r="D19" s="108">
        <v>13807</v>
      </c>
      <c r="E19" s="108">
        <v>0</v>
      </c>
      <c r="F19" s="109">
        <f t="shared" si="0"/>
        <v>56018</v>
      </c>
      <c r="G19" s="109">
        <f t="shared" si="1"/>
        <v>79977</v>
      </c>
    </row>
    <row r="20" spans="1:7" x14ac:dyDescent="0.25">
      <c r="A20" s="106">
        <v>11</v>
      </c>
      <c r="B20" s="106" t="s">
        <v>195</v>
      </c>
      <c r="C20" s="108">
        <v>18983</v>
      </c>
      <c r="D20" s="108">
        <v>0</v>
      </c>
      <c r="E20" s="108">
        <v>0</v>
      </c>
      <c r="F20" s="109">
        <f t="shared" si="0"/>
        <v>18983</v>
      </c>
      <c r="G20" s="109">
        <f t="shared" si="1"/>
        <v>98960</v>
      </c>
    </row>
    <row r="21" spans="1:7" x14ac:dyDescent="0.25">
      <c r="A21" s="106">
        <v>12</v>
      </c>
      <c r="B21" s="106" t="s">
        <v>196</v>
      </c>
      <c r="C21" s="108">
        <v>31496</v>
      </c>
      <c r="D21" s="108">
        <v>600</v>
      </c>
      <c r="E21" s="108">
        <v>0</v>
      </c>
      <c r="F21" s="109">
        <f t="shared" si="0"/>
        <v>32096</v>
      </c>
      <c r="G21" s="109">
        <f t="shared" si="1"/>
        <v>131056</v>
      </c>
    </row>
    <row r="22" spans="1:7" x14ac:dyDescent="0.25">
      <c r="A22" s="106">
        <v>13</v>
      </c>
      <c r="B22" s="106" t="s">
        <v>197</v>
      </c>
      <c r="C22" s="108">
        <v>7745</v>
      </c>
      <c r="D22" s="108">
        <v>15815</v>
      </c>
      <c r="E22" s="108">
        <v>0</v>
      </c>
      <c r="F22" s="109">
        <f t="shared" si="0"/>
        <v>23560</v>
      </c>
      <c r="G22" s="109">
        <f t="shared" si="1"/>
        <v>154616</v>
      </c>
    </row>
    <row r="23" spans="1:7" x14ac:dyDescent="0.25">
      <c r="A23" s="106">
        <v>14</v>
      </c>
      <c r="B23" s="106" t="s">
        <v>198</v>
      </c>
      <c r="C23" s="108">
        <v>17262</v>
      </c>
      <c r="D23" s="108">
        <v>0</v>
      </c>
      <c r="E23" s="108">
        <v>0</v>
      </c>
      <c r="F23" s="109">
        <f t="shared" si="0"/>
        <v>17262</v>
      </c>
      <c r="G23" s="109">
        <f t="shared" si="1"/>
        <v>171878</v>
      </c>
    </row>
    <row r="24" spans="1:7" x14ac:dyDescent="0.25">
      <c r="A24" s="106">
        <v>15</v>
      </c>
      <c r="B24" s="106" t="s">
        <v>199</v>
      </c>
      <c r="C24" s="108">
        <v>0</v>
      </c>
      <c r="D24" s="108">
        <v>2894</v>
      </c>
      <c r="E24" s="108">
        <v>0</v>
      </c>
      <c r="F24" s="109">
        <f t="shared" si="0"/>
        <v>2894</v>
      </c>
      <c r="G24" s="109">
        <f t="shared" si="1"/>
        <v>174772</v>
      </c>
    </row>
    <row r="25" spans="1:7" x14ac:dyDescent="0.25">
      <c r="A25" s="106">
        <v>16</v>
      </c>
      <c r="B25" s="106" t="s">
        <v>200</v>
      </c>
      <c r="C25" s="108">
        <v>28877</v>
      </c>
      <c r="D25" s="108">
        <v>13605</v>
      </c>
      <c r="E25" s="108">
        <v>0</v>
      </c>
      <c r="F25" s="109">
        <f t="shared" si="0"/>
        <v>42482</v>
      </c>
      <c r="G25" s="109">
        <f t="shared" si="1"/>
        <v>217254</v>
      </c>
    </row>
    <row r="26" spans="1:7" x14ac:dyDescent="0.25">
      <c r="A26" s="106">
        <v>17</v>
      </c>
      <c r="B26" s="106" t="s">
        <v>201</v>
      </c>
      <c r="C26" s="108">
        <v>58091</v>
      </c>
      <c r="D26" s="108">
        <v>0</v>
      </c>
      <c r="E26" s="108">
        <v>0</v>
      </c>
      <c r="F26" s="109">
        <f t="shared" si="0"/>
        <v>58091</v>
      </c>
      <c r="G26" s="109">
        <f t="shared" si="1"/>
        <v>275345</v>
      </c>
    </row>
    <row r="27" spans="1:7" x14ac:dyDescent="0.25">
      <c r="A27" s="106">
        <v>18</v>
      </c>
      <c r="B27" s="106" t="s">
        <v>202</v>
      </c>
      <c r="C27" s="108">
        <v>14049</v>
      </c>
      <c r="D27" s="108">
        <v>4542</v>
      </c>
      <c r="E27" s="108">
        <v>0</v>
      </c>
      <c r="F27" s="109">
        <f t="shared" si="0"/>
        <v>18591</v>
      </c>
      <c r="G27" s="109">
        <f t="shared" si="1"/>
        <v>293936</v>
      </c>
    </row>
    <row r="28" spans="1:7" x14ac:dyDescent="0.25">
      <c r="A28" s="106">
        <v>19</v>
      </c>
      <c r="B28" s="106" t="s">
        <v>203</v>
      </c>
      <c r="C28" s="108">
        <v>65488</v>
      </c>
      <c r="D28" s="108">
        <v>8978</v>
      </c>
      <c r="E28" s="108">
        <v>0</v>
      </c>
      <c r="F28" s="109">
        <f t="shared" si="0"/>
        <v>74466</v>
      </c>
      <c r="G28" s="109">
        <f t="shared" si="1"/>
        <v>368402</v>
      </c>
    </row>
    <row r="29" spans="1:7" x14ac:dyDescent="0.25">
      <c r="A29" s="106">
        <v>20</v>
      </c>
      <c r="B29" s="106" t="s">
        <v>204</v>
      </c>
      <c r="C29" s="108">
        <v>0</v>
      </c>
      <c r="D29" s="108">
        <v>0</v>
      </c>
      <c r="E29" s="108">
        <v>0</v>
      </c>
      <c r="F29" s="109">
        <f t="shared" si="0"/>
        <v>0</v>
      </c>
      <c r="G29" s="109">
        <f t="shared" si="1"/>
        <v>368402</v>
      </c>
    </row>
    <row r="30" spans="1:7" x14ac:dyDescent="0.25">
      <c r="A30" s="106">
        <v>21</v>
      </c>
      <c r="B30" s="106" t="s">
        <v>205</v>
      </c>
      <c r="C30" s="108">
        <v>0</v>
      </c>
      <c r="D30" s="108">
        <v>17504</v>
      </c>
      <c r="E30" s="108">
        <v>0</v>
      </c>
      <c r="F30" s="109">
        <f t="shared" si="0"/>
        <v>17504</v>
      </c>
      <c r="G30" s="109">
        <f t="shared" si="1"/>
        <v>385906</v>
      </c>
    </row>
    <row r="31" spans="1:7" x14ac:dyDescent="0.25">
      <c r="A31" s="106">
        <v>22</v>
      </c>
      <c r="B31" s="106" t="s">
        <v>206</v>
      </c>
      <c r="C31" s="108">
        <v>33320</v>
      </c>
      <c r="D31" s="108">
        <v>0</v>
      </c>
      <c r="E31" s="108">
        <v>0</v>
      </c>
      <c r="F31" s="109">
        <f t="shared" si="0"/>
        <v>33320</v>
      </c>
      <c r="G31" s="109">
        <f t="shared" si="1"/>
        <v>419226</v>
      </c>
    </row>
    <row r="32" spans="1:7" x14ac:dyDescent="0.25">
      <c r="A32" s="106">
        <v>23</v>
      </c>
      <c r="B32" s="106" t="s">
        <v>207</v>
      </c>
      <c r="C32" s="108">
        <v>20565</v>
      </c>
      <c r="D32" s="108">
        <v>0</v>
      </c>
      <c r="E32" s="108">
        <v>0</v>
      </c>
      <c r="F32" s="109">
        <f t="shared" si="0"/>
        <v>20565</v>
      </c>
      <c r="G32" s="109">
        <f t="shared" si="1"/>
        <v>439791</v>
      </c>
    </row>
    <row r="33" spans="1:7" x14ac:dyDescent="0.25">
      <c r="A33" s="106">
        <v>24</v>
      </c>
      <c r="B33" s="106" t="s">
        <v>208</v>
      </c>
      <c r="C33" s="108">
        <v>6544</v>
      </c>
      <c r="D33" s="108">
        <v>0</v>
      </c>
      <c r="E33" s="108">
        <v>0</v>
      </c>
      <c r="F33" s="109">
        <f t="shared" si="0"/>
        <v>6544</v>
      </c>
      <c r="G33" s="109">
        <f t="shared" si="1"/>
        <v>446335</v>
      </c>
    </row>
    <row r="34" spans="1:7" x14ac:dyDescent="0.25">
      <c r="A34" s="106">
        <v>25</v>
      </c>
      <c r="B34" s="106" t="s">
        <v>209</v>
      </c>
      <c r="C34" s="108">
        <v>28262</v>
      </c>
      <c r="D34" s="108">
        <v>0</v>
      </c>
      <c r="E34" s="108">
        <v>0</v>
      </c>
      <c r="F34" s="109">
        <f t="shared" si="0"/>
        <v>28262</v>
      </c>
      <c r="G34" s="109">
        <f t="shared" si="1"/>
        <v>474597</v>
      </c>
    </row>
    <row r="35" spans="1:7" x14ac:dyDescent="0.25">
      <c r="A35" s="106">
        <v>26</v>
      </c>
      <c r="B35" s="106" t="s">
        <v>210</v>
      </c>
      <c r="C35" s="108">
        <v>36656</v>
      </c>
      <c r="D35" s="108">
        <v>20660</v>
      </c>
      <c r="E35" s="108">
        <v>0</v>
      </c>
      <c r="F35" s="109">
        <f t="shared" si="0"/>
        <v>57316</v>
      </c>
      <c r="G35" s="109">
        <f t="shared" si="1"/>
        <v>531913</v>
      </c>
    </row>
    <row r="36" spans="1:7" x14ac:dyDescent="0.25">
      <c r="A36" s="106">
        <v>27</v>
      </c>
      <c r="B36" s="106" t="s">
        <v>211</v>
      </c>
      <c r="C36" s="108">
        <v>57153</v>
      </c>
      <c r="D36" s="108">
        <v>5843</v>
      </c>
      <c r="E36" s="108">
        <v>0</v>
      </c>
      <c r="F36" s="109">
        <f t="shared" si="0"/>
        <v>62996</v>
      </c>
      <c r="G36" s="109">
        <f t="shared" si="1"/>
        <v>594909</v>
      </c>
    </row>
    <row r="37" spans="1:7" x14ac:dyDescent="0.25">
      <c r="A37" s="106">
        <v>28</v>
      </c>
      <c r="B37" s="106" t="s">
        <v>212</v>
      </c>
      <c r="C37" s="108">
        <v>18023</v>
      </c>
      <c r="D37" s="108">
        <v>0</v>
      </c>
      <c r="E37" s="108">
        <v>0</v>
      </c>
      <c r="F37" s="109">
        <f t="shared" si="0"/>
        <v>18023</v>
      </c>
      <c r="G37" s="109">
        <f t="shared" si="1"/>
        <v>612932</v>
      </c>
    </row>
    <row r="38" spans="1:7" x14ac:dyDescent="0.25">
      <c r="A38" s="106">
        <v>29</v>
      </c>
      <c r="B38" s="106" t="s">
        <v>213</v>
      </c>
      <c r="C38" s="108">
        <v>49972</v>
      </c>
      <c r="D38" s="108">
        <v>0</v>
      </c>
      <c r="E38" s="108">
        <v>2482</v>
      </c>
      <c r="F38" s="109">
        <f t="shared" si="0"/>
        <v>52454</v>
      </c>
      <c r="G38" s="109">
        <f t="shared" si="1"/>
        <v>665386</v>
      </c>
    </row>
    <row r="39" spans="1:7" x14ac:dyDescent="0.25">
      <c r="A39" s="106">
        <v>30</v>
      </c>
      <c r="B39" s="106" t="s">
        <v>214</v>
      </c>
      <c r="C39" s="108">
        <v>28646</v>
      </c>
      <c r="D39" s="108">
        <v>11475</v>
      </c>
      <c r="E39" s="108">
        <v>7805</v>
      </c>
      <c r="F39" s="109">
        <f t="shared" si="0"/>
        <v>47926</v>
      </c>
      <c r="G39" s="109">
        <f t="shared" si="1"/>
        <v>713312</v>
      </c>
    </row>
    <row r="40" spans="1:7" x14ac:dyDescent="0.25">
      <c r="A40" s="106">
        <v>31</v>
      </c>
      <c r="B40" s="106" t="s">
        <v>215</v>
      </c>
      <c r="C40" s="108">
        <v>32601</v>
      </c>
      <c r="D40" s="108">
        <v>9267</v>
      </c>
      <c r="E40" s="108">
        <v>0</v>
      </c>
      <c r="F40" s="109">
        <f t="shared" si="0"/>
        <v>41868</v>
      </c>
      <c r="G40" s="109">
        <f t="shared" si="1"/>
        <v>755180</v>
      </c>
    </row>
    <row r="41" spans="1:7" x14ac:dyDescent="0.25">
      <c r="A41" s="106">
        <v>32</v>
      </c>
      <c r="B41" s="106" t="s">
        <v>216</v>
      </c>
      <c r="C41" s="108">
        <v>0</v>
      </c>
      <c r="D41" s="108">
        <v>0</v>
      </c>
      <c r="E41" s="108">
        <v>0</v>
      </c>
      <c r="F41" s="109">
        <f t="shared" si="0"/>
        <v>0</v>
      </c>
      <c r="G41" s="109">
        <f t="shared" si="1"/>
        <v>755180</v>
      </c>
    </row>
    <row r="42" spans="1:7" x14ac:dyDescent="0.25">
      <c r="A42" s="106">
        <v>33</v>
      </c>
      <c r="B42" s="106" t="s">
        <v>217</v>
      </c>
      <c r="C42" s="108">
        <v>0</v>
      </c>
      <c r="D42" s="108">
        <v>0</v>
      </c>
      <c r="E42" s="108">
        <v>0</v>
      </c>
      <c r="F42" s="109">
        <f t="shared" si="0"/>
        <v>0</v>
      </c>
      <c r="G42" s="109">
        <f t="shared" si="1"/>
        <v>755180</v>
      </c>
    </row>
    <row r="43" spans="1:7" x14ac:dyDescent="0.25">
      <c r="A43" s="106">
        <v>34</v>
      </c>
      <c r="B43" s="106" t="s">
        <v>218</v>
      </c>
      <c r="C43" s="108">
        <v>0</v>
      </c>
      <c r="D43" s="108">
        <v>0</v>
      </c>
      <c r="E43" s="108">
        <v>0</v>
      </c>
      <c r="F43" s="109">
        <f t="shared" si="0"/>
        <v>0</v>
      </c>
      <c r="G43" s="109">
        <f t="shared" si="1"/>
        <v>755180</v>
      </c>
    </row>
    <row r="44" spans="1:7" x14ac:dyDescent="0.25">
      <c r="A44" s="106">
        <v>35</v>
      </c>
      <c r="B44" s="106" t="s">
        <v>220</v>
      </c>
      <c r="C44" s="108">
        <v>17521</v>
      </c>
      <c r="D44" s="108">
        <v>26061</v>
      </c>
      <c r="E44" s="108">
        <v>0</v>
      </c>
      <c r="F44" s="109">
        <f t="shared" si="0"/>
        <v>43582</v>
      </c>
      <c r="G44" s="109">
        <f t="shared" si="1"/>
        <v>798762</v>
      </c>
    </row>
    <row r="45" spans="1:7" x14ac:dyDescent="0.25">
      <c r="A45" s="106">
        <v>36</v>
      </c>
      <c r="B45" s="106" t="s">
        <v>221</v>
      </c>
      <c r="C45" s="108">
        <v>4145</v>
      </c>
      <c r="D45" s="108">
        <v>0</v>
      </c>
      <c r="E45" s="108">
        <v>0</v>
      </c>
      <c r="F45" s="109">
        <f t="shared" si="0"/>
        <v>4145</v>
      </c>
      <c r="G45" s="109">
        <f t="shared" si="1"/>
        <v>802907</v>
      </c>
    </row>
    <row r="46" spans="1:7" x14ac:dyDescent="0.25">
      <c r="A46" s="106">
        <v>37</v>
      </c>
      <c r="B46" s="106" t="s">
        <v>222</v>
      </c>
      <c r="C46" s="108">
        <v>26531</v>
      </c>
      <c r="D46" s="108">
        <v>0</v>
      </c>
      <c r="E46" s="108">
        <v>0</v>
      </c>
      <c r="F46" s="109">
        <f t="shared" si="0"/>
        <v>26531</v>
      </c>
      <c r="G46" s="109">
        <f t="shared" si="1"/>
        <v>829438</v>
      </c>
    </row>
    <row r="47" spans="1:7" x14ac:dyDescent="0.25">
      <c r="A47" s="106">
        <v>38</v>
      </c>
      <c r="B47" s="106" t="s">
        <v>223</v>
      </c>
      <c r="C47" s="108">
        <v>0</v>
      </c>
      <c r="D47" s="108">
        <v>0</v>
      </c>
      <c r="E47" s="108">
        <v>0</v>
      </c>
      <c r="F47" s="109">
        <f t="shared" si="0"/>
        <v>0</v>
      </c>
      <c r="G47" s="109">
        <f t="shared" si="1"/>
        <v>829438</v>
      </c>
    </row>
    <row r="48" spans="1:7" x14ac:dyDescent="0.25">
      <c r="A48" s="106">
        <v>39</v>
      </c>
      <c r="B48" s="106" t="s">
        <v>224</v>
      </c>
      <c r="C48" s="108">
        <v>17090</v>
      </c>
      <c r="D48" s="108">
        <v>4307</v>
      </c>
      <c r="E48" s="108">
        <v>0</v>
      </c>
      <c r="F48" s="109">
        <f t="shared" si="0"/>
        <v>21397</v>
      </c>
      <c r="G48" s="109">
        <f t="shared" si="1"/>
        <v>850835</v>
      </c>
    </row>
    <row r="49" spans="1:7" x14ac:dyDescent="0.25">
      <c r="A49" s="106">
        <v>40</v>
      </c>
      <c r="B49" s="106" t="s">
        <v>225</v>
      </c>
      <c r="C49" s="108">
        <v>0</v>
      </c>
      <c r="D49" s="108">
        <v>16740</v>
      </c>
      <c r="E49" s="108">
        <v>0</v>
      </c>
      <c r="F49" s="109">
        <f t="shared" si="0"/>
        <v>16740</v>
      </c>
      <c r="G49" s="109">
        <f t="shared" si="1"/>
        <v>867575</v>
      </c>
    </row>
    <row r="50" spans="1:7" x14ac:dyDescent="0.25">
      <c r="A50" s="106">
        <v>41</v>
      </c>
      <c r="B50" s="106" t="s">
        <v>226</v>
      </c>
      <c r="C50" s="108">
        <v>0</v>
      </c>
      <c r="D50" s="108">
        <v>3590</v>
      </c>
      <c r="E50" s="108">
        <v>0</v>
      </c>
      <c r="F50" s="109">
        <f t="shared" si="0"/>
        <v>3590</v>
      </c>
      <c r="G50" s="109">
        <f t="shared" si="1"/>
        <v>871165</v>
      </c>
    </row>
    <row r="51" spans="1:7" x14ac:dyDescent="0.25">
      <c r="A51" s="106">
        <v>42</v>
      </c>
      <c r="B51" s="106" t="s">
        <v>227</v>
      </c>
      <c r="C51" s="108">
        <v>0</v>
      </c>
      <c r="D51" s="108">
        <v>0</v>
      </c>
      <c r="E51" s="108">
        <v>0</v>
      </c>
      <c r="F51" s="109">
        <f t="shared" si="0"/>
        <v>0</v>
      </c>
      <c r="G51" s="109">
        <f t="shared" si="1"/>
        <v>871165</v>
      </c>
    </row>
    <row r="52" spans="1:7" x14ac:dyDescent="0.25">
      <c r="A52" s="106">
        <v>43</v>
      </c>
      <c r="B52" s="106" t="s">
        <v>228</v>
      </c>
      <c r="C52" s="108">
        <v>0</v>
      </c>
      <c r="D52" s="108">
        <v>0</v>
      </c>
      <c r="E52" s="108">
        <v>0</v>
      </c>
      <c r="F52" s="109">
        <f t="shared" si="0"/>
        <v>0</v>
      </c>
      <c r="G52" s="109">
        <f t="shared" si="1"/>
        <v>871165</v>
      </c>
    </row>
    <row r="53" spans="1:7" x14ac:dyDescent="0.25">
      <c r="A53" s="106">
        <v>44</v>
      </c>
      <c r="B53" s="106" t="s">
        <v>229</v>
      </c>
      <c r="C53" s="108">
        <v>0</v>
      </c>
      <c r="D53" s="108">
        <v>0</v>
      </c>
      <c r="E53" s="108">
        <v>0</v>
      </c>
      <c r="F53" s="109">
        <f t="shared" si="0"/>
        <v>0</v>
      </c>
      <c r="G53" s="109">
        <f t="shared" si="1"/>
        <v>871165</v>
      </c>
    </row>
    <row r="54" spans="1:7" x14ac:dyDescent="0.25">
      <c r="A54" s="106">
        <v>45</v>
      </c>
      <c r="B54" s="106" t="s">
        <v>230</v>
      </c>
      <c r="C54" s="108">
        <v>0</v>
      </c>
      <c r="D54" s="108">
        <v>0</v>
      </c>
      <c r="E54" s="108">
        <v>0</v>
      </c>
      <c r="F54" s="109">
        <f t="shared" si="0"/>
        <v>0</v>
      </c>
      <c r="G54" s="109">
        <f t="shared" si="1"/>
        <v>871165</v>
      </c>
    </row>
    <row r="55" spans="1:7" x14ac:dyDescent="0.25">
      <c r="A55" s="106">
        <v>46</v>
      </c>
      <c r="B55" s="106" t="s">
        <v>231</v>
      </c>
      <c r="C55" s="108">
        <v>16455</v>
      </c>
      <c r="D55" s="108">
        <v>0</v>
      </c>
      <c r="E55" s="108">
        <v>0</v>
      </c>
      <c r="F55" s="109">
        <f t="shared" si="0"/>
        <v>16455</v>
      </c>
      <c r="G55" s="109">
        <f t="shared" si="1"/>
        <v>887620</v>
      </c>
    </row>
    <row r="56" spans="1:7" x14ac:dyDescent="0.25">
      <c r="A56" s="106">
        <v>47</v>
      </c>
      <c r="B56" s="106" t="s">
        <v>232</v>
      </c>
      <c r="C56" s="108">
        <v>560</v>
      </c>
      <c r="D56" s="108">
        <v>10652</v>
      </c>
      <c r="E56" s="108">
        <v>0</v>
      </c>
      <c r="F56" s="109">
        <f t="shared" si="0"/>
        <v>11212</v>
      </c>
      <c r="G56" s="109">
        <f t="shared" si="1"/>
        <v>898832</v>
      </c>
    </row>
    <row r="57" spans="1:7" x14ac:dyDescent="0.25">
      <c r="A57" s="106">
        <v>48</v>
      </c>
      <c r="B57" s="106" t="s">
        <v>233</v>
      </c>
      <c r="C57" s="108">
        <v>0</v>
      </c>
      <c r="D57" s="108">
        <v>14068</v>
      </c>
      <c r="E57" s="108">
        <v>0</v>
      </c>
      <c r="F57" s="109">
        <f t="shared" si="0"/>
        <v>14068</v>
      </c>
      <c r="G57" s="109">
        <f t="shared" si="1"/>
        <v>912900</v>
      </c>
    </row>
    <row r="58" spans="1:7" x14ac:dyDescent="0.25">
      <c r="A58" s="106">
        <v>49</v>
      </c>
      <c r="B58" s="106" t="s">
        <v>234</v>
      </c>
      <c r="C58" s="108">
        <v>0</v>
      </c>
      <c r="D58" s="108">
        <v>0</v>
      </c>
      <c r="E58" s="108">
        <v>0</v>
      </c>
      <c r="F58" s="109">
        <f t="shared" si="0"/>
        <v>0</v>
      </c>
      <c r="G58" s="109">
        <f t="shared" si="1"/>
        <v>912900</v>
      </c>
    </row>
    <row r="59" spans="1:7" x14ac:dyDescent="0.25">
      <c r="A59" s="106">
        <v>50</v>
      </c>
      <c r="B59" s="106" t="s">
        <v>235</v>
      </c>
      <c r="C59" s="108">
        <v>0</v>
      </c>
      <c r="D59" s="108">
        <v>0</v>
      </c>
      <c r="E59" s="108">
        <v>0</v>
      </c>
      <c r="F59" s="109">
        <f t="shared" si="0"/>
        <v>0</v>
      </c>
      <c r="G59" s="109">
        <f t="shared" si="1"/>
        <v>912900</v>
      </c>
    </row>
    <row r="60" spans="1:7" x14ac:dyDescent="0.25">
      <c r="A60" s="106">
        <v>51</v>
      </c>
      <c r="B60" s="106" t="s">
        <v>236</v>
      </c>
      <c r="C60" s="108">
        <v>0</v>
      </c>
      <c r="D60" s="108">
        <v>0</v>
      </c>
      <c r="E60" s="108">
        <v>0</v>
      </c>
      <c r="F60" s="109">
        <f t="shared" si="0"/>
        <v>0</v>
      </c>
      <c r="G60" s="109">
        <f t="shared" si="1"/>
        <v>912900</v>
      </c>
    </row>
    <row r="61" spans="1:7" x14ac:dyDescent="0.25">
      <c r="A61" s="106">
        <v>52</v>
      </c>
      <c r="B61" s="106" t="s">
        <v>237</v>
      </c>
      <c r="C61" s="108">
        <v>0</v>
      </c>
      <c r="D61" s="108">
        <v>0</v>
      </c>
      <c r="E61" s="108">
        <v>0</v>
      </c>
      <c r="F61" s="109">
        <f t="shared" si="0"/>
        <v>0</v>
      </c>
      <c r="G61" s="109">
        <f t="shared" si="1"/>
        <v>912900</v>
      </c>
    </row>
    <row r="62" spans="1:7" x14ac:dyDescent="0.25">
      <c r="A62" s="106" t="s">
        <v>178</v>
      </c>
      <c r="B62" s="106" t="s">
        <v>238</v>
      </c>
      <c r="C62" s="109">
        <f>SUM(C10:C61)</f>
        <v>702205</v>
      </c>
      <c r="D62" s="109">
        <f>SUM(D10:D61)</f>
        <v>200408</v>
      </c>
      <c r="E62" s="109">
        <f>SUM(E10:E61)</f>
        <v>10287</v>
      </c>
      <c r="F62" s="109">
        <f>SUM(F10:F61)</f>
        <v>912900</v>
      </c>
      <c r="G62" s="109"/>
    </row>
    <row r="64" spans="1:7" ht="14.4" x14ac:dyDescent="0.3">
      <c r="A64" s="104" t="s">
        <v>264</v>
      </c>
      <c r="B64" s="104"/>
    </row>
    <row r="65" spans="1:2" ht="14.4" x14ac:dyDescent="0.3">
      <c r="A65" s="104" t="s">
        <v>265</v>
      </c>
      <c r="B65" s="104"/>
    </row>
  </sheetData>
  <mergeCells count="3">
    <mergeCell ref="A6:G6"/>
    <mergeCell ref="A7:G7"/>
    <mergeCell ref="A8:G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65"/>
  <sheetViews>
    <sheetView workbookViewId="0">
      <selection activeCell="A6" sqref="A6:H65"/>
    </sheetView>
  </sheetViews>
  <sheetFormatPr defaultRowHeight="13.2" x14ac:dyDescent="0.25"/>
  <cols>
    <col min="1" max="1" width="14.109375" customWidth="1"/>
    <col min="2" max="2" width="27.33203125" bestFit="1" customWidth="1"/>
    <col min="3" max="3" width="12" bestFit="1" customWidth="1"/>
    <col min="4" max="4" width="7.88671875" bestFit="1" customWidth="1"/>
    <col min="5" max="6" width="12.88671875" bestFit="1" customWidth="1"/>
    <col min="7" max="7" width="12" bestFit="1" customWidth="1"/>
    <col min="8" max="8" width="12.109375" bestFit="1" customWidth="1"/>
    <col min="9" max="9" width="11.109375" bestFit="1" customWidth="1"/>
  </cols>
  <sheetData>
    <row r="1" spans="1:8" ht="14.4" x14ac:dyDescent="0.3">
      <c r="A1" s="93" t="s">
        <v>266</v>
      </c>
      <c r="B1" s="94"/>
      <c r="C1" s="94"/>
      <c r="D1" s="94"/>
      <c r="E1" s="94"/>
      <c r="F1" s="94"/>
    </row>
    <row r="2" spans="1:8" ht="14.4" x14ac:dyDescent="0.3">
      <c r="A2" s="94"/>
      <c r="B2" s="94"/>
      <c r="C2" s="94"/>
      <c r="D2" s="94"/>
      <c r="E2" s="94"/>
      <c r="F2" s="94"/>
    </row>
    <row r="3" spans="1:8" ht="14.4" x14ac:dyDescent="0.3">
      <c r="A3" s="95" t="s">
        <v>173</v>
      </c>
      <c r="B3" s="96" t="e">
        <f>#REF!</f>
        <v>#REF!</v>
      </c>
      <c r="C3" s="94"/>
      <c r="D3" s="94"/>
      <c r="E3" s="94"/>
      <c r="F3" s="94"/>
    </row>
    <row r="4" spans="1:8" ht="14.4" x14ac:dyDescent="0.3">
      <c r="A4" s="95" t="s">
        <v>174</v>
      </c>
      <c r="B4" s="97" t="e">
        <f>B3</f>
        <v>#REF!</v>
      </c>
      <c r="C4" s="94"/>
      <c r="D4" s="94"/>
      <c r="E4" s="94"/>
      <c r="F4" s="94"/>
    </row>
    <row r="5" spans="1:8" ht="14.4" x14ac:dyDescent="0.3">
      <c r="A5" s="94"/>
      <c r="B5" s="94"/>
      <c r="C5" s="94"/>
      <c r="D5" s="94"/>
      <c r="E5" s="94"/>
      <c r="F5" s="94"/>
    </row>
    <row r="6" spans="1:8" ht="15.6" x14ac:dyDescent="0.3">
      <c r="A6" s="208" t="s">
        <v>267</v>
      </c>
      <c r="B6" s="209"/>
      <c r="C6" s="209"/>
      <c r="D6" s="209"/>
      <c r="E6" s="209"/>
      <c r="F6" s="209"/>
      <c r="G6" s="209"/>
      <c r="H6" s="210"/>
    </row>
    <row r="7" spans="1:8" ht="15.6" x14ac:dyDescent="0.3">
      <c r="A7" s="208" t="s">
        <v>268</v>
      </c>
      <c r="B7" s="209"/>
      <c r="C7" s="209"/>
      <c r="D7" s="209"/>
      <c r="E7" s="209"/>
      <c r="F7" s="209"/>
      <c r="G7" s="209"/>
      <c r="H7" s="210"/>
    </row>
    <row r="8" spans="1:8" x14ac:dyDescent="0.25">
      <c r="A8" s="211" t="s">
        <v>178</v>
      </c>
      <c r="B8" s="212"/>
      <c r="C8" s="212"/>
      <c r="D8" s="212"/>
      <c r="E8" s="212"/>
      <c r="F8" s="212"/>
      <c r="G8" s="212"/>
      <c r="H8" s="213"/>
    </row>
    <row r="9" spans="1:8" x14ac:dyDescent="0.25">
      <c r="A9" s="107"/>
      <c r="B9" s="107" t="s">
        <v>179</v>
      </c>
      <c r="C9" s="107" t="s">
        <v>269</v>
      </c>
      <c r="D9" s="107" t="s">
        <v>260</v>
      </c>
      <c r="E9" s="107" t="s">
        <v>261</v>
      </c>
      <c r="F9" s="107" t="s">
        <v>270</v>
      </c>
      <c r="G9" s="107" t="s">
        <v>263</v>
      </c>
      <c r="H9" s="107" t="s">
        <v>263</v>
      </c>
    </row>
    <row r="10" spans="1:8" x14ac:dyDescent="0.25">
      <c r="A10" s="106">
        <v>1</v>
      </c>
      <c r="B10" s="106" t="s">
        <v>185</v>
      </c>
      <c r="C10" s="108">
        <v>16689</v>
      </c>
      <c r="D10" s="108">
        <v>7161</v>
      </c>
      <c r="E10" s="108">
        <v>0</v>
      </c>
      <c r="F10" s="108">
        <v>2460</v>
      </c>
      <c r="G10" s="109">
        <f t="shared" ref="G10:G61" si="0">SUM(C10:F10)</f>
        <v>26310</v>
      </c>
      <c r="H10" s="109">
        <f>G10</f>
        <v>26310</v>
      </c>
    </row>
    <row r="11" spans="1:8" x14ac:dyDescent="0.25">
      <c r="A11" s="106">
        <v>2</v>
      </c>
      <c r="B11" s="106" t="s">
        <v>186</v>
      </c>
      <c r="C11" s="108">
        <v>48801</v>
      </c>
      <c r="D11" s="108">
        <v>7109</v>
      </c>
      <c r="E11" s="108">
        <v>0</v>
      </c>
      <c r="F11" s="108">
        <v>0</v>
      </c>
      <c r="G11" s="109">
        <f t="shared" si="0"/>
        <v>55910</v>
      </c>
      <c r="H11" s="109">
        <f t="shared" ref="H11:H61" si="1">G11+H10</f>
        <v>82220</v>
      </c>
    </row>
    <row r="12" spans="1:8" x14ac:dyDescent="0.25">
      <c r="A12" s="106">
        <v>3</v>
      </c>
      <c r="B12" s="106" t="s">
        <v>187</v>
      </c>
      <c r="C12" s="108">
        <v>28425</v>
      </c>
      <c r="D12" s="108">
        <v>0</v>
      </c>
      <c r="E12" s="108">
        <v>0</v>
      </c>
      <c r="F12" s="108">
        <v>0</v>
      </c>
      <c r="G12" s="109">
        <f t="shared" si="0"/>
        <v>28425</v>
      </c>
      <c r="H12" s="109">
        <f t="shared" si="1"/>
        <v>110645</v>
      </c>
    </row>
    <row r="13" spans="1:8" x14ac:dyDescent="0.25">
      <c r="A13" s="106">
        <v>4</v>
      </c>
      <c r="B13" s="106" t="s">
        <v>188</v>
      </c>
      <c r="C13" s="108">
        <v>3802</v>
      </c>
      <c r="D13" s="108">
        <v>32831</v>
      </c>
      <c r="E13" s="108">
        <v>0</v>
      </c>
      <c r="F13" s="108">
        <v>0</v>
      </c>
      <c r="G13" s="109">
        <f t="shared" si="0"/>
        <v>36633</v>
      </c>
      <c r="H13" s="109">
        <f t="shared" si="1"/>
        <v>147278</v>
      </c>
    </row>
    <row r="14" spans="1:8" x14ac:dyDescent="0.25">
      <c r="A14" s="106">
        <v>5</v>
      </c>
      <c r="B14" s="106" t="s">
        <v>189</v>
      </c>
      <c r="C14" s="108">
        <v>8237</v>
      </c>
      <c r="D14" s="108">
        <v>0</v>
      </c>
      <c r="E14" s="108">
        <v>0</v>
      </c>
      <c r="F14" s="108">
        <v>15184</v>
      </c>
      <c r="G14" s="109">
        <f t="shared" si="0"/>
        <v>23421</v>
      </c>
      <c r="H14" s="109">
        <f t="shared" si="1"/>
        <v>170699</v>
      </c>
    </row>
    <row r="15" spans="1:8" x14ac:dyDescent="0.25">
      <c r="A15" s="106">
        <v>6</v>
      </c>
      <c r="B15" s="106" t="s">
        <v>190</v>
      </c>
      <c r="C15" s="108">
        <v>24500</v>
      </c>
      <c r="D15" s="108">
        <v>25096</v>
      </c>
      <c r="E15" s="108">
        <v>0</v>
      </c>
      <c r="F15" s="108">
        <v>13698</v>
      </c>
      <c r="G15" s="109">
        <f t="shared" si="0"/>
        <v>63294</v>
      </c>
      <c r="H15" s="109">
        <f t="shared" si="1"/>
        <v>233993</v>
      </c>
    </row>
    <row r="16" spans="1:8" x14ac:dyDescent="0.25">
      <c r="A16" s="106">
        <v>7</v>
      </c>
      <c r="B16" s="106" t="s">
        <v>191</v>
      </c>
      <c r="C16" s="108">
        <v>0</v>
      </c>
      <c r="D16" s="108">
        <v>0</v>
      </c>
      <c r="E16" s="108">
        <v>0</v>
      </c>
      <c r="F16" s="108">
        <v>0</v>
      </c>
      <c r="G16" s="109">
        <f t="shared" si="0"/>
        <v>0</v>
      </c>
      <c r="H16" s="109">
        <f t="shared" si="1"/>
        <v>233993</v>
      </c>
    </row>
    <row r="17" spans="1:8" x14ac:dyDescent="0.25">
      <c r="A17" s="106">
        <v>8</v>
      </c>
      <c r="B17" s="106" t="s">
        <v>192</v>
      </c>
      <c r="C17" s="108">
        <v>23166</v>
      </c>
      <c r="D17" s="108">
        <v>0</v>
      </c>
      <c r="E17" s="108">
        <v>0</v>
      </c>
      <c r="F17" s="108">
        <v>0</v>
      </c>
      <c r="G17" s="109">
        <f t="shared" si="0"/>
        <v>23166</v>
      </c>
      <c r="H17" s="109">
        <f t="shared" si="1"/>
        <v>257159</v>
      </c>
    </row>
    <row r="18" spans="1:8" x14ac:dyDescent="0.25">
      <c r="A18" s="106">
        <v>9</v>
      </c>
      <c r="B18" s="106" t="s">
        <v>193</v>
      </c>
      <c r="C18" s="108">
        <v>0</v>
      </c>
      <c r="D18" s="108">
        <v>8153</v>
      </c>
      <c r="E18" s="108">
        <v>0</v>
      </c>
      <c r="F18" s="108">
        <v>6490</v>
      </c>
      <c r="G18" s="109">
        <f t="shared" si="0"/>
        <v>14643</v>
      </c>
      <c r="H18" s="109">
        <f t="shared" si="1"/>
        <v>271802</v>
      </c>
    </row>
    <row r="19" spans="1:8" x14ac:dyDescent="0.25">
      <c r="A19" s="106">
        <v>10</v>
      </c>
      <c r="B19" s="106" t="s">
        <v>194</v>
      </c>
      <c r="C19" s="108">
        <v>0</v>
      </c>
      <c r="D19" s="108">
        <v>3599</v>
      </c>
      <c r="E19" s="108">
        <v>0</v>
      </c>
      <c r="F19" s="108">
        <v>0</v>
      </c>
      <c r="G19" s="109">
        <f t="shared" si="0"/>
        <v>3599</v>
      </c>
      <c r="H19" s="109">
        <f t="shared" si="1"/>
        <v>275401</v>
      </c>
    </row>
    <row r="20" spans="1:8" x14ac:dyDescent="0.25">
      <c r="A20" s="106">
        <v>11</v>
      </c>
      <c r="B20" s="106" t="s">
        <v>195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275401</v>
      </c>
    </row>
    <row r="21" spans="1:8" x14ac:dyDescent="0.25">
      <c r="A21" s="106">
        <v>12</v>
      </c>
      <c r="B21" s="106" t="s">
        <v>196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275401</v>
      </c>
    </row>
    <row r="22" spans="1:8" x14ac:dyDescent="0.25">
      <c r="A22" s="106">
        <v>13</v>
      </c>
      <c r="B22" s="106" t="s">
        <v>197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275401</v>
      </c>
    </row>
    <row r="23" spans="1:8" x14ac:dyDescent="0.25">
      <c r="A23" s="106">
        <v>14</v>
      </c>
      <c r="B23" s="106" t="s">
        <v>198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275401</v>
      </c>
    </row>
    <row r="24" spans="1:8" x14ac:dyDescent="0.25">
      <c r="A24" s="106">
        <v>15</v>
      </c>
      <c r="B24" s="106" t="s">
        <v>199</v>
      </c>
      <c r="C24" s="108">
        <v>22821</v>
      </c>
      <c r="D24" s="108">
        <v>16985</v>
      </c>
      <c r="E24" s="108">
        <v>0</v>
      </c>
      <c r="F24" s="108">
        <v>0</v>
      </c>
      <c r="G24" s="109">
        <f t="shared" si="0"/>
        <v>39806</v>
      </c>
      <c r="H24" s="109">
        <f t="shared" si="1"/>
        <v>315207</v>
      </c>
    </row>
    <row r="25" spans="1:8" x14ac:dyDescent="0.25">
      <c r="A25" s="106">
        <v>16</v>
      </c>
      <c r="B25" s="106" t="s">
        <v>200</v>
      </c>
      <c r="C25" s="108">
        <v>18060</v>
      </c>
      <c r="D25" s="108">
        <v>14850</v>
      </c>
      <c r="E25" s="108">
        <v>0</v>
      </c>
      <c r="F25" s="108">
        <v>14821</v>
      </c>
      <c r="G25" s="109">
        <f t="shared" si="0"/>
        <v>47731</v>
      </c>
      <c r="H25" s="109">
        <f t="shared" si="1"/>
        <v>362938</v>
      </c>
    </row>
    <row r="26" spans="1:8" x14ac:dyDescent="0.25">
      <c r="A26" s="106">
        <v>17</v>
      </c>
      <c r="B26" s="106" t="s">
        <v>201</v>
      </c>
      <c r="C26" s="108">
        <v>60484</v>
      </c>
      <c r="D26" s="108">
        <v>34868</v>
      </c>
      <c r="E26" s="108">
        <v>0</v>
      </c>
      <c r="F26" s="108">
        <v>0</v>
      </c>
      <c r="G26" s="109">
        <f t="shared" si="0"/>
        <v>95352</v>
      </c>
      <c r="H26" s="109">
        <f t="shared" si="1"/>
        <v>458290</v>
      </c>
    </row>
    <row r="27" spans="1:8" x14ac:dyDescent="0.25">
      <c r="A27" s="106">
        <v>18</v>
      </c>
      <c r="B27" s="106" t="s">
        <v>202</v>
      </c>
      <c r="C27" s="108">
        <v>18892</v>
      </c>
      <c r="D27" s="108">
        <v>22736</v>
      </c>
      <c r="E27" s="108">
        <v>0</v>
      </c>
      <c r="F27" s="108">
        <v>15057</v>
      </c>
      <c r="G27" s="109">
        <f t="shared" si="0"/>
        <v>56685</v>
      </c>
      <c r="H27" s="109">
        <f t="shared" si="1"/>
        <v>514975</v>
      </c>
    </row>
    <row r="28" spans="1:8" x14ac:dyDescent="0.25">
      <c r="A28" s="106">
        <v>19</v>
      </c>
      <c r="B28" s="106" t="s">
        <v>203</v>
      </c>
      <c r="C28" s="108">
        <v>40656</v>
      </c>
      <c r="D28" s="108">
        <v>0</v>
      </c>
      <c r="E28" s="108">
        <v>0</v>
      </c>
      <c r="F28" s="108">
        <v>27402</v>
      </c>
      <c r="G28" s="109">
        <f t="shared" si="0"/>
        <v>68058</v>
      </c>
      <c r="H28" s="109">
        <f t="shared" si="1"/>
        <v>583033</v>
      </c>
    </row>
    <row r="29" spans="1:8" x14ac:dyDescent="0.25">
      <c r="A29" s="106">
        <v>20</v>
      </c>
      <c r="B29" s="106" t="s">
        <v>204</v>
      </c>
      <c r="C29" s="108">
        <v>13362</v>
      </c>
      <c r="D29" s="108">
        <v>46141</v>
      </c>
      <c r="E29" s="108">
        <v>0</v>
      </c>
      <c r="F29" s="108">
        <v>0</v>
      </c>
      <c r="G29" s="109">
        <f t="shared" si="0"/>
        <v>59503</v>
      </c>
      <c r="H29" s="109">
        <f t="shared" si="1"/>
        <v>642536</v>
      </c>
    </row>
    <row r="30" spans="1:8" x14ac:dyDescent="0.25">
      <c r="A30" s="106">
        <v>21</v>
      </c>
      <c r="B30" s="106" t="s">
        <v>205</v>
      </c>
      <c r="C30" s="108">
        <v>0</v>
      </c>
      <c r="D30" s="108">
        <v>60114</v>
      </c>
      <c r="E30" s="108">
        <v>0</v>
      </c>
      <c r="F30" s="108">
        <v>0</v>
      </c>
      <c r="G30" s="109">
        <f t="shared" si="0"/>
        <v>60114</v>
      </c>
      <c r="H30" s="109">
        <f t="shared" si="1"/>
        <v>702650</v>
      </c>
    </row>
    <row r="31" spans="1:8" x14ac:dyDescent="0.25">
      <c r="A31" s="106">
        <v>22</v>
      </c>
      <c r="B31" s="106" t="s">
        <v>206</v>
      </c>
      <c r="C31" s="108">
        <v>2706</v>
      </c>
      <c r="D31" s="108">
        <v>11845</v>
      </c>
      <c r="E31" s="108">
        <v>11031</v>
      </c>
      <c r="F31" s="108">
        <v>0</v>
      </c>
      <c r="G31" s="109">
        <f t="shared" si="0"/>
        <v>25582</v>
      </c>
      <c r="H31" s="109">
        <f t="shared" si="1"/>
        <v>728232</v>
      </c>
    </row>
    <row r="32" spans="1:8" x14ac:dyDescent="0.25">
      <c r="A32" s="106">
        <v>23</v>
      </c>
      <c r="B32" s="106" t="s">
        <v>207</v>
      </c>
      <c r="C32" s="108">
        <v>20852</v>
      </c>
      <c r="D32" s="108">
        <v>0</v>
      </c>
      <c r="E32" s="108">
        <v>0</v>
      </c>
      <c r="F32" s="108">
        <v>2260</v>
      </c>
      <c r="G32" s="109">
        <f t="shared" si="0"/>
        <v>23112</v>
      </c>
      <c r="H32" s="109">
        <f t="shared" si="1"/>
        <v>751344</v>
      </c>
    </row>
    <row r="33" spans="1:8" x14ac:dyDescent="0.25">
      <c r="A33" s="106">
        <v>24</v>
      </c>
      <c r="B33" s="106" t="s">
        <v>208</v>
      </c>
      <c r="C33" s="108">
        <v>30974</v>
      </c>
      <c r="D33" s="108">
        <v>10657</v>
      </c>
      <c r="E33" s="108">
        <v>0</v>
      </c>
      <c r="F33" s="108">
        <v>1505</v>
      </c>
      <c r="G33" s="109">
        <f t="shared" si="0"/>
        <v>43136</v>
      </c>
      <c r="H33" s="109">
        <f t="shared" si="1"/>
        <v>794480</v>
      </c>
    </row>
    <row r="34" spans="1:8" x14ac:dyDescent="0.25">
      <c r="A34" s="106">
        <v>25</v>
      </c>
      <c r="B34" s="106" t="s">
        <v>209</v>
      </c>
      <c r="C34" s="108">
        <v>13435</v>
      </c>
      <c r="D34" s="108">
        <v>43304</v>
      </c>
      <c r="E34" s="108">
        <v>0</v>
      </c>
      <c r="F34" s="108">
        <v>0</v>
      </c>
      <c r="G34" s="109">
        <f t="shared" si="0"/>
        <v>56739</v>
      </c>
      <c r="H34" s="109">
        <f t="shared" si="1"/>
        <v>851219</v>
      </c>
    </row>
    <row r="35" spans="1:8" x14ac:dyDescent="0.25">
      <c r="A35" s="106">
        <v>26</v>
      </c>
      <c r="B35" s="106" t="s">
        <v>210</v>
      </c>
      <c r="C35" s="108">
        <v>18381</v>
      </c>
      <c r="D35" s="108">
        <v>27913</v>
      </c>
      <c r="E35" s="108">
        <v>0</v>
      </c>
      <c r="F35" s="108">
        <v>29300</v>
      </c>
      <c r="G35" s="109">
        <f t="shared" si="0"/>
        <v>75594</v>
      </c>
      <c r="H35" s="109">
        <f t="shared" si="1"/>
        <v>926813</v>
      </c>
    </row>
    <row r="36" spans="1:8" x14ac:dyDescent="0.25">
      <c r="A36" s="106">
        <v>27</v>
      </c>
      <c r="B36" s="106" t="s">
        <v>211</v>
      </c>
      <c r="C36" s="108">
        <v>0</v>
      </c>
      <c r="D36" s="108">
        <v>12570</v>
      </c>
      <c r="E36" s="108">
        <v>0</v>
      </c>
      <c r="F36" s="108">
        <v>0</v>
      </c>
      <c r="G36" s="109">
        <f t="shared" si="0"/>
        <v>12570</v>
      </c>
      <c r="H36" s="109">
        <f t="shared" si="1"/>
        <v>939383</v>
      </c>
    </row>
    <row r="37" spans="1:8" x14ac:dyDescent="0.25">
      <c r="A37" s="106">
        <v>28</v>
      </c>
      <c r="B37" s="106" t="s">
        <v>212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939383</v>
      </c>
    </row>
    <row r="38" spans="1:8" x14ac:dyDescent="0.25">
      <c r="A38" s="106">
        <v>29</v>
      </c>
      <c r="B38" s="106" t="s">
        <v>213</v>
      </c>
      <c r="C38" s="108">
        <v>15222</v>
      </c>
      <c r="D38" s="108">
        <v>11597</v>
      </c>
      <c r="E38" s="108">
        <v>0</v>
      </c>
      <c r="F38" s="108">
        <v>0</v>
      </c>
      <c r="G38" s="109">
        <f t="shared" si="0"/>
        <v>26819</v>
      </c>
      <c r="H38" s="109">
        <f t="shared" si="1"/>
        <v>966202</v>
      </c>
    </row>
    <row r="39" spans="1:8" x14ac:dyDescent="0.25">
      <c r="A39" s="106">
        <v>30</v>
      </c>
      <c r="B39" s="106" t="s">
        <v>214</v>
      </c>
      <c r="C39" s="108">
        <v>22149</v>
      </c>
      <c r="D39" s="108">
        <v>0</v>
      </c>
      <c r="E39" s="108">
        <v>0</v>
      </c>
      <c r="F39" s="108">
        <v>0</v>
      </c>
      <c r="G39" s="109">
        <f t="shared" si="0"/>
        <v>22149</v>
      </c>
      <c r="H39" s="109">
        <f t="shared" si="1"/>
        <v>988351</v>
      </c>
    </row>
    <row r="40" spans="1:8" x14ac:dyDescent="0.25">
      <c r="A40" s="106">
        <v>31</v>
      </c>
      <c r="B40" s="106" t="s">
        <v>215</v>
      </c>
      <c r="C40" s="108">
        <v>32938</v>
      </c>
      <c r="D40" s="108">
        <v>18638</v>
      </c>
      <c r="E40" s="108">
        <v>0</v>
      </c>
      <c r="F40" s="108">
        <v>0</v>
      </c>
      <c r="G40" s="109">
        <f t="shared" si="0"/>
        <v>51576</v>
      </c>
      <c r="H40" s="109">
        <f t="shared" si="1"/>
        <v>1039927</v>
      </c>
    </row>
    <row r="41" spans="1:8" x14ac:dyDescent="0.25">
      <c r="A41" s="106">
        <v>32</v>
      </c>
      <c r="B41" s="106" t="s">
        <v>216</v>
      </c>
      <c r="C41" s="108">
        <v>0</v>
      </c>
      <c r="D41" s="108">
        <v>0</v>
      </c>
      <c r="E41" s="108">
        <v>0</v>
      </c>
      <c r="F41" s="108">
        <v>0</v>
      </c>
      <c r="G41" s="109">
        <f t="shared" si="0"/>
        <v>0</v>
      </c>
      <c r="H41" s="109">
        <f t="shared" si="1"/>
        <v>1039927</v>
      </c>
    </row>
    <row r="42" spans="1:8" x14ac:dyDescent="0.25">
      <c r="A42" s="106">
        <v>33</v>
      </c>
      <c r="B42" s="106" t="s">
        <v>217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1039927</v>
      </c>
    </row>
    <row r="43" spans="1:8" x14ac:dyDescent="0.25">
      <c r="A43" s="106">
        <v>34</v>
      </c>
      <c r="B43" s="106" t="s">
        <v>218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1039927</v>
      </c>
    </row>
    <row r="44" spans="1:8" x14ac:dyDescent="0.25">
      <c r="A44" s="106">
        <v>35</v>
      </c>
      <c r="B44" s="106" t="s">
        <v>220</v>
      </c>
      <c r="C44" s="108">
        <v>42072</v>
      </c>
      <c r="D44" s="108">
        <v>32352</v>
      </c>
      <c r="E44" s="108">
        <v>0</v>
      </c>
      <c r="F44" s="108">
        <v>8552</v>
      </c>
      <c r="G44" s="109">
        <f t="shared" si="0"/>
        <v>82976</v>
      </c>
      <c r="H44" s="109">
        <f t="shared" si="1"/>
        <v>1122903</v>
      </c>
    </row>
    <row r="45" spans="1:8" x14ac:dyDescent="0.25">
      <c r="A45" s="106">
        <v>36</v>
      </c>
      <c r="B45" s="106" t="s">
        <v>221</v>
      </c>
      <c r="C45" s="108">
        <v>0</v>
      </c>
      <c r="D45" s="108">
        <v>0</v>
      </c>
      <c r="E45" s="108">
        <v>0</v>
      </c>
      <c r="F45" s="108">
        <v>28901</v>
      </c>
      <c r="G45" s="109">
        <f t="shared" si="0"/>
        <v>28901</v>
      </c>
      <c r="H45" s="109">
        <f t="shared" si="1"/>
        <v>1151804</v>
      </c>
    </row>
    <row r="46" spans="1:8" x14ac:dyDescent="0.25">
      <c r="A46" s="106">
        <v>37</v>
      </c>
      <c r="B46" s="106" t="s">
        <v>222</v>
      </c>
      <c r="C46" s="108">
        <v>0</v>
      </c>
      <c r="D46" s="108">
        <v>0</v>
      </c>
      <c r="E46" s="108">
        <v>0</v>
      </c>
      <c r="F46" s="108">
        <v>2759</v>
      </c>
      <c r="G46" s="109">
        <f t="shared" si="0"/>
        <v>2759</v>
      </c>
      <c r="H46" s="109">
        <f t="shared" si="1"/>
        <v>1154563</v>
      </c>
    </row>
    <row r="47" spans="1:8" x14ac:dyDescent="0.25">
      <c r="A47" s="106">
        <v>38</v>
      </c>
      <c r="B47" s="106" t="s">
        <v>223</v>
      </c>
      <c r="C47" s="108">
        <v>21858</v>
      </c>
      <c r="D47" s="108">
        <v>0</v>
      </c>
      <c r="E47" s="108">
        <v>0</v>
      </c>
      <c r="F47" s="108">
        <v>0</v>
      </c>
      <c r="G47" s="109">
        <f t="shared" si="0"/>
        <v>21858</v>
      </c>
      <c r="H47" s="109">
        <f t="shared" si="1"/>
        <v>1176421</v>
      </c>
    </row>
    <row r="48" spans="1:8" x14ac:dyDescent="0.25">
      <c r="A48" s="106">
        <v>39</v>
      </c>
      <c r="B48" s="106" t="s">
        <v>224</v>
      </c>
      <c r="C48" s="108">
        <v>11131</v>
      </c>
      <c r="D48" s="108">
        <v>19319</v>
      </c>
      <c r="E48" s="108">
        <v>0</v>
      </c>
      <c r="F48" s="108">
        <v>0</v>
      </c>
      <c r="G48" s="109">
        <f t="shared" si="0"/>
        <v>30450</v>
      </c>
      <c r="H48" s="109">
        <f t="shared" si="1"/>
        <v>1206871</v>
      </c>
    </row>
    <row r="49" spans="1:8" x14ac:dyDescent="0.25">
      <c r="A49" s="106">
        <v>40</v>
      </c>
      <c r="B49" s="106" t="s">
        <v>225</v>
      </c>
      <c r="C49" s="108">
        <v>33351</v>
      </c>
      <c r="D49" s="108">
        <v>35395</v>
      </c>
      <c r="E49" s="108">
        <v>0</v>
      </c>
      <c r="F49" s="108">
        <v>0</v>
      </c>
      <c r="G49" s="109">
        <f t="shared" si="0"/>
        <v>68746</v>
      </c>
      <c r="H49" s="109">
        <f t="shared" si="1"/>
        <v>1275617</v>
      </c>
    </row>
    <row r="50" spans="1:8" x14ac:dyDescent="0.25">
      <c r="A50" s="106">
        <v>41</v>
      </c>
      <c r="B50" s="106" t="s">
        <v>226</v>
      </c>
      <c r="C50" s="108">
        <v>0</v>
      </c>
      <c r="D50" s="108">
        <v>11335</v>
      </c>
      <c r="E50" s="108">
        <v>0</v>
      </c>
      <c r="F50" s="108">
        <v>0</v>
      </c>
      <c r="G50" s="109">
        <f t="shared" si="0"/>
        <v>11335</v>
      </c>
      <c r="H50" s="109">
        <f t="shared" si="1"/>
        <v>1286952</v>
      </c>
    </row>
    <row r="51" spans="1:8" x14ac:dyDescent="0.25">
      <c r="A51" s="106">
        <v>42</v>
      </c>
      <c r="B51" s="106" t="s">
        <v>227</v>
      </c>
      <c r="C51" s="108">
        <v>10904</v>
      </c>
      <c r="D51" s="108">
        <v>1289</v>
      </c>
      <c r="E51" s="108">
        <v>0</v>
      </c>
      <c r="F51" s="108">
        <v>0</v>
      </c>
      <c r="G51" s="109">
        <f t="shared" si="0"/>
        <v>12193</v>
      </c>
      <c r="H51" s="109">
        <f t="shared" si="1"/>
        <v>1299145</v>
      </c>
    </row>
    <row r="52" spans="1:8" x14ac:dyDescent="0.25">
      <c r="A52" s="106">
        <v>43</v>
      </c>
      <c r="B52" s="106" t="s">
        <v>228</v>
      </c>
      <c r="C52" s="108">
        <v>4004</v>
      </c>
      <c r="D52" s="108">
        <v>0</v>
      </c>
      <c r="E52" s="108">
        <v>0</v>
      </c>
      <c r="F52" s="108">
        <v>13619</v>
      </c>
      <c r="G52" s="109">
        <f t="shared" si="0"/>
        <v>17623</v>
      </c>
      <c r="H52" s="109">
        <f t="shared" si="1"/>
        <v>1316768</v>
      </c>
    </row>
    <row r="53" spans="1:8" x14ac:dyDescent="0.25">
      <c r="A53" s="106">
        <v>44</v>
      </c>
      <c r="B53" s="106" t="s">
        <v>229</v>
      </c>
      <c r="C53" s="108">
        <v>18143</v>
      </c>
      <c r="D53" s="108">
        <v>35337</v>
      </c>
      <c r="E53" s="108">
        <v>0</v>
      </c>
      <c r="F53" s="108">
        <v>18398</v>
      </c>
      <c r="G53" s="109">
        <f t="shared" si="0"/>
        <v>71878</v>
      </c>
      <c r="H53" s="109">
        <f t="shared" si="1"/>
        <v>1388646</v>
      </c>
    </row>
    <row r="54" spans="1:8" x14ac:dyDescent="0.25">
      <c r="A54" s="106">
        <v>45</v>
      </c>
      <c r="B54" s="106" t="s">
        <v>230</v>
      </c>
      <c r="C54" s="108">
        <v>67828</v>
      </c>
      <c r="D54" s="108">
        <v>49449</v>
      </c>
      <c r="E54" s="108">
        <v>0</v>
      </c>
      <c r="F54" s="108">
        <v>0</v>
      </c>
      <c r="G54" s="109">
        <f t="shared" si="0"/>
        <v>117277</v>
      </c>
      <c r="H54" s="109">
        <f t="shared" si="1"/>
        <v>1505923</v>
      </c>
    </row>
    <row r="55" spans="1:8" x14ac:dyDescent="0.25">
      <c r="A55" s="106">
        <v>46</v>
      </c>
      <c r="B55" s="106" t="s">
        <v>231</v>
      </c>
      <c r="C55" s="108">
        <v>30877</v>
      </c>
      <c r="D55" s="108">
        <v>37467</v>
      </c>
      <c r="E55" s="108">
        <v>0</v>
      </c>
      <c r="F55" s="108">
        <v>0</v>
      </c>
      <c r="G55" s="109">
        <f t="shared" si="0"/>
        <v>68344</v>
      </c>
      <c r="H55" s="109">
        <f t="shared" si="1"/>
        <v>1574267</v>
      </c>
    </row>
    <row r="56" spans="1:8" x14ac:dyDescent="0.25">
      <c r="A56" s="106">
        <v>47</v>
      </c>
      <c r="B56" s="106" t="s">
        <v>232</v>
      </c>
      <c r="C56" s="108">
        <v>1430</v>
      </c>
      <c r="D56" s="108">
        <v>0</v>
      </c>
      <c r="E56" s="108">
        <v>0</v>
      </c>
      <c r="F56" s="108">
        <v>0</v>
      </c>
      <c r="G56" s="109">
        <f t="shared" si="0"/>
        <v>1430</v>
      </c>
      <c r="H56" s="109">
        <f t="shared" si="1"/>
        <v>1575697</v>
      </c>
    </row>
    <row r="57" spans="1:8" x14ac:dyDescent="0.25">
      <c r="A57" s="106">
        <v>48</v>
      </c>
      <c r="B57" s="106" t="s">
        <v>233</v>
      </c>
      <c r="C57" s="108">
        <v>0</v>
      </c>
      <c r="D57" s="108">
        <v>0</v>
      </c>
      <c r="E57" s="108">
        <v>0</v>
      </c>
      <c r="F57" s="108">
        <v>28507</v>
      </c>
      <c r="G57" s="109">
        <f t="shared" si="0"/>
        <v>28507</v>
      </c>
      <c r="H57" s="109">
        <f t="shared" si="1"/>
        <v>1604204</v>
      </c>
    </row>
    <row r="58" spans="1:8" x14ac:dyDescent="0.25">
      <c r="A58" s="106">
        <v>49</v>
      </c>
      <c r="B58" s="106" t="s">
        <v>234</v>
      </c>
      <c r="C58" s="108">
        <v>0</v>
      </c>
      <c r="D58" s="108">
        <v>0</v>
      </c>
      <c r="E58" s="108">
        <v>0</v>
      </c>
      <c r="F58" s="108">
        <v>0</v>
      </c>
      <c r="G58" s="109">
        <f t="shared" si="0"/>
        <v>0</v>
      </c>
      <c r="H58" s="109">
        <f t="shared" si="1"/>
        <v>1604204</v>
      </c>
    </row>
    <row r="59" spans="1:8" x14ac:dyDescent="0.25">
      <c r="A59" s="106">
        <v>50</v>
      </c>
      <c r="B59" s="106" t="s">
        <v>235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1604204</v>
      </c>
    </row>
    <row r="60" spans="1:8" x14ac:dyDescent="0.25">
      <c r="A60" s="106">
        <v>51</v>
      </c>
      <c r="B60" s="106" t="s">
        <v>236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1604204</v>
      </c>
    </row>
    <row r="61" spans="1:8" x14ac:dyDescent="0.25">
      <c r="A61" s="106">
        <v>52</v>
      </c>
      <c r="B61" s="106" t="s">
        <v>237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1604204</v>
      </c>
    </row>
    <row r="62" spans="1:8" x14ac:dyDescent="0.25">
      <c r="A62" s="106" t="s">
        <v>178</v>
      </c>
      <c r="B62" s="106" t="s">
        <v>238</v>
      </c>
      <c r="C62" s="109">
        <f>SUM(C10:C61)</f>
        <v>726150</v>
      </c>
      <c r="D62" s="109">
        <f>SUM(D10:D61)</f>
        <v>638110</v>
      </c>
      <c r="E62" s="109">
        <f>SUM(E10:E61)</f>
        <v>11031</v>
      </c>
      <c r="F62" s="109">
        <f>SUM(F10:F61)</f>
        <v>228913</v>
      </c>
      <c r="G62" s="109">
        <f>SUM(G10:G61)</f>
        <v>1604204</v>
      </c>
      <c r="H62" s="109"/>
    </row>
    <row r="64" spans="1:8" ht="14.4" x14ac:dyDescent="0.3">
      <c r="A64" s="104" t="s">
        <v>264</v>
      </c>
      <c r="B64" s="104"/>
    </row>
    <row r="65" spans="1:2" ht="14.4" x14ac:dyDescent="0.3">
      <c r="A65" s="104" t="s">
        <v>265</v>
      </c>
      <c r="B65" s="104"/>
    </row>
  </sheetData>
  <mergeCells count="3">
    <mergeCell ref="A6:H6"/>
    <mergeCell ref="A7:H7"/>
    <mergeCell ref="A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zoomScale="126" zoomScaleNormal="126" workbookViewId="0">
      <selection activeCell="B5" sqref="B5"/>
    </sheetView>
  </sheetViews>
  <sheetFormatPr defaultColWidth="9.109375" defaultRowHeight="15" x14ac:dyDescent="0.25"/>
  <cols>
    <col min="1" max="1" width="33.6640625" style="54" customWidth="1"/>
    <col min="2" max="2" width="14.88671875" style="54" customWidth="1"/>
    <col min="3" max="3" width="9.109375" style="54"/>
    <col min="4" max="4" width="24.109375" style="54" customWidth="1"/>
    <col min="5" max="5" width="13.88671875" style="54" customWidth="1"/>
    <col min="6" max="6" width="10.33203125" style="54" bestFit="1" customWidth="1"/>
    <col min="7" max="16384" width="9.109375" style="54"/>
  </cols>
  <sheetData>
    <row r="1" spans="1:22" ht="15.6" x14ac:dyDescent="0.3">
      <c r="A1" s="53" t="s">
        <v>120</v>
      </c>
      <c r="V1" s="54">
        <v>4</v>
      </c>
    </row>
    <row r="2" spans="1:22" ht="15.6" x14ac:dyDescent="0.3">
      <c r="A2" s="53" t="s">
        <v>121</v>
      </c>
    </row>
    <row r="4" spans="1:22" x14ac:dyDescent="0.25">
      <c r="A4" s="98" t="s">
        <v>122</v>
      </c>
      <c r="B4" s="75">
        <f>'Weekliks-Weekly'!B59</f>
        <v>46129</v>
      </c>
    </row>
    <row r="5" spans="1:22" ht="15.6" x14ac:dyDescent="0.3">
      <c r="D5" s="53"/>
    </row>
    <row r="6" spans="1:22" ht="15.6" x14ac:dyDescent="0.3">
      <c r="A6" s="53" t="s">
        <v>5</v>
      </c>
      <c r="B6" s="53" t="s">
        <v>95</v>
      </c>
      <c r="E6" s="56"/>
    </row>
    <row r="7" spans="1:22" ht="15.6" x14ac:dyDescent="0.3">
      <c r="A7" s="60" t="s">
        <v>123</v>
      </c>
      <c r="B7" s="72">
        <v>0</v>
      </c>
      <c r="D7" s="58" t="s">
        <v>124</v>
      </c>
      <c r="E7" s="59">
        <f>B12/(52-'Export destin -Uitvoer bestem.'!$P$5)</f>
        <v>0</v>
      </c>
      <c r="F7" s="57"/>
    </row>
    <row r="8" spans="1:22" ht="15.6" x14ac:dyDescent="0.3">
      <c r="A8" s="60" t="s">
        <v>125</v>
      </c>
      <c r="B8" s="72">
        <f>0</f>
        <v>0</v>
      </c>
      <c r="D8" s="60" t="s">
        <v>126</v>
      </c>
      <c r="E8" s="61">
        <f>'Export destin -Uitvoer bestem.'!$P$5</f>
        <v>1</v>
      </c>
      <c r="F8" s="57"/>
    </row>
    <row r="9" spans="1:22" ht="15.6" x14ac:dyDescent="0.3">
      <c r="A9" s="60" t="s">
        <v>58</v>
      </c>
      <c r="B9" s="72">
        <f>0</f>
        <v>0</v>
      </c>
      <c r="D9" s="60" t="s">
        <v>127</v>
      </c>
      <c r="E9" s="61">
        <f>(E7*E8)+B12</f>
        <v>0</v>
      </c>
      <c r="F9" s="57"/>
    </row>
    <row r="10" spans="1:22" ht="15.6" x14ac:dyDescent="0.3">
      <c r="A10" s="60" t="s">
        <v>128</v>
      </c>
      <c r="B10" s="72">
        <f>0</f>
        <v>0</v>
      </c>
      <c r="E10" s="57"/>
      <c r="F10" s="57"/>
    </row>
    <row r="11" spans="1:22" ht="15.6" x14ac:dyDescent="0.3">
      <c r="A11" s="60" t="s">
        <v>129</v>
      </c>
      <c r="B11" s="72">
        <v>0</v>
      </c>
      <c r="E11" s="57"/>
      <c r="F11" s="57"/>
    </row>
    <row r="12" spans="1:22" ht="15.6" x14ac:dyDescent="0.3">
      <c r="A12" s="58" t="s">
        <v>118</v>
      </c>
      <c r="B12" s="66">
        <f>SUM(B7:B11)</f>
        <v>0</v>
      </c>
      <c r="F12" s="57"/>
    </row>
    <row r="13" spans="1:22" x14ac:dyDescent="0.25">
      <c r="B13" s="56"/>
      <c r="F13" s="57"/>
    </row>
    <row r="14" spans="1:22" ht="15.6" x14ac:dyDescent="0.3">
      <c r="A14" s="53" t="s">
        <v>94</v>
      </c>
      <c r="B14" s="54" t="s">
        <v>95</v>
      </c>
      <c r="F14" s="57"/>
    </row>
    <row r="15" spans="1:22" ht="15.6" x14ac:dyDescent="0.3">
      <c r="A15" s="60" t="s">
        <v>130</v>
      </c>
      <c r="B15" s="72">
        <f>32924+25606+17162+34756</f>
        <v>110448</v>
      </c>
      <c r="D15" s="58" t="s">
        <v>124</v>
      </c>
      <c r="E15" s="59">
        <f>B22/(52-'Export destin -Uitvoer bestem.'!$P$5)</f>
        <v>2165.6470588235293</v>
      </c>
      <c r="F15" s="57"/>
    </row>
    <row r="16" spans="1:22" ht="15.6" x14ac:dyDescent="0.3">
      <c r="A16" s="60" t="s">
        <v>38</v>
      </c>
      <c r="B16" s="72">
        <v>0</v>
      </c>
      <c r="D16" s="60" t="s">
        <v>126</v>
      </c>
      <c r="E16" s="61">
        <f>'Export destin -Uitvoer bestem.'!$P$5</f>
        <v>1</v>
      </c>
      <c r="F16" s="57"/>
    </row>
    <row r="17" spans="1:12" ht="15.6" x14ac:dyDescent="0.3">
      <c r="A17" s="60" t="s">
        <v>131</v>
      </c>
      <c r="B17" s="72">
        <f>0</f>
        <v>0</v>
      </c>
      <c r="D17" s="60" t="s">
        <v>127</v>
      </c>
      <c r="E17" s="61">
        <f>(E15*E16)+B22</f>
        <v>112613.64705882352</v>
      </c>
      <c r="F17" s="57"/>
      <c r="L17" s="105"/>
    </row>
    <row r="18" spans="1:12" ht="15.6" x14ac:dyDescent="0.3">
      <c r="A18" s="60" t="s">
        <v>132</v>
      </c>
      <c r="B18" s="72">
        <f>0</f>
        <v>0</v>
      </c>
      <c r="E18" s="57"/>
      <c r="F18" s="57"/>
      <c r="L18" s="105"/>
    </row>
    <row r="19" spans="1:12" ht="15.6" x14ac:dyDescent="0.3">
      <c r="A19" s="60" t="s">
        <v>133</v>
      </c>
      <c r="B19" s="72">
        <v>0</v>
      </c>
      <c r="E19" s="57"/>
      <c r="F19" s="57"/>
      <c r="L19" s="105"/>
    </row>
    <row r="20" spans="1:12" ht="15.6" x14ac:dyDescent="0.3">
      <c r="A20" s="60" t="s">
        <v>134</v>
      </c>
      <c r="B20" s="72">
        <f>0</f>
        <v>0</v>
      </c>
      <c r="E20" s="57"/>
      <c r="F20" s="57"/>
    </row>
    <row r="21" spans="1:12" ht="15.6" x14ac:dyDescent="0.3">
      <c r="A21" s="60" t="s">
        <v>135</v>
      </c>
      <c r="B21" s="72">
        <f>0</f>
        <v>0</v>
      </c>
      <c r="E21" s="57"/>
      <c r="F21" s="57"/>
    </row>
    <row r="22" spans="1:12" ht="15.6" x14ac:dyDescent="0.3">
      <c r="A22" s="58" t="s">
        <v>118</v>
      </c>
      <c r="B22" s="66">
        <f>SUM(B15:B21)</f>
        <v>110448</v>
      </c>
      <c r="E22" s="57"/>
      <c r="F22" s="57"/>
    </row>
    <row r="23" spans="1:12" x14ac:dyDescent="0.25">
      <c r="B23" s="56"/>
      <c r="E23" s="57"/>
      <c r="F23" s="57"/>
    </row>
    <row r="24" spans="1:12" ht="15.6" x14ac:dyDescent="0.3">
      <c r="A24" s="58" t="s">
        <v>119</v>
      </c>
      <c r="B24" s="66">
        <f>B12+B22</f>
        <v>110448</v>
      </c>
      <c r="D24" s="56"/>
      <c r="E24" s="57"/>
      <c r="F24" s="57"/>
    </row>
    <row r="25" spans="1:12" x14ac:dyDescent="0.25">
      <c r="E25" s="57"/>
      <c r="F25" s="57"/>
    </row>
    <row r="26" spans="1:12" x14ac:dyDescent="0.25">
      <c r="E26" s="57"/>
      <c r="F26" s="57"/>
    </row>
    <row r="27" spans="1:12" x14ac:dyDescent="0.25">
      <c r="E27" s="57"/>
      <c r="F27" s="57"/>
    </row>
    <row r="28" spans="1:12" x14ac:dyDescent="0.25">
      <c r="E28" s="57"/>
      <c r="F28" s="57"/>
    </row>
  </sheetData>
  <phoneticPr fontId="7" type="noConversion"/>
  <pageMargins left="0.75" right="0.75" top="1" bottom="1" header="0.5" footer="0.5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7E9F-ADAA-4161-93DB-6938256341C9}">
  <dimension ref="A1:X4707"/>
  <sheetViews>
    <sheetView topLeftCell="C9" zoomScale="155" zoomScaleNormal="155" workbookViewId="0">
      <selection activeCell="K39" sqref="K39"/>
    </sheetView>
  </sheetViews>
  <sheetFormatPr defaultColWidth="8.88671875" defaultRowHeight="13.2" x14ac:dyDescent="0.25"/>
  <cols>
    <col min="1" max="1" width="6.6640625" style="3" customWidth="1"/>
    <col min="2" max="2" width="11.5546875" style="3" bestFit="1" customWidth="1"/>
    <col min="3" max="3" width="9.44140625" style="3" customWidth="1"/>
    <col min="4" max="4" width="11.6640625" style="3" customWidth="1"/>
    <col min="5" max="5" width="11.5546875" style="3" hidden="1" customWidth="1"/>
    <col min="6" max="6" width="11.33203125" style="3" hidden="1" customWidth="1"/>
    <col min="7" max="7" width="14.33203125" style="3" hidden="1" customWidth="1"/>
    <col min="8" max="10" width="11.33203125" style="3" hidden="1" customWidth="1"/>
    <col min="11" max="11" width="9.6640625" style="147" customWidth="1"/>
    <col min="12" max="12" width="11.44140625" style="147" customWidth="1"/>
    <col min="13" max="13" width="10.6640625" style="147" customWidth="1"/>
    <col min="14" max="14" width="11.5546875" style="147" bestFit="1" customWidth="1"/>
    <col min="15" max="18" width="11.33203125" style="3" hidden="1" customWidth="1"/>
    <col min="19" max="19" width="16" style="3" hidden="1" customWidth="1"/>
    <col min="20" max="20" width="16.5546875" style="3" bestFit="1" customWidth="1"/>
    <col min="21" max="21" width="15" style="3" customWidth="1"/>
    <col min="22" max="22" width="15.88671875" style="3" customWidth="1"/>
    <col min="23" max="16384" width="8.88671875" style="3"/>
  </cols>
  <sheetData>
    <row r="1" spans="1:23" ht="15.6" x14ac:dyDescent="0.3">
      <c r="A1" s="161"/>
      <c r="B1" s="161"/>
      <c r="C1" s="64" t="s">
        <v>136</v>
      </c>
      <c r="D1" s="161"/>
      <c r="E1" s="161"/>
      <c r="F1" s="161"/>
      <c r="G1" s="161"/>
      <c r="H1" s="161"/>
      <c r="I1" s="161"/>
      <c r="J1" s="161"/>
      <c r="K1" s="169"/>
      <c r="L1" s="169"/>
      <c r="M1" s="169"/>
      <c r="N1" s="169"/>
      <c r="O1" s="161"/>
      <c r="P1" s="161"/>
      <c r="Q1" s="161"/>
      <c r="R1" s="161"/>
      <c r="S1" s="161"/>
      <c r="T1" s="161"/>
      <c r="U1" s="161"/>
      <c r="V1" s="161"/>
      <c r="W1" s="161"/>
    </row>
    <row r="2" spans="1:23" ht="15.6" x14ac:dyDescent="0.3">
      <c r="A2" s="161"/>
      <c r="B2" s="161"/>
      <c r="C2" s="64" t="s">
        <v>137</v>
      </c>
      <c r="D2" s="161"/>
      <c r="E2" s="161"/>
      <c r="F2" s="161"/>
      <c r="G2" s="161"/>
      <c r="H2" s="161"/>
      <c r="I2" s="161"/>
      <c r="J2" s="161"/>
      <c r="K2" s="169"/>
      <c r="L2" s="169"/>
      <c r="M2" s="169"/>
      <c r="N2" s="169"/>
      <c r="O2" s="161"/>
      <c r="P2" s="161"/>
      <c r="Q2" s="161"/>
      <c r="R2" s="161"/>
      <c r="S2" s="161"/>
      <c r="T2" s="161"/>
      <c r="U2" s="161"/>
      <c r="V2" s="161"/>
      <c r="W2" s="161" t="s">
        <v>138</v>
      </c>
    </row>
    <row r="3" spans="1:23" ht="13.8" thickBot="1" x14ac:dyDescent="0.3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9"/>
      <c r="L3" s="169"/>
      <c r="M3" s="169"/>
      <c r="N3" s="169"/>
      <c r="O3" s="161"/>
      <c r="P3" s="161"/>
      <c r="Q3" s="161"/>
      <c r="R3" s="161"/>
      <c r="S3" s="161"/>
      <c r="T3" s="161"/>
      <c r="U3" s="161"/>
      <c r="V3" s="161"/>
      <c r="W3" s="161"/>
    </row>
    <row r="4" spans="1:23" s="1" customFormat="1" ht="13.8" thickBot="1" x14ac:dyDescent="0.3">
      <c r="B4" s="4"/>
      <c r="C4" s="196" t="s">
        <v>139</v>
      </c>
      <c r="D4" s="197"/>
      <c r="E4" s="198" t="s">
        <v>139</v>
      </c>
      <c r="F4" s="199"/>
      <c r="G4" s="196" t="s">
        <v>140</v>
      </c>
      <c r="H4" s="197"/>
      <c r="I4" s="198" t="s">
        <v>140</v>
      </c>
      <c r="J4" s="199"/>
      <c r="K4" s="202" t="s">
        <v>141</v>
      </c>
      <c r="L4" s="203"/>
      <c r="M4" s="204" t="s">
        <v>141</v>
      </c>
      <c r="N4" s="205"/>
      <c r="O4" s="196" t="s">
        <v>142</v>
      </c>
      <c r="P4" s="197"/>
      <c r="Q4" s="198" t="s">
        <v>142</v>
      </c>
      <c r="R4" s="199"/>
      <c r="S4" s="5" t="s">
        <v>143</v>
      </c>
      <c r="T4" s="6" t="s">
        <v>144</v>
      </c>
      <c r="U4" s="5" t="s">
        <v>143</v>
      </c>
      <c r="V4" s="6" t="s">
        <v>144</v>
      </c>
    </row>
    <row r="5" spans="1:23" s="1" customFormat="1" ht="13.8" thickBot="1" x14ac:dyDescent="0.3">
      <c r="B5" s="117"/>
      <c r="C5" s="196" t="s">
        <v>145</v>
      </c>
      <c r="D5" s="197"/>
      <c r="E5" s="198" t="s">
        <v>145</v>
      </c>
      <c r="F5" s="199"/>
      <c r="G5" s="196" t="s">
        <v>146</v>
      </c>
      <c r="H5" s="200"/>
      <c r="I5" s="198" t="s">
        <v>146</v>
      </c>
      <c r="J5" s="201"/>
      <c r="K5" s="202" t="s">
        <v>147</v>
      </c>
      <c r="L5" s="203"/>
      <c r="M5" s="204" t="s">
        <v>147</v>
      </c>
      <c r="N5" s="205"/>
      <c r="O5" s="196" t="s">
        <v>148</v>
      </c>
      <c r="P5" s="200"/>
      <c r="Q5" s="198" t="s">
        <v>148</v>
      </c>
      <c r="R5" s="201"/>
      <c r="S5" s="5"/>
      <c r="T5" s="6"/>
      <c r="U5" s="5"/>
      <c r="V5" s="6"/>
    </row>
    <row r="6" spans="1:23" ht="13.8" thickBot="1" x14ac:dyDescent="0.3">
      <c r="A6" s="161"/>
      <c r="B6" s="7" t="s">
        <v>149</v>
      </c>
      <c r="C6" s="170" t="s">
        <v>150</v>
      </c>
      <c r="D6" s="171" t="s">
        <v>151</v>
      </c>
      <c r="E6" s="8" t="s">
        <v>150</v>
      </c>
      <c r="F6" s="9" t="s">
        <v>151</v>
      </c>
      <c r="G6" s="170" t="s">
        <v>150</v>
      </c>
      <c r="H6" s="171" t="s">
        <v>151</v>
      </c>
      <c r="I6" s="118" t="s">
        <v>150</v>
      </c>
      <c r="J6" s="119" t="s">
        <v>151</v>
      </c>
      <c r="K6" s="172" t="s">
        <v>150</v>
      </c>
      <c r="L6" s="173" t="s">
        <v>151</v>
      </c>
      <c r="M6" s="151" t="s">
        <v>150</v>
      </c>
      <c r="N6" s="152" t="s">
        <v>151</v>
      </c>
      <c r="O6" s="174" t="s">
        <v>150</v>
      </c>
      <c r="P6" s="171" t="s">
        <v>151</v>
      </c>
      <c r="Q6" s="118" t="s">
        <v>150</v>
      </c>
      <c r="R6" s="119" t="s">
        <v>151</v>
      </c>
      <c r="S6" s="8" t="s">
        <v>152</v>
      </c>
      <c r="T6" s="9" t="s">
        <v>153</v>
      </c>
      <c r="U6" s="8" t="s">
        <v>152</v>
      </c>
      <c r="V6" s="9" t="s">
        <v>153</v>
      </c>
      <c r="W6" s="161"/>
    </row>
    <row r="7" spans="1:23" ht="13.8" thickBot="1" x14ac:dyDescent="0.3">
      <c r="A7" s="161"/>
      <c r="B7" s="7" t="s">
        <v>154</v>
      </c>
      <c r="C7" s="175"/>
      <c r="D7" s="176"/>
      <c r="E7" s="71" t="s">
        <v>155</v>
      </c>
      <c r="F7" s="92" t="s">
        <v>156</v>
      </c>
      <c r="G7" s="175"/>
      <c r="H7" s="176"/>
      <c r="I7" s="120" t="s">
        <v>155</v>
      </c>
      <c r="J7" s="121" t="s">
        <v>156</v>
      </c>
      <c r="K7" s="177"/>
      <c r="L7" s="178"/>
      <c r="M7" s="151" t="s">
        <v>155</v>
      </c>
      <c r="N7" s="151" t="s">
        <v>156</v>
      </c>
      <c r="O7" s="179"/>
      <c r="P7" s="176"/>
      <c r="Q7" s="120" t="s">
        <v>155</v>
      </c>
      <c r="R7" s="121" t="s">
        <v>156</v>
      </c>
      <c r="S7" s="10" t="s">
        <v>157</v>
      </c>
      <c r="T7" s="11" t="s">
        <v>157</v>
      </c>
      <c r="U7" s="8" t="s">
        <v>155</v>
      </c>
      <c r="V7" s="9" t="s">
        <v>156</v>
      </c>
      <c r="W7" s="161"/>
    </row>
    <row r="8" spans="1:23" ht="13.8" thickBot="1" x14ac:dyDescent="0.3">
      <c r="A8" s="161"/>
      <c r="B8" s="180"/>
      <c r="C8" s="181" t="s">
        <v>158</v>
      </c>
      <c r="D8" s="182" t="s">
        <v>158</v>
      </c>
      <c r="E8" s="8" t="s">
        <v>158</v>
      </c>
      <c r="F8" s="9" t="s">
        <v>158</v>
      </c>
      <c r="G8" s="181" t="s">
        <v>158</v>
      </c>
      <c r="H8" s="182" t="s">
        <v>158</v>
      </c>
      <c r="I8" s="122" t="s">
        <v>158</v>
      </c>
      <c r="J8" s="123" t="s">
        <v>158</v>
      </c>
      <c r="K8" s="183" t="s">
        <v>158</v>
      </c>
      <c r="L8" s="184" t="s">
        <v>158</v>
      </c>
      <c r="M8" s="153" t="s">
        <v>158</v>
      </c>
      <c r="N8" s="153" t="s">
        <v>158</v>
      </c>
      <c r="O8" s="181" t="s">
        <v>158</v>
      </c>
      <c r="P8" s="182" t="s">
        <v>158</v>
      </c>
      <c r="Q8" s="122" t="s">
        <v>158</v>
      </c>
      <c r="R8" s="123" t="s">
        <v>158</v>
      </c>
      <c r="S8" s="13" t="s">
        <v>158</v>
      </c>
      <c r="T8" s="13" t="s">
        <v>158</v>
      </c>
      <c r="U8" s="13" t="s">
        <v>158</v>
      </c>
      <c r="V8" s="12" t="s">
        <v>158</v>
      </c>
      <c r="W8" s="161"/>
    </row>
    <row r="9" spans="1:23" ht="14.4" x14ac:dyDescent="0.3">
      <c r="A9" s="161">
        <v>1</v>
      </c>
      <c r="B9" s="90">
        <v>45415</v>
      </c>
      <c r="C9" s="91">
        <v>0</v>
      </c>
      <c r="D9" s="91">
        <v>0</v>
      </c>
      <c r="E9" s="47">
        <f t="shared" ref="E9:F24" si="0">+C9</f>
        <v>0</v>
      </c>
      <c r="F9" s="47">
        <f t="shared" si="0"/>
        <v>0</v>
      </c>
      <c r="G9" s="124">
        <v>0</v>
      </c>
      <c r="H9" s="125">
        <v>0</v>
      </c>
      <c r="I9" s="47">
        <f t="shared" ref="I9:J24" si="1">+G9</f>
        <v>0</v>
      </c>
      <c r="J9" s="47">
        <f t="shared" si="1"/>
        <v>0</v>
      </c>
      <c r="K9" s="73">
        <v>14214</v>
      </c>
      <c r="L9" s="73">
        <v>7343</v>
      </c>
      <c r="M9" s="154">
        <f>K9</f>
        <v>14214</v>
      </c>
      <c r="N9" s="155">
        <f>L9</f>
        <v>7343</v>
      </c>
      <c r="O9" s="146"/>
      <c r="P9" s="14"/>
      <c r="Q9" s="14"/>
      <c r="R9" s="14"/>
      <c r="S9" s="14">
        <f t="shared" ref="S9:S27" si="2">C9+D9</f>
        <v>0</v>
      </c>
      <c r="T9" s="14">
        <f>K9+L9</f>
        <v>21557</v>
      </c>
      <c r="U9" s="14">
        <f t="shared" ref="U9:U60" si="3">E9+F9</f>
        <v>0</v>
      </c>
      <c r="V9" s="14">
        <f>M9+N9</f>
        <v>21557</v>
      </c>
      <c r="W9" s="161"/>
    </row>
    <row r="10" spans="1:23" ht="14.4" x14ac:dyDescent="0.3">
      <c r="A10" s="161">
        <f>A9+1</f>
        <v>2</v>
      </c>
      <c r="B10" s="90">
        <f t="shared" ref="B10:B60" si="4">B9+7</f>
        <v>45422</v>
      </c>
      <c r="C10" s="91">
        <v>0</v>
      </c>
      <c r="D10" s="91">
        <v>0</v>
      </c>
      <c r="E10" s="48">
        <f t="shared" si="0"/>
        <v>0</v>
      </c>
      <c r="F10" s="48">
        <f t="shared" si="0"/>
        <v>0</v>
      </c>
      <c r="G10" s="126">
        <v>0</v>
      </c>
      <c r="H10" s="127">
        <v>0</v>
      </c>
      <c r="I10" s="48">
        <f t="shared" si="1"/>
        <v>0</v>
      </c>
      <c r="J10" s="48">
        <f t="shared" si="1"/>
        <v>0</v>
      </c>
      <c r="K10" s="73">
        <v>21635</v>
      </c>
      <c r="L10" s="73">
        <v>9756</v>
      </c>
      <c r="M10" s="156">
        <f t="shared" ref="M10:N25" si="5">M9+K10</f>
        <v>35849</v>
      </c>
      <c r="N10" s="155">
        <f t="shared" si="5"/>
        <v>17099</v>
      </c>
      <c r="O10" s="36"/>
      <c r="P10" s="15"/>
      <c r="Q10" s="15"/>
      <c r="R10" s="15"/>
      <c r="S10" s="15">
        <f t="shared" si="2"/>
        <v>0</v>
      </c>
      <c r="T10" s="15">
        <f t="shared" ref="T10:T60" si="6">K10+L10</f>
        <v>31391</v>
      </c>
      <c r="U10" s="15">
        <f t="shared" si="3"/>
        <v>0</v>
      </c>
      <c r="V10" s="15">
        <f t="shared" ref="V10:V60" si="7">M10+N10</f>
        <v>52948</v>
      </c>
      <c r="W10" s="161"/>
    </row>
    <row r="11" spans="1:23" ht="14.4" x14ac:dyDescent="0.3">
      <c r="A11" s="161">
        <f t="shared" ref="A11:A61" si="8">A10+1</f>
        <v>3</v>
      </c>
      <c r="B11" s="90">
        <f t="shared" si="4"/>
        <v>45429</v>
      </c>
      <c r="C11" s="91">
        <v>0</v>
      </c>
      <c r="D11" s="91">
        <v>0</v>
      </c>
      <c r="E11" s="48">
        <f t="shared" si="0"/>
        <v>0</v>
      </c>
      <c r="F11" s="48">
        <f t="shared" si="0"/>
        <v>0</v>
      </c>
      <c r="G11" s="126">
        <v>0</v>
      </c>
      <c r="H11" s="127">
        <v>0</v>
      </c>
      <c r="I11" s="48">
        <f t="shared" si="1"/>
        <v>0</v>
      </c>
      <c r="J11" s="48">
        <f t="shared" si="1"/>
        <v>0</v>
      </c>
      <c r="K11" s="73">
        <v>22745</v>
      </c>
      <c r="L11" s="73">
        <v>12433</v>
      </c>
      <c r="M11" s="156">
        <f t="shared" si="5"/>
        <v>58594</v>
      </c>
      <c r="N11" s="155">
        <f t="shared" si="5"/>
        <v>29532</v>
      </c>
      <c r="O11" s="36"/>
      <c r="P11" s="15"/>
      <c r="Q11" s="15"/>
      <c r="R11" s="15"/>
      <c r="S11" s="15">
        <f t="shared" si="2"/>
        <v>0</v>
      </c>
      <c r="T11" s="15">
        <f t="shared" si="6"/>
        <v>35178</v>
      </c>
      <c r="U11" s="15">
        <f t="shared" si="3"/>
        <v>0</v>
      </c>
      <c r="V11" s="15">
        <f t="shared" si="7"/>
        <v>88126</v>
      </c>
      <c r="W11" s="161"/>
    </row>
    <row r="12" spans="1:23" ht="14.4" x14ac:dyDescent="0.3">
      <c r="A12" s="161">
        <f t="shared" si="8"/>
        <v>4</v>
      </c>
      <c r="B12" s="90">
        <f t="shared" si="4"/>
        <v>45436</v>
      </c>
      <c r="C12" s="91">
        <v>0</v>
      </c>
      <c r="D12" s="91">
        <v>0</v>
      </c>
      <c r="E12" s="48">
        <f t="shared" si="0"/>
        <v>0</v>
      </c>
      <c r="F12" s="48">
        <f t="shared" si="0"/>
        <v>0</v>
      </c>
      <c r="G12" s="126">
        <v>0</v>
      </c>
      <c r="H12" s="127">
        <v>0</v>
      </c>
      <c r="I12" s="48">
        <f t="shared" si="1"/>
        <v>0</v>
      </c>
      <c r="J12" s="48">
        <f t="shared" si="1"/>
        <v>0</v>
      </c>
      <c r="K12" s="73">
        <v>22300</v>
      </c>
      <c r="L12" s="73">
        <v>15500</v>
      </c>
      <c r="M12" s="156">
        <f t="shared" si="5"/>
        <v>80894</v>
      </c>
      <c r="N12" s="155">
        <f t="shared" si="5"/>
        <v>45032</v>
      </c>
      <c r="O12" s="36"/>
      <c r="P12" s="15"/>
      <c r="Q12" s="15"/>
      <c r="R12" s="15"/>
      <c r="S12" s="15">
        <f t="shared" si="2"/>
        <v>0</v>
      </c>
      <c r="T12" s="15">
        <f t="shared" si="6"/>
        <v>37800</v>
      </c>
      <c r="U12" s="15">
        <f t="shared" si="3"/>
        <v>0</v>
      </c>
      <c r="V12" s="15">
        <f t="shared" si="7"/>
        <v>125926</v>
      </c>
      <c r="W12" s="161"/>
    </row>
    <row r="13" spans="1:23" ht="14.4" x14ac:dyDescent="0.3">
      <c r="A13" s="161">
        <f t="shared" si="8"/>
        <v>5</v>
      </c>
      <c r="B13" s="90">
        <f t="shared" si="4"/>
        <v>45443</v>
      </c>
      <c r="C13" s="91">
        <v>0</v>
      </c>
      <c r="D13" s="91">
        <v>0</v>
      </c>
      <c r="E13" s="48">
        <f t="shared" si="0"/>
        <v>0</v>
      </c>
      <c r="F13" s="48">
        <f t="shared" si="0"/>
        <v>0</v>
      </c>
      <c r="G13" s="126">
        <v>0</v>
      </c>
      <c r="H13" s="127">
        <v>0</v>
      </c>
      <c r="I13" s="48">
        <f t="shared" si="1"/>
        <v>0</v>
      </c>
      <c r="J13" s="48">
        <f t="shared" si="1"/>
        <v>0</v>
      </c>
      <c r="K13" s="73">
        <v>28545</v>
      </c>
      <c r="L13" s="73">
        <v>17244</v>
      </c>
      <c r="M13" s="156">
        <f t="shared" si="5"/>
        <v>109439</v>
      </c>
      <c r="N13" s="155">
        <f t="shared" si="5"/>
        <v>62276</v>
      </c>
      <c r="O13" s="36"/>
      <c r="P13" s="15"/>
      <c r="Q13" s="15"/>
      <c r="R13" s="15"/>
      <c r="S13" s="15">
        <f t="shared" si="2"/>
        <v>0</v>
      </c>
      <c r="T13" s="15">
        <f t="shared" si="6"/>
        <v>45789</v>
      </c>
      <c r="U13" s="15">
        <f t="shared" si="3"/>
        <v>0</v>
      </c>
      <c r="V13" s="15">
        <f t="shared" si="7"/>
        <v>171715</v>
      </c>
      <c r="W13" s="161"/>
    </row>
    <row r="14" spans="1:23" ht="14.4" x14ac:dyDescent="0.3">
      <c r="A14" s="161">
        <f t="shared" si="8"/>
        <v>6</v>
      </c>
      <c r="B14" s="90">
        <f t="shared" si="4"/>
        <v>45450</v>
      </c>
      <c r="C14" s="91">
        <v>0</v>
      </c>
      <c r="D14" s="91">
        <v>0</v>
      </c>
      <c r="E14" s="48">
        <f t="shared" si="0"/>
        <v>0</v>
      </c>
      <c r="F14" s="48">
        <f t="shared" si="0"/>
        <v>0</v>
      </c>
      <c r="G14" s="126">
        <v>0</v>
      </c>
      <c r="H14" s="127">
        <v>0</v>
      </c>
      <c r="I14" s="48">
        <f t="shared" si="1"/>
        <v>0</v>
      </c>
      <c r="J14" s="48">
        <f t="shared" si="1"/>
        <v>0</v>
      </c>
      <c r="K14" s="73">
        <v>26777</v>
      </c>
      <c r="L14" s="73">
        <v>14467</v>
      </c>
      <c r="M14" s="156">
        <f t="shared" si="5"/>
        <v>136216</v>
      </c>
      <c r="N14" s="155">
        <f t="shared" si="5"/>
        <v>76743</v>
      </c>
      <c r="O14" s="36"/>
      <c r="P14" s="15"/>
      <c r="Q14" s="15"/>
      <c r="R14" s="15"/>
      <c r="S14" s="15">
        <f t="shared" si="2"/>
        <v>0</v>
      </c>
      <c r="T14" s="15">
        <f t="shared" si="6"/>
        <v>41244</v>
      </c>
      <c r="U14" s="15">
        <f t="shared" si="3"/>
        <v>0</v>
      </c>
      <c r="V14" s="15">
        <f t="shared" si="7"/>
        <v>212959</v>
      </c>
      <c r="W14" s="161"/>
    </row>
    <row r="15" spans="1:23" ht="14.4" x14ac:dyDescent="0.3">
      <c r="A15" s="161">
        <f t="shared" si="8"/>
        <v>7</v>
      </c>
      <c r="B15" s="90">
        <f t="shared" si="4"/>
        <v>45457</v>
      </c>
      <c r="C15" s="91">
        <v>0</v>
      </c>
      <c r="D15" s="91">
        <v>0</v>
      </c>
      <c r="E15" s="48">
        <f t="shared" si="0"/>
        <v>0</v>
      </c>
      <c r="F15" s="48">
        <f t="shared" si="0"/>
        <v>0</v>
      </c>
      <c r="G15" s="126">
        <v>0</v>
      </c>
      <c r="H15" s="127">
        <v>0</v>
      </c>
      <c r="I15" s="48">
        <f t="shared" si="1"/>
        <v>0</v>
      </c>
      <c r="J15" s="48">
        <f t="shared" si="1"/>
        <v>0</v>
      </c>
      <c r="K15" s="73">
        <v>23253</v>
      </c>
      <c r="L15" s="73">
        <v>17559</v>
      </c>
      <c r="M15" s="156">
        <f t="shared" si="5"/>
        <v>159469</v>
      </c>
      <c r="N15" s="155">
        <f t="shared" si="5"/>
        <v>94302</v>
      </c>
      <c r="O15" s="36"/>
      <c r="P15" s="15"/>
      <c r="Q15" s="15"/>
      <c r="R15" s="15"/>
      <c r="S15" s="15">
        <f t="shared" si="2"/>
        <v>0</v>
      </c>
      <c r="T15" s="15">
        <f t="shared" si="6"/>
        <v>40812</v>
      </c>
      <c r="U15" s="15">
        <f t="shared" si="3"/>
        <v>0</v>
      </c>
      <c r="V15" s="15">
        <f t="shared" si="7"/>
        <v>253771</v>
      </c>
      <c r="W15" s="161"/>
    </row>
    <row r="16" spans="1:23" ht="14.4" x14ac:dyDescent="0.3">
      <c r="A16" s="161">
        <f t="shared" si="8"/>
        <v>8</v>
      </c>
      <c r="B16" s="90">
        <f t="shared" si="4"/>
        <v>45464</v>
      </c>
      <c r="C16" s="91">
        <v>0</v>
      </c>
      <c r="D16" s="91">
        <v>0</v>
      </c>
      <c r="E16" s="48">
        <f t="shared" si="0"/>
        <v>0</v>
      </c>
      <c r="F16" s="48">
        <f t="shared" si="0"/>
        <v>0</v>
      </c>
      <c r="G16" s="126">
        <v>0</v>
      </c>
      <c r="H16" s="127">
        <v>0</v>
      </c>
      <c r="I16" s="48">
        <f t="shared" si="1"/>
        <v>0</v>
      </c>
      <c r="J16" s="48">
        <f t="shared" si="1"/>
        <v>0</v>
      </c>
      <c r="K16" s="73">
        <v>25449</v>
      </c>
      <c r="L16" s="73">
        <v>14173</v>
      </c>
      <c r="M16" s="156">
        <f t="shared" si="5"/>
        <v>184918</v>
      </c>
      <c r="N16" s="155">
        <f t="shared" si="5"/>
        <v>108475</v>
      </c>
      <c r="O16" s="36"/>
      <c r="P16" s="15"/>
      <c r="Q16" s="15"/>
      <c r="R16" s="15"/>
      <c r="S16" s="15">
        <f t="shared" si="2"/>
        <v>0</v>
      </c>
      <c r="T16" s="15">
        <f t="shared" si="6"/>
        <v>39622</v>
      </c>
      <c r="U16" s="15">
        <f t="shared" si="3"/>
        <v>0</v>
      </c>
      <c r="V16" s="15">
        <f t="shared" si="7"/>
        <v>293393</v>
      </c>
      <c r="W16" s="161"/>
    </row>
    <row r="17" spans="1:24" ht="14.4" x14ac:dyDescent="0.3">
      <c r="A17" s="161">
        <f t="shared" si="8"/>
        <v>9</v>
      </c>
      <c r="B17" s="90">
        <f t="shared" si="4"/>
        <v>45471</v>
      </c>
      <c r="C17" s="91">
        <v>0</v>
      </c>
      <c r="D17" s="91">
        <v>0</v>
      </c>
      <c r="E17" s="48">
        <f t="shared" si="0"/>
        <v>0</v>
      </c>
      <c r="F17" s="48">
        <f t="shared" si="0"/>
        <v>0</v>
      </c>
      <c r="G17" s="126">
        <v>0</v>
      </c>
      <c r="H17" s="127">
        <v>0</v>
      </c>
      <c r="I17" s="48">
        <f t="shared" si="1"/>
        <v>0</v>
      </c>
      <c r="J17" s="48">
        <f t="shared" si="1"/>
        <v>0</v>
      </c>
      <c r="K17" s="73">
        <v>29977</v>
      </c>
      <c r="L17" s="73">
        <v>15529</v>
      </c>
      <c r="M17" s="156">
        <f t="shared" si="5"/>
        <v>214895</v>
      </c>
      <c r="N17" s="155">
        <f t="shared" si="5"/>
        <v>124004</v>
      </c>
      <c r="O17" s="185"/>
      <c r="P17" s="186"/>
      <c r="Q17" s="15">
        <f>O17</f>
        <v>0</v>
      </c>
      <c r="R17" s="15">
        <f>P17</f>
        <v>0</v>
      </c>
      <c r="S17" s="15">
        <f t="shared" si="2"/>
        <v>0</v>
      </c>
      <c r="T17" s="15">
        <f t="shared" si="6"/>
        <v>45506</v>
      </c>
      <c r="U17" s="15">
        <f t="shared" si="3"/>
        <v>0</v>
      </c>
      <c r="V17" s="15">
        <f t="shared" si="7"/>
        <v>338899</v>
      </c>
      <c r="W17" s="161"/>
      <c r="X17" s="161"/>
    </row>
    <row r="18" spans="1:24" ht="14.4" x14ac:dyDescent="0.3">
      <c r="A18" s="161">
        <f t="shared" si="8"/>
        <v>10</v>
      </c>
      <c r="B18" s="90">
        <f t="shared" si="4"/>
        <v>45478</v>
      </c>
      <c r="C18" s="91">
        <v>0</v>
      </c>
      <c r="D18" s="91">
        <v>0</v>
      </c>
      <c r="E18" s="48">
        <f t="shared" si="0"/>
        <v>0</v>
      </c>
      <c r="F18" s="48">
        <f t="shared" si="0"/>
        <v>0</v>
      </c>
      <c r="G18" s="126">
        <v>0</v>
      </c>
      <c r="H18" s="127">
        <v>0</v>
      </c>
      <c r="I18" s="48">
        <f t="shared" si="1"/>
        <v>0</v>
      </c>
      <c r="J18" s="48">
        <f t="shared" si="1"/>
        <v>0</v>
      </c>
      <c r="K18" s="73">
        <v>27417</v>
      </c>
      <c r="L18" s="73">
        <v>12159</v>
      </c>
      <c r="M18" s="156">
        <f t="shared" si="5"/>
        <v>242312</v>
      </c>
      <c r="N18" s="155">
        <f t="shared" si="5"/>
        <v>136163</v>
      </c>
      <c r="O18" s="185"/>
      <c r="P18" s="186"/>
      <c r="Q18" s="15">
        <f>Q17+O18</f>
        <v>0</v>
      </c>
      <c r="R18" s="15">
        <f>R17+P18</f>
        <v>0</v>
      </c>
      <c r="S18" s="15">
        <f t="shared" si="2"/>
        <v>0</v>
      </c>
      <c r="T18" s="15">
        <f t="shared" si="6"/>
        <v>39576</v>
      </c>
      <c r="U18" s="15">
        <f t="shared" si="3"/>
        <v>0</v>
      </c>
      <c r="V18" s="15">
        <f t="shared" si="7"/>
        <v>378475</v>
      </c>
      <c r="W18" s="161"/>
      <c r="X18" s="161"/>
    </row>
    <row r="19" spans="1:24" ht="14.4" x14ac:dyDescent="0.3">
      <c r="A19" s="161">
        <f t="shared" si="8"/>
        <v>11</v>
      </c>
      <c r="B19" s="90">
        <f t="shared" si="4"/>
        <v>45485</v>
      </c>
      <c r="C19" s="91">
        <v>0</v>
      </c>
      <c r="D19" s="91">
        <v>0</v>
      </c>
      <c r="E19" s="48">
        <f t="shared" si="0"/>
        <v>0</v>
      </c>
      <c r="F19" s="48">
        <f t="shared" si="0"/>
        <v>0</v>
      </c>
      <c r="G19" s="126">
        <v>0</v>
      </c>
      <c r="H19" s="127">
        <v>0</v>
      </c>
      <c r="I19" s="48">
        <f t="shared" si="1"/>
        <v>0</v>
      </c>
      <c r="J19" s="48">
        <f t="shared" si="1"/>
        <v>0</v>
      </c>
      <c r="K19" s="73">
        <v>40643</v>
      </c>
      <c r="L19" s="73">
        <v>15252</v>
      </c>
      <c r="M19" s="156">
        <f t="shared" si="5"/>
        <v>282955</v>
      </c>
      <c r="N19" s="155">
        <f t="shared" si="5"/>
        <v>151415</v>
      </c>
      <c r="O19" s="185"/>
      <c r="P19" s="186"/>
      <c r="Q19" s="15">
        <f t="shared" ref="Q19:R29" si="9">Q18+O19</f>
        <v>0</v>
      </c>
      <c r="R19" s="15">
        <f t="shared" si="9"/>
        <v>0</v>
      </c>
      <c r="S19" s="15">
        <f t="shared" si="2"/>
        <v>0</v>
      </c>
      <c r="T19" s="15">
        <f t="shared" si="6"/>
        <v>55895</v>
      </c>
      <c r="U19" s="15">
        <f t="shared" si="3"/>
        <v>0</v>
      </c>
      <c r="V19" s="15">
        <f t="shared" si="7"/>
        <v>434370</v>
      </c>
      <c r="W19" s="161"/>
      <c r="X19" s="161"/>
    </row>
    <row r="20" spans="1:24" ht="14.4" x14ac:dyDescent="0.3">
      <c r="A20" s="161">
        <f t="shared" si="8"/>
        <v>12</v>
      </c>
      <c r="B20" s="90">
        <f t="shared" si="4"/>
        <v>45492</v>
      </c>
      <c r="C20" s="91">
        <v>0</v>
      </c>
      <c r="D20" s="91">
        <v>0</v>
      </c>
      <c r="E20" s="48">
        <f t="shared" si="0"/>
        <v>0</v>
      </c>
      <c r="F20" s="48">
        <f t="shared" si="0"/>
        <v>0</v>
      </c>
      <c r="G20" s="126">
        <v>0</v>
      </c>
      <c r="H20" s="127">
        <v>0</v>
      </c>
      <c r="I20" s="48">
        <f t="shared" si="1"/>
        <v>0</v>
      </c>
      <c r="J20" s="48">
        <f t="shared" si="1"/>
        <v>0</v>
      </c>
      <c r="K20" s="73">
        <v>30927</v>
      </c>
      <c r="L20" s="73">
        <v>15011</v>
      </c>
      <c r="M20" s="156">
        <f t="shared" si="5"/>
        <v>313882</v>
      </c>
      <c r="N20" s="155">
        <f t="shared" si="5"/>
        <v>166426</v>
      </c>
      <c r="O20" s="185"/>
      <c r="P20" s="186"/>
      <c r="Q20" s="15">
        <f t="shared" si="9"/>
        <v>0</v>
      </c>
      <c r="R20" s="15">
        <f t="shared" si="9"/>
        <v>0</v>
      </c>
      <c r="S20" s="15">
        <f t="shared" si="2"/>
        <v>0</v>
      </c>
      <c r="T20" s="15">
        <f t="shared" si="6"/>
        <v>45938</v>
      </c>
      <c r="U20" s="15">
        <f t="shared" si="3"/>
        <v>0</v>
      </c>
      <c r="V20" s="15">
        <f t="shared" si="7"/>
        <v>480308</v>
      </c>
      <c r="W20" s="161"/>
      <c r="X20" s="161"/>
    </row>
    <row r="21" spans="1:24" ht="14.4" x14ac:dyDescent="0.3">
      <c r="A21" s="161">
        <f t="shared" si="8"/>
        <v>13</v>
      </c>
      <c r="B21" s="90">
        <f t="shared" si="4"/>
        <v>45499</v>
      </c>
      <c r="C21" s="91">
        <v>0</v>
      </c>
      <c r="D21" s="91">
        <v>0</v>
      </c>
      <c r="E21" s="48">
        <f t="shared" si="0"/>
        <v>0</v>
      </c>
      <c r="F21" s="48">
        <f t="shared" si="0"/>
        <v>0</v>
      </c>
      <c r="G21" s="126">
        <v>0</v>
      </c>
      <c r="H21" s="127">
        <v>0</v>
      </c>
      <c r="I21" s="48">
        <f t="shared" si="1"/>
        <v>0</v>
      </c>
      <c r="J21" s="48">
        <f t="shared" si="1"/>
        <v>0</v>
      </c>
      <c r="K21" s="73">
        <v>43093</v>
      </c>
      <c r="L21" s="73">
        <v>15063</v>
      </c>
      <c r="M21" s="156">
        <f t="shared" si="5"/>
        <v>356975</v>
      </c>
      <c r="N21" s="155">
        <f t="shared" si="5"/>
        <v>181489</v>
      </c>
      <c r="O21" s="185"/>
      <c r="P21" s="186"/>
      <c r="Q21" s="15">
        <f t="shared" si="9"/>
        <v>0</v>
      </c>
      <c r="R21" s="15">
        <f t="shared" si="9"/>
        <v>0</v>
      </c>
      <c r="S21" s="15">
        <f t="shared" si="2"/>
        <v>0</v>
      </c>
      <c r="T21" s="15">
        <f t="shared" si="6"/>
        <v>58156</v>
      </c>
      <c r="U21" s="15">
        <f t="shared" si="3"/>
        <v>0</v>
      </c>
      <c r="V21" s="15">
        <f t="shared" si="7"/>
        <v>538464</v>
      </c>
      <c r="W21" s="161"/>
      <c r="X21" s="161"/>
    </row>
    <row r="22" spans="1:24" ht="14.4" x14ac:dyDescent="0.3">
      <c r="A22" s="161">
        <f t="shared" si="8"/>
        <v>14</v>
      </c>
      <c r="B22" s="90">
        <f t="shared" si="4"/>
        <v>45506</v>
      </c>
      <c r="C22" s="91">
        <v>0</v>
      </c>
      <c r="D22" s="91">
        <v>0</v>
      </c>
      <c r="E22" s="48">
        <f t="shared" si="0"/>
        <v>0</v>
      </c>
      <c r="F22" s="48">
        <f t="shared" si="0"/>
        <v>0</v>
      </c>
      <c r="G22" s="126">
        <v>0</v>
      </c>
      <c r="H22" s="127">
        <v>0</v>
      </c>
      <c r="I22" s="48">
        <f t="shared" si="1"/>
        <v>0</v>
      </c>
      <c r="J22" s="48">
        <f t="shared" si="1"/>
        <v>0</v>
      </c>
      <c r="K22" s="73">
        <v>26820</v>
      </c>
      <c r="L22" s="73">
        <v>16080</v>
      </c>
      <c r="M22" s="156">
        <f t="shared" si="5"/>
        <v>383795</v>
      </c>
      <c r="N22" s="155">
        <f t="shared" si="5"/>
        <v>197569</v>
      </c>
      <c r="O22" s="185"/>
      <c r="P22" s="186"/>
      <c r="Q22" s="15">
        <f t="shared" si="9"/>
        <v>0</v>
      </c>
      <c r="R22" s="15">
        <f t="shared" si="9"/>
        <v>0</v>
      </c>
      <c r="S22" s="15">
        <f t="shared" si="2"/>
        <v>0</v>
      </c>
      <c r="T22" s="15">
        <f t="shared" si="6"/>
        <v>42900</v>
      </c>
      <c r="U22" s="15">
        <f t="shared" si="3"/>
        <v>0</v>
      </c>
      <c r="V22" s="15">
        <f t="shared" si="7"/>
        <v>581364</v>
      </c>
      <c r="W22" s="161"/>
      <c r="X22" s="161"/>
    </row>
    <row r="23" spans="1:24" ht="14.4" x14ac:dyDescent="0.3">
      <c r="A23" s="161">
        <f t="shared" si="8"/>
        <v>15</v>
      </c>
      <c r="B23" s="90">
        <f t="shared" si="4"/>
        <v>45513</v>
      </c>
      <c r="C23" s="91">
        <v>0</v>
      </c>
      <c r="D23" s="91">
        <v>0</v>
      </c>
      <c r="E23" s="48">
        <f t="shared" si="0"/>
        <v>0</v>
      </c>
      <c r="F23" s="48">
        <f t="shared" si="0"/>
        <v>0</v>
      </c>
      <c r="G23" s="126">
        <v>0</v>
      </c>
      <c r="H23" s="127">
        <v>0</v>
      </c>
      <c r="I23" s="48">
        <f t="shared" si="1"/>
        <v>0</v>
      </c>
      <c r="J23" s="48">
        <f t="shared" si="1"/>
        <v>0</v>
      </c>
      <c r="K23" s="73">
        <v>24599</v>
      </c>
      <c r="L23" s="73">
        <v>14173</v>
      </c>
      <c r="M23" s="156">
        <f t="shared" si="5"/>
        <v>408394</v>
      </c>
      <c r="N23" s="155">
        <f t="shared" si="5"/>
        <v>211742</v>
      </c>
      <c r="O23" s="185"/>
      <c r="P23" s="186"/>
      <c r="Q23" s="15">
        <f t="shared" si="9"/>
        <v>0</v>
      </c>
      <c r="R23" s="15">
        <f t="shared" si="9"/>
        <v>0</v>
      </c>
      <c r="S23" s="15">
        <f t="shared" si="2"/>
        <v>0</v>
      </c>
      <c r="T23" s="15">
        <f t="shared" si="6"/>
        <v>38772</v>
      </c>
      <c r="U23" s="15">
        <f t="shared" si="3"/>
        <v>0</v>
      </c>
      <c r="V23" s="15">
        <f t="shared" si="7"/>
        <v>620136</v>
      </c>
      <c r="W23" s="161"/>
      <c r="X23" s="161"/>
    </row>
    <row r="24" spans="1:24" ht="14.4" x14ac:dyDescent="0.3">
      <c r="A24" s="161">
        <f t="shared" si="8"/>
        <v>16</v>
      </c>
      <c r="B24" s="90">
        <f t="shared" si="4"/>
        <v>45520</v>
      </c>
      <c r="C24" s="91">
        <v>0</v>
      </c>
      <c r="D24" s="91">
        <v>0</v>
      </c>
      <c r="E24" s="48">
        <f t="shared" si="0"/>
        <v>0</v>
      </c>
      <c r="F24" s="48">
        <f t="shared" si="0"/>
        <v>0</v>
      </c>
      <c r="G24" s="126">
        <v>0</v>
      </c>
      <c r="H24" s="127">
        <v>0</v>
      </c>
      <c r="I24" s="48">
        <f t="shared" si="1"/>
        <v>0</v>
      </c>
      <c r="J24" s="48">
        <f t="shared" si="1"/>
        <v>0</v>
      </c>
      <c r="K24" s="73">
        <v>34260</v>
      </c>
      <c r="L24" s="73">
        <v>18988</v>
      </c>
      <c r="M24" s="156">
        <f t="shared" si="5"/>
        <v>442654</v>
      </c>
      <c r="N24" s="155">
        <f t="shared" si="5"/>
        <v>230730</v>
      </c>
      <c r="O24" s="185"/>
      <c r="P24" s="186"/>
      <c r="Q24" s="15">
        <f t="shared" si="9"/>
        <v>0</v>
      </c>
      <c r="R24" s="15">
        <f t="shared" si="9"/>
        <v>0</v>
      </c>
      <c r="S24" s="15">
        <f t="shared" si="2"/>
        <v>0</v>
      </c>
      <c r="T24" s="15">
        <f t="shared" si="6"/>
        <v>53248</v>
      </c>
      <c r="U24" s="15">
        <f t="shared" si="3"/>
        <v>0</v>
      </c>
      <c r="V24" s="15">
        <f t="shared" si="7"/>
        <v>673384</v>
      </c>
      <c r="W24" s="161"/>
      <c r="X24" s="161"/>
    </row>
    <row r="25" spans="1:24" ht="14.4" x14ac:dyDescent="0.3">
      <c r="A25" s="161">
        <f t="shared" si="8"/>
        <v>17</v>
      </c>
      <c r="B25" s="90">
        <f t="shared" si="4"/>
        <v>45527</v>
      </c>
      <c r="C25" s="91">
        <v>0</v>
      </c>
      <c r="D25" s="91">
        <v>0</v>
      </c>
      <c r="E25" s="48">
        <f t="shared" ref="E25:F40" si="10">+C25</f>
        <v>0</v>
      </c>
      <c r="F25" s="48">
        <f t="shared" si="10"/>
        <v>0</v>
      </c>
      <c r="G25" s="126">
        <v>0</v>
      </c>
      <c r="H25" s="127">
        <v>0</v>
      </c>
      <c r="I25" s="48">
        <f t="shared" ref="I25:J40" si="11">+G25</f>
        <v>0</v>
      </c>
      <c r="J25" s="48">
        <f t="shared" si="11"/>
        <v>0</v>
      </c>
      <c r="K25" s="73">
        <v>31463</v>
      </c>
      <c r="L25" s="73">
        <v>13385</v>
      </c>
      <c r="M25" s="156">
        <f t="shared" si="5"/>
        <v>474117</v>
      </c>
      <c r="N25" s="155">
        <f t="shared" si="5"/>
        <v>244115</v>
      </c>
      <c r="O25" s="185"/>
      <c r="P25" s="186"/>
      <c r="Q25" s="15">
        <f t="shared" si="9"/>
        <v>0</v>
      </c>
      <c r="R25" s="15">
        <f t="shared" si="9"/>
        <v>0</v>
      </c>
      <c r="S25" s="15">
        <f t="shared" si="2"/>
        <v>0</v>
      </c>
      <c r="T25" s="15">
        <f t="shared" si="6"/>
        <v>44848</v>
      </c>
      <c r="U25" s="15">
        <f t="shared" si="3"/>
        <v>0</v>
      </c>
      <c r="V25" s="15">
        <f t="shared" si="7"/>
        <v>718232</v>
      </c>
      <c r="W25" s="161"/>
      <c r="X25" s="161"/>
    </row>
    <row r="26" spans="1:24" ht="14.4" x14ac:dyDescent="0.3">
      <c r="A26" s="161">
        <f t="shared" si="8"/>
        <v>18</v>
      </c>
      <c r="B26" s="90">
        <f t="shared" si="4"/>
        <v>45534</v>
      </c>
      <c r="C26" s="91">
        <v>0</v>
      </c>
      <c r="D26" s="91">
        <v>0</v>
      </c>
      <c r="E26" s="48">
        <f t="shared" si="10"/>
        <v>0</v>
      </c>
      <c r="F26" s="48">
        <f t="shared" si="10"/>
        <v>0</v>
      </c>
      <c r="G26" s="126">
        <v>0</v>
      </c>
      <c r="H26" s="127">
        <v>0</v>
      </c>
      <c r="I26" s="48">
        <f t="shared" si="11"/>
        <v>0</v>
      </c>
      <c r="J26" s="48">
        <f t="shared" si="11"/>
        <v>0</v>
      </c>
      <c r="K26" s="73">
        <v>35968</v>
      </c>
      <c r="L26" s="73">
        <v>17209</v>
      </c>
      <c r="M26" s="156">
        <f t="shared" ref="M26:N41" si="12">M25+K26</f>
        <v>510085</v>
      </c>
      <c r="N26" s="155">
        <f t="shared" si="12"/>
        <v>261324</v>
      </c>
      <c r="O26" s="185"/>
      <c r="P26" s="186"/>
      <c r="Q26" s="15">
        <f t="shared" si="9"/>
        <v>0</v>
      </c>
      <c r="R26" s="15">
        <f t="shared" si="9"/>
        <v>0</v>
      </c>
      <c r="S26" s="15">
        <f t="shared" si="2"/>
        <v>0</v>
      </c>
      <c r="T26" s="15">
        <f t="shared" si="6"/>
        <v>53177</v>
      </c>
      <c r="U26" s="15">
        <f t="shared" si="3"/>
        <v>0</v>
      </c>
      <c r="V26" s="15">
        <f t="shared" si="7"/>
        <v>771409</v>
      </c>
      <c r="W26" s="161"/>
      <c r="X26" s="161"/>
    </row>
    <row r="27" spans="1:24" ht="14.4" x14ac:dyDescent="0.3">
      <c r="A27" s="161">
        <f t="shared" si="8"/>
        <v>19</v>
      </c>
      <c r="B27" s="90">
        <f t="shared" si="4"/>
        <v>45541</v>
      </c>
      <c r="C27" s="91">
        <v>0</v>
      </c>
      <c r="D27" s="91">
        <v>0</v>
      </c>
      <c r="E27" s="48">
        <f t="shared" si="10"/>
        <v>0</v>
      </c>
      <c r="F27" s="48">
        <f t="shared" si="10"/>
        <v>0</v>
      </c>
      <c r="G27" s="126">
        <v>0</v>
      </c>
      <c r="H27" s="127">
        <v>0</v>
      </c>
      <c r="I27" s="48">
        <f t="shared" si="11"/>
        <v>0</v>
      </c>
      <c r="J27" s="48">
        <f t="shared" si="11"/>
        <v>0</v>
      </c>
      <c r="K27" s="73">
        <v>24751</v>
      </c>
      <c r="L27" s="73">
        <v>14481</v>
      </c>
      <c r="M27" s="156">
        <f t="shared" si="12"/>
        <v>534836</v>
      </c>
      <c r="N27" s="155">
        <f t="shared" si="12"/>
        <v>275805</v>
      </c>
      <c r="O27" s="185"/>
      <c r="P27" s="186"/>
      <c r="Q27" s="15">
        <f t="shared" si="9"/>
        <v>0</v>
      </c>
      <c r="R27" s="15">
        <f t="shared" si="9"/>
        <v>0</v>
      </c>
      <c r="S27" s="15">
        <f t="shared" si="2"/>
        <v>0</v>
      </c>
      <c r="T27" s="15">
        <f t="shared" si="6"/>
        <v>39232</v>
      </c>
      <c r="U27" s="15">
        <f t="shared" si="3"/>
        <v>0</v>
      </c>
      <c r="V27" s="15">
        <f t="shared" si="7"/>
        <v>810641</v>
      </c>
      <c r="W27" s="161"/>
      <c r="X27" s="161"/>
    </row>
    <row r="28" spans="1:24" ht="14.4" x14ac:dyDescent="0.3">
      <c r="A28" s="161">
        <f t="shared" si="8"/>
        <v>20</v>
      </c>
      <c r="B28" s="90">
        <f t="shared" si="4"/>
        <v>45548</v>
      </c>
      <c r="C28" s="91">
        <v>0</v>
      </c>
      <c r="D28" s="91">
        <v>0</v>
      </c>
      <c r="E28" s="48">
        <f t="shared" si="10"/>
        <v>0</v>
      </c>
      <c r="F28" s="48">
        <f t="shared" si="10"/>
        <v>0</v>
      </c>
      <c r="G28" s="126">
        <v>0</v>
      </c>
      <c r="H28" s="127">
        <v>0</v>
      </c>
      <c r="I28" s="48">
        <f t="shared" si="11"/>
        <v>0</v>
      </c>
      <c r="J28" s="48">
        <f t="shared" si="11"/>
        <v>0</v>
      </c>
      <c r="K28" s="73">
        <v>27547</v>
      </c>
      <c r="L28" s="73">
        <v>14824</v>
      </c>
      <c r="M28" s="156">
        <f t="shared" si="12"/>
        <v>562383</v>
      </c>
      <c r="N28" s="155">
        <f t="shared" si="12"/>
        <v>290629</v>
      </c>
      <c r="O28" s="185"/>
      <c r="P28" s="186"/>
      <c r="Q28" s="15">
        <f t="shared" si="9"/>
        <v>0</v>
      </c>
      <c r="R28" s="15">
        <f t="shared" si="9"/>
        <v>0</v>
      </c>
      <c r="S28" s="15" t="s">
        <v>159</v>
      </c>
      <c r="T28" s="15">
        <f t="shared" si="6"/>
        <v>42371</v>
      </c>
      <c r="U28" s="15">
        <f t="shared" si="3"/>
        <v>0</v>
      </c>
      <c r="V28" s="15">
        <f t="shared" si="7"/>
        <v>853012</v>
      </c>
      <c r="W28" s="161"/>
      <c r="X28" s="161"/>
    </row>
    <row r="29" spans="1:24" ht="14.4" x14ac:dyDescent="0.3">
      <c r="A29" s="161">
        <f t="shared" si="8"/>
        <v>21</v>
      </c>
      <c r="B29" s="90">
        <f t="shared" si="4"/>
        <v>45555</v>
      </c>
      <c r="C29" s="91">
        <v>0</v>
      </c>
      <c r="D29" s="91">
        <v>0</v>
      </c>
      <c r="E29" s="48">
        <f t="shared" si="10"/>
        <v>0</v>
      </c>
      <c r="F29" s="48">
        <f t="shared" si="10"/>
        <v>0</v>
      </c>
      <c r="G29" s="126">
        <v>0</v>
      </c>
      <c r="H29" s="127">
        <v>0</v>
      </c>
      <c r="I29" s="48">
        <f t="shared" si="11"/>
        <v>0</v>
      </c>
      <c r="J29" s="48">
        <f t="shared" si="11"/>
        <v>0</v>
      </c>
      <c r="K29" s="73">
        <v>27976</v>
      </c>
      <c r="L29" s="73">
        <v>14329</v>
      </c>
      <c r="M29" s="156">
        <f t="shared" si="12"/>
        <v>590359</v>
      </c>
      <c r="N29" s="155">
        <f t="shared" si="12"/>
        <v>304958</v>
      </c>
      <c r="O29" s="185"/>
      <c r="P29" s="186"/>
      <c r="Q29" s="15">
        <f t="shared" si="9"/>
        <v>0</v>
      </c>
      <c r="R29" s="15">
        <f t="shared" si="9"/>
        <v>0</v>
      </c>
      <c r="S29" s="15">
        <f t="shared" ref="S29:S60" si="13">C29+D29</f>
        <v>0</v>
      </c>
      <c r="T29" s="15">
        <f t="shared" si="6"/>
        <v>42305</v>
      </c>
      <c r="U29" s="15">
        <f t="shared" si="3"/>
        <v>0</v>
      </c>
      <c r="V29" s="15">
        <f t="shared" si="7"/>
        <v>895317</v>
      </c>
      <c r="W29" s="161"/>
      <c r="X29" s="161"/>
    </row>
    <row r="30" spans="1:24" ht="14.4" x14ac:dyDescent="0.3">
      <c r="A30" s="161">
        <f t="shared" si="8"/>
        <v>22</v>
      </c>
      <c r="B30" s="90">
        <f t="shared" si="4"/>
        <v>45562</v>
      </c>
      <c r="C30" s="91">
        <v>0</v>
      </c>
      <c r="D30" s="91">
        <v>0</v>
      </c>
      <c r="E30" s="48">
        <f t="shared" si="10"/>
        <v>0</v>
      </c>
      <c r="F30" s="48">
        <f t="shared" si="10"/>
        <v>0</v>
      </c>
      <c r="G30" s="126">
        <v>0</v>
      </c>
      <c r="H30" s="127">
        <v>0</v>
      </c>
      <c r="I30" s="48">
        <f t="shared" si="11"/>
        <v>0</v>
      </c>
      <c r="J30" s="48">
        <f t="shared" si="11"/>
        <v>0</v>
      </c>
      <c r="K30" s="73">
        <v>24388</v>
      </c>
      <c r="L30" s="73">
        <v>17182</v>
      </c>
      <c r="M30" s="156">
        <f t="shared" si="12"/>
        <v>614747</v>
      </c>
      <c r="N30" s="155">
        <f t="shared" si="12"/>
        <v>322140</v>
      </c>
      <c r="O30" s="187"/>
      <c r="P30" s="188"/>
      <c r="Q30" s="15"/>
      <c r="R30" s="15"/>
      <c r="S30" s="40">
        <f t="shared" si="13"/>
        <v>0</v>
      </c>
      <c r="T30" s="15">
        <f t="shared" si="6"/>
        <v>41570</v>
      </c>
      <c r="U30" s="36">
        <f t="shared" si="3"/>
        <v>0</v>
      </c>
      <c r="V30" s="15">
        <f t="shared" si="7"/>
        <v>936887</v>
      </c>
      <c r="W30" s="161"/>
      <c r="X30" s="161"/>
    </row>
    <row r="31" spans="1:24" ht="14.4" x14ac:dyDescent="0.3">
      <c r="A31" s="161">
        <f t="shared" si="8"/>
        <v>23</v>
      </c>
      <c r="B31" s="90">
        <f t="shared" si="4"/>
        <v>45569</v>
      </c>
      <c r="C31" s="91">
        <v>0</v>
      </c>
      <c r="D31" s="91">
        <v>0</v>
      </c>
      <c r="E31" s="48">
        <f t="shared" si="10"/>
        <v>0</v>
      </c>
      <c r="F31" s="48">
        <f t="shared" si="10"/>
        <v>0</v>
      </c>
      <c r="G31" s="126">
        <v>0</v>
      </c>
      <c r="H31" s="127">
        <v>0</v>
      </c>
      <c r="I31" s="48">
        <f t="shared" si="11"/>
        <v>0</v>
      </c>
      <c r="J31" s="48">
        <f t="shared" si="11"/>
        <v>0</v>
      </c>
      <c r="K31" s="73">
        <v>29638</v>
      </c>
      <c r="L31" s="73">
        <v>13980</v>
      </c>
      <c r="M31" s="156">
        <f t="shared" si="12"/>
        <v>644385</v>
      </c>
      <c r="N31" s="155">
        <f t="shared" si="12"/>
        <v>336120</v>
      </c>
      <c r="O31" s="185"/>
      <c r="P31" s="186"/>
      <c r="Q31" s="15"/>
      <c r="R31" s="15"/>
      <c r="S31" s="16">
        <f t="shared" si="13"/>
        <v>0</v>
      </c>
      <c r="T31" s="15">
        <f t="shared" si="6"/>
        <v>43618</v>
      </c>
      <c r="U31" s="15">
        <f t="shared" si="3"/>
        <v>0</v>
      </c>
      <c r="V31" s="36">
        <f t="shared" si="7"/>
        <v>980505</v>
      </c>
      <c r="W31" s="161"/>
      <c r="X31" s="161" t="s">
        <v>160</v>
      </c>
    </row>
    <row r="32" spans="1:24" ht="14.4" x14ac:dyDescent="0.3">
      <c r="A32" s="161">
        <f t="shared" si="8"/>
        <v>24</v>
      </c>
      <c r="B32" s="90">
        <f t="shared" si="4"/>
        <v>45576</v>
      </c>
      <c r="C32" s="91">
        <v>0</v>
      </c>
      <c r="D32" s="91">
        <v>0</v>
      </c>
      <c r="E32" s="48">
        <f t="shared" si="10"/>
        <v>0</v>
      </c>
      <c r="F32" s="48">
        <f t="shared" si="10"/>
        <v>0</v>
      </c>
      <c r="G32" s="126">
        <v>0</v>
      </c>
      <c r="H32" s="127">
        <v>0</v>
      </c>
      <c r="I32" s="48">
        <f t="shared" si="11"/>
        <v>0</v>
      </c>
      <c r="J32" s="48">
        <f t="shared" si="11"/>
        <v>0</v>
      </c>
      <c r="K32" s="73">
        <v>41228</v>
      </c>
      <c r="L32" s="73">
        <v>17379</v>
      </c>
      <c r="M32" s="156">
        <f t="shared" si="12"/>
        <v>685613</v>
      </c>
      <c r="N32" s="155">
        <f t="shared" si="12"/>
        <v>353499</v>
      </c>
      <c r="O32" s="185"/>
      <c r="P32" s="186"/>
      <c r="Q32" s="15"/>
      <c r="R32" s="15"/>
      <c r="S32" s="16">
        <f t="shared" si="13"/>
        <v>0</v>
      </c>
      <c r="T32" s="15">
        <f t="shared" si="6"/>
        <v>58607</v>
      </c>
      <c r="U32" s="15">
        <f t="shared" si="3"/>
        <v>0</v>
      </c>
      <c r="V32" s="36">
        <f t="shared" si="7"/>
        <v>1039112</v>
      </c>
      <c r="W32" s="161"/>
      <c r="X32" s="161"/>
    </row>
    <row r="33" spans="1:22" ht="14.4" x14ac:dyDescent="0.3">
      <c r="A33" s="161">
        <f t="shared" si="8"/>
        <v>25</v>
      </c>
      <c r="B33" s="90">
        <f t="shared" si="4"/>
        <v>45583</v>
      </c>
      <c r="C33" s="91">
        <v>0</v>
      </c>
      <c r="D33" s="91">
        <v>0</v>
      </c>
      <c r="E33" s="48">
        <f t="shared" si="10"/>
        <v>0</v>
      </c>
      <c r="F33" s="48">
        <f t="shared" si="10"/>
        <v>0</v>
      </c>
      <c r="G33" s="126">
        <v>0</v>
      </c>
      <c r="H33" s="127">
        <v>0</v>
      </c>
      <c r="I33" s="48">
        <f t="shared" si="11"/>
        <v>0</v>
      </c>
      <c r="J33" s="48">
        <f t="shared" si="11"/>
        <v>0</v>
      </c>
      <c r="K33" s="73">
        <v>31458</v>
      </c>
      <c r="L33" s="73">
        <v>16419</v>
      </c>
      <c r="M33" s="156">
        <f t="shared" si="12"/>
        <v>717071</v>
      </c>
      <c r="N33" s="155">
        <f t="shared" si="12"/>
        <v>369918</v>
      </c>
      <c r="O33" s="185"/>
      <c r="P33" s="186"/>
      <c r="Q33" s="15"/>
      <c r="R33" s="15"/>
      <c r="S33" s="16">
        <f t="shared" si="13"/>
        <v>0</v>
      </c>
      <c r="T33" s="15">
        <f t="shared" si="6"/>
        <v>47877</v>
      </c>
      <c r="U33" s="15">
        <f t="shared" si="3"/>
        <v>0</v>
      </c>
      <c r="V33" s="36">
        <f t="shared" si="7"/>
        <v>1086989</v>
      </c>
    </row>
    <row r="34" spans="1:22" ht="14.4" x14ac:dyDescent="0.3">
      <c r="A34" s="161">
        <f t="shared" si="8"/>
        <v>26</v>
      </c>
      <c r="B34" s="90">
        <f t="shared" si="4"/>
        <v>45590</v>
      </c>
      <c r="C34" s="91">
        <v>0</v>
      </c>
      <c r="D34" s="91">
        <v>0</v>
      </c>
      <c r="E34" s="48">
        <f t="shared" si="10"/>
        <v>0</v>
      </c>
      <c r="F34" s="48">
        <f t="shared" si="10"/>
        <v>0</v>
      </c>
      <c r="G34" s="126">
        <v>0</v>
      </c>
      <c r="H34" s="127">
        <v>0</v>
      </c>
      <c r="I34" s="48">
        <f t="shared" si="11"/>
        <v>0</v>
      </c>
      <c r="J34" s="48">
        <f t="shared" si="11"/>
        <v>0</v>
      </c>
      <c r="K34" s="73">
        <v>32387</v>
      </c>
      <c r="L34" s="73">
        <v>19991</v>
      </c>
      <c r="M34" s="156">
        <f t="shared" si="12"/>
        <v>749458</v>
      </c>
      <c r="N34" s="155">
        <f t="shared" si="12"/>
        <v>389909</v>
      </c>
      <c r="O34" s="185"/>
      <c r="P34" s="186"/>
      <c r="Q34" s="15"/>
      <c r="R34" s="15"/>
      <c r="S34" s="16">
        <f t="shared" si="13"/>
        <v>0</v>
      </c>
      <c r="T34" s="15">
        <f t="shared" si="6"/>
        <v>52378</v>
      </c>
      <c r="U34" s="15">
        <f t="shared" si="3"/>
        <v>0</v>
      </c>
      <c r="V34" s="36">
        <f t="shared" si="7"/>
        <v>1139367</v>
      </c>
    </row>
    <row r="35" spans="1:22" ht="14.4" x14ac:dyDescent="0.3">
      <c r="A35" s="161">
        <f t="shared" si="8"/>
        <v>27</v>
      </c>
      <c r="B35" s="90">
        <f t="shared" si="4"/>
        <v>45597</v>
      </c>
      <c r="C35" s="91">
        <v>0</v>
      </c>
      <c r="D35" s="91">
        <v>0</v>
      </c>
      <c r="E35" s="48">
        <f t="shared" si="10"/>
        <v>0</v>
      </c>
      <c r="F35" s="48">
        <f t="shared" si="10"/>
        <v>0</v>
      </c>
      <c r="G35" s="126">
        <v>0</v>
      </c>
      <c r="H35" s="127">
        <v>0</v>
      </c>
      <c r="I35" s="48">
        <f t="shared" si="11"/>
        <v>0</v>
      </c>
      <c r="J35" s="48">
        <f t="shared" si="11"/>
        <v>0</v>
      </c>
      <c r="K35" s="73">
        <v>22129</v>
      </c>
      <c r="L35" s="73">
        <v>13398</v>
      </c>
      <c r="M35" s="156">
        <f t="shared" si="12"/>
        <v>771587</v>
      </c>
      <c r="N35" s="155">
        <f t="shared" si="12"/>
        <v>403307</v>
      </c>
      <c r="O35" s="185"/>
      <c r="P35" s="186"/>
      <c r="Q35" s="15"/>
      <c r="R35" s="15"/>
      <c r="S35" s="16">
        <f t="shared" si="13"/>
        <v>0</v>
      </c>
      <c r="T35" s="15">
        <f t="shared" si="6"/>
        <v>35527</v>
      </c>
      <c r="U35" s="15">
        <f t="shared" si="3"/>
        <v>0</v>
      </c>
      <c r="V35" s="36">
        <f t="shared" si="7"/>
        <v>1174894</v>
      </c>
    </row>
    <row r="36" spans="1:22" ht="14.4" x14ac:dyDescent="0.3">
      <c r="A36" s="161">
        <f t="shared" si="8"/>
        <v>28</v>
      </c>
      <c r="B36" s="90">
        <f t="shared" si="4"/>
        <v>45604</v>
      </c>
      <c r="C36" s="91">
        <v>0</v>
      </c>
      <c r="D36" s="91">
        <v>0</v>
      </c>
      <c r="E36" s="48">
        <f t="shared" si="10"/>
        <v>0</v>
      </c>
      <c r="F36" s="48">
        <f t="shared" si="10"/>
        <v>0</v>
      </c>
      <c r="G36" s="126">
        <v>0</v>
      </c>
      <c r="H36" s="127">
        <v>0</v>
      </c>
      <c r="I36" s="48">
        <f t="shared" si="11"/>
        <v>0</v>
      </c>
      <c r="J36" s="48">
        <f t="shared" si="11"/>
        <v>0</v>
      </c>
      <c r="K36" s="73">
        <v>26215</v>
      </c>
      <c r="L36" s="73">
        <v>15034</v>
      </c>
      <c r="M36" s="156">
        <f t="shared" si="12"/>
        <v>797802</v>
      </c>
      <c r="N36" s="155">
        <f t="shared" si="12"/>
        <v>418341</v>
      </c>
      <c r="O36" s="185"/>
      <c r="P36" s="186"/>
      <c r="Q36" s="15"/>
      <c r="R36" s="15"/>
      <c r="S36" s="16">
        <f t="shared" si="13"/>
        <v>0</v>
      </c>
      <c r="T36" s="15">
        <f t="shared" si="6"/>
        <v>41249</v>
      </c>
      <c r="U36" s="15">
        <f t="shared" si="3"/>
        <v>0</v>
      </c>
      <c r="V36" s="36">
        <f t="shared" si="7"/>
        <v>1216143</v>
      </c>
    </row>
    <row r="37" spans="1:22" ht="14.4" x14ac:dyDescent="0.3">
      <c r="A37" s="161">
        <f t="shared" si="8"/>
        <v>29</v>
      </c>
      <c r="B37" s="90">
        <f t="shared" si="4"/>
        <v>45611</v>
      </c>
      <c r="C37" s="91">
        <v>0</v>
      </c>
      <c r="D37" s="91">
        <v>0</v>
      </c>
      <c r="E37" s="48">
        <f t="shared" si="10"/>
        <v>0</v>
      </c>
      <c r="F37" s="48">
        <f t="shared" si="10"/>
        <v>0</v>
      </c>
      <c r="G37" s="126">
        <v>0</v>
      </c>
      <c r="H37" s="127">
        <v>0</v>
      </c>
      <c r="I37" s="48">
        <f t="shared" si="11"/>
        <v>0</v>
      </c>
      <c r="J37" s="48">
        <f t="shared" si="11"/>
        <v>0</v>
      </c>
      <c r="K37" s="73">
        <v>27110</v>
      </c>
      <c r="L37" s="73">
        <v>16277</v>
      </c>
      <c r="M37" s="156">
        <f t="shared" si="12"/>
        <v>824912</v>
      </c>
      <c r="N37" s="155">
        <f t="shared" si="12"/>
        <v>434618</v>
      </c>
      <c r="O37" s="185"/>
      <c r="P37" s="186"/>
      <c r="Q37" s="15"/>
      <c r="R37" s="15"/>
      <c r="S37" s="16">
        <f t="shared" si="13"/>
        <v>0</v>
      </c>
      <c r="T37" s="15">
        <f t="shared" si="6"/>
        <v>43387</v>
      </c>
      <c r="U37" s="15">
        <f t="shared" si="3"/>
        <v>0</v>
      </c>
      <c r="V37" s="36">
        <f t="shared" si="7"/>
        <v>1259530</v>
      </c>
    </row>
    <row r="38" spans="1:22" ht="14.4" x14ac:dyDescent="0.3">
      <c r="A38" s="161">
        <f t="shared" si="8"/>
        <v>30</v>
      </c>
      <c r="B38" s="90">
        <f t="shared" si="4"/>
        <v>45618</v>
      </c>
      <c r="C38" s="91">
        <v>0</v>
      </c>
      <c r="D38" s="91">
        <v>0</v>
      </c>
      <c r="E38" s="48">
        <f t="shared" si="10"/>
        <v>0</v>
      </c>
      <c r="F38" s="48">
        <f t="shared" si="10"/>
        <v>0</v>
      </c>
      <c r="G38" s="126">
        <v>0</v>
      </c>
      <c r="H38" s="127">
        <v>0</v>
      </c>
      <c r="I38" s="48">
        <f t="shared" si="11"/>
        <v>0</v>
      </c>
      <c r="J38" s="48">
        <f t="shared" si="11"/>
        <v>0</v>
      </c>
      <c r="K38" s="73">
        <v>31528</v>
      </c>
      <c r="L38" s="73">
        <v>23658</v>
      </c>
      <c r="M38" s="156">
        <f t="shared" si="12"/>
        <v>856440</v>
      </c>
      <c r="N38" s="155">
        <f t="shared" si="12"/>
        <v>458276</v>
      </c>
      <c r="O38" s="185"/>
      <c r="P38" s="186"/>
      <c r="Q38" s="15"/>
      <c r="R38" s="15"/>
      <c r="S38" s="16">
        <f t="shared" si="13"/>
        <v>0</v>
      </c>
      <c r="T38" s="15">
        <f t="shared" si="6"/>
        <v>55186</v>
      </c>
      <c r="U38" s="15">
        <f t="shared" si="3"/>
        <v>0</v>
      </c>
      <c r="V38" s="36">
        <f t="shared" si="7"/>
        <v>1314716</v>
      </c>
    </row>
    <row r="39" spans="1:22" ht="14.4" x14ac:dyDescent="0.3">
      <c r="A39" s="161">
        <f t="shared" si="8"/>
        <v>31</v>
      </c>
      <c r="B39" s="90">
        <f t="shared" si="4"/>
        <v>45625</v>
      </c>
      <c r="C39" s="91">
        <v>0</v>
      </c>
      <c r="D39" s="91">
        <v>0</v>
      </c>
      <c r="E39" s="48">
        <f t="shared" si="10"/>
        <v>0</v>
      </c>
      <c r="F39" s="48">
        <f t="shared" si="10"/>
        <v>0</v>
      </c>
      <c r="G39" s="126">
        <v>0</v>
      </c>
      <c r="H39" s="127">
        <v>0</v>
      </c>
      <c r="I39" s="48">
        <f t="shared" si="11"/>
        <v>0</v>
      </c>
      <c r="J39" s="48">
        <f t="shared" si="11"/>
        <v>0</v>
      </c>
      <c r="K39" s="73">
        <v>39366</v>
      </c>
      <c r="L39" s="73">
        <v>27386</v>
      </c>
      <c r="M39" s="156">
        <f t="shared" si="12"/>
        <v>895806</v>
      </c>
      <c r="N39" s="155">
        <f t="shared" si="12"/>
        <v>485662</v>
      </c>
      <c r="O39" s="185"/>
      <c r="P39" s="186"/>
      <c r="Q39" s="15"/>
      <c r="R39" s="15"/>
      <c r="S39" s="16">
        <f t="shared" si="13"/>
        <v>0</v>
      </c>
      <c r="T39" s="15">
        <f t="shared" si="6"/>
        <v>66752</v>
      </c>
      <c r="U39" s="15">
        <f t="shared" si="3"/>
        <v>0</v>
      </c>
      <c r="V39" s="36">
        <f t="shared" si="7"/>
        <v>1381468</v>
      </c>
    </row>
    <row r="40" spans="1:22" ht="14.4" x14ac:dyDescent="0.3">
      <c r="A40" s="161">
        <f t="shared" si="8"/>
        <v>32</v>
      </c>
      <c r="B40" s="90">
        <f t="shared" si="4"/>
        <v>45632</v>
      </c>
      <c r="C40" s="91">
        <v>0</v>
      </c>
      <c r="D40" s="91">
        <v>0</v>
      </c>
      <c r="E40" s="48">
        <f t="shared" si="10"/>
        <v>0</v>
      </c>
      <c r="F40" s="48">
        <f t="shared" si="10"/>
        <v>0</v>
      </c>
      <c r="G40" s="126">
        <v>0</v>
      </c>
      <c r="H40" s="127">
        <v>0</v>
      </c>
      <c r="I40" s="48">
        <f t="shared" si="11"/>
        <v>0</v>
      </c>
      <c r="J40" s="48">
        <f t="shared" si="11"/>
        <v>0</v>
      </c>
      <c r="K40" s="73">
        <v>33168</v>
      </c>
      <c r="L40" s="73">
        <v>22992</v>
      </c>
      <c r="M40" s="156">
        <f t="shared" si="12"/>
        <v>928974</v>
      </c>
      <c r="N40" s="155">
        <f t="shared" si="12"/>
        <v>508654</v>
      </c>
      <c r="O40" s="185"/>
      <c r="P40" s="186"/>
      <c r="Q40" s="15"/>
      <c r="R40" s="15"/>
      <c r="S40" s="16">
        <f t="shared" si="13"/>
        <v>0</v>
      </c>
      <c r="T40" s="15">
        <f t="shared" si="6"/>
        <v>56160</v>
      </c>
      <c r="U40" s="15">
        <f t="shared" si="3"/>
        <v>0</v>
      </c>
      <c r="V40" s="36">
        <f t="shared" si="7"/>
        <v>1437628</v>
      </c>
    </row>
    <row r="41" spans="1:22" ht="14.4" x14ac:dyDescent="0.3">
      <c r="A41" s="161">
        <f t="shared" si="8"/>
        <v>33</v>
      </c>
      <c r="B41" s="90">
        <f t="shared" si="4"/>
        <v>45639</v>
      </c>
      <c r="C41" s="91">
        <v>0</v>
      </c>
      <c r="D41" s="91">
        <v>0</v>
      </c>
      <c r="E41" s="48">
        <f t="shared" ref="E41:F47" si="14">+C41</f>
        <v>0</v>
      </c>
      <c r="F41" s="48">
        <f t="shared" si="14"/>
        <v>0</v>
      </c>
      <c r="G41" s="126">
        <v>0</v>
      </c>
      <c r="H41" s="127">
        <v>0</v>
      </c>
      <c r="I41" s="48">
        <f t="shared" ref="I41:J47" si="15">+G41</f>
        <v>0</v>
      </c>
      <c r="J41" s="48">
        <f t="shared" si="15"/>
        <v>0</v>
      </c>
      <c r="K41" s="73">
        <v>34064</v>
      </c>
      <c r="L41" s="73">
        <v>18398</v>
      </c>
      <c r="M41" s="156">
        <f t="shared" si="12"/>
        <v>963038</v>
      </c>
      <c r="N41" s="155">
        <f t="shared" si="12"/>
        <v>527052</v>
      </c>
      <c r="O41" s="185"/>
      <c r="P41" s="186"/>
      <c r="Q41" s="15"/>
      <c r="R41" s="15"/>
      <c r="S41" s="16">
        <f t="shared" si="13"/>
        <v>0</v>
      </c>
      <c r="T41" s="15">
        <f t="shared" si="6"/>
        <v>52462</v>
      </c>
      <c r="U41" s="15">
        <f t="shared" si="3"/>
        <v>0</v>
      </c>
      <c r="V41" s="36">
        <f t="shared" si="7"/>
        <v>1490090</v>
      </c>
    </row>
    <row r="42" spans="1:22" ht="14.4" x14ac:dyDescent="0.3">
      <c r="A42" s="161">
        <f t="shared" si="8"/>
        <v>34</v>
      </c>
      <c r="B42" s="90">
        <f t="shared" si="4"/>
        <v>45646</v>
      </c>
      <c r="C42" s="91">
        <v>0</v>
      </c>
      <c r="D42" s="91">
        <v>0</v>
      </c>
      <c r="E42" s="48">
        <f t="shared" si="14"/>
        <v>0</v>
      </c>
      <c r="F42" s="48">
        <f t="shared" si="14"/>
        <v>0</v>
      </c>
      <c r="G42" s="126">
        <v>0</v>
      </c>
      <c r="H42" s="127">
        <v>0</v>
      </c>
      <c r="I42" s="48">
        <f t="shared" si="15"/>
        <v>0</v>
      </c>
      <c r="J42" s="48">
        <f t="shared" si="15"/>
        <v>0</v>
      </c>
      <c r="K42" s="73">
        <v>33618</v>
      </c>
      <c r="L42" s="73">
        <v>14875</v>
      </c>
      <c r="M42" s="156">
        <f t="shared" ref="M42:N57" si="16">M41+K42</f>
        <v>996656</v>
      </c>
      <c r="N42" s="155">
        <f t="shared" si="16"/>
        <v>541927</v>
      </c>
      <c r="O42" s="185"/>
      <c r="P42" s="186"/>
      <c r="Q42" s="15"/>
      <c r="R42" s="15"/>
      <c r="S42" s="16">
        <f t="shared" si="13"/>
        <v>0</v>
      </c>
      <c r="T42" s="15">
        <f t="shared" si="6"/>
        <v>48493</v>
      </c>
      <c r="U42" s="15">
        <f t="shared" si="3"/>
        <v>0</v>
      </c>
      <c r="V42" s="36">
        <f t="shared" si="7"/>
        <v>1538583</v>
      </c>
    </row>
    <row r="43" spans="1:22" ht="14.4" x14ac:dyDescent="0.3">
      <c r="A43" s="161">
        <f t="shared" si="8"/>
        <v>35</v>
      </c>
      <c r="B43" s="90">
        <f t="shared" si="4"/>
        <v>45653</v>
      </c>
      <c r="C43" s="91">
        <v>0</v>
      </c>
      <c r="D43" s="91">
        <v>0</v>
      </c>
      <c r="E43" s="48">
        <f t="shared" si="14"/>
        <v>0</v>
      </c>
      <c r="F43" s="48">
        <f t="shared" si="14"/>
        <v>0</v>
      </c>
      <c r="G43" s="126">
        <v>0</v>
      </c>
      <c r="H43" s="127">
        <v>0</v>
      </c>
      <c r="I43" s="48">
        <f t="shared" si="15"/>
        <v>0</v>
      </c>
      <c r="J43" s="48">
        <f t="shared" si="15"/>
        <v>0</v>
      </c>
      <c r="K43" s="73">
        <v>22255</v>
      </c>
      <c r="L43" s="73">
        <v>15058</v>
      </c>
      <c r="M43" s="156">
        <f t="shared" si="16"/>
        <v>1018911</v>
      </c>
      <c r="N43" s="155">
        <f t="shared" si="16"/>
        <v>556985</v>
      </c>
      <c r="O43" s="185"/>
      <c r="P43" s="186"/>
      <c r="Q43" s="15"/>
      <c r="R43" s="15"/>
      <c r="S43" s="16">
        <f t="shared" si="13"/>
        <v>0</v>
      </c>
      <c r="T43" s="15">
        <f t="shared" si="6"/>
        <v>37313</v>
      </c>
      <c r="U43" s="15">
        <f t="shared" si="3"/>
        <v>0</v>
      </c>
      <c r="V43" s="36">
        <f t="shared" si="7"/>
        <v>1575896</v>
      </c>
    </row>
    <row r="44" spans="1:22" ht="14.4" x14ac:dyDescent="0.3">
      <c r="A44" s="161">
        <f t="shared" si="8"/>
        <v>36</v>
      </c>
      <c r="B44" s="90">
        <f t="shared" si="4"/>
        <v>45660</v>
      </c>
      <c r="C44" s="91">
        <v>0</v>
      </c>
      <c r="D44" s="91">
        <v>0</v>
      </c>
      <c r="E44" s="48">
        <f t="shared" si="14"/>
        <v>0</v>
      </c>
      <c r="F44" s="48">
        <f t="shared" si="14"/>
        <v>0</v>
      </c>
      <c r="G44" s="126">
        <v>0</v>
      </c>
      <c r="H44" s="127">
        <v>0</v>
      </c>
      <c r="I44" s="48">
        <f t="shared" si="15"/>
        <v>0</v>
      </c>
      <c r="J44" s="48">
        <f t="shared" si="15"/>
        <v>0</v>
      </c>
      <c r="K44" s="73">
        <v>20115</v>
      </c>
      <c r="L44" s="73">
        <v>12471</v>
      </c>
      <c r="M44" s="156">
        <f t="shared" si="16"/>
        <v>1039026</v>
      </c>
      <c r="N44" s="155">
        <f t="shared" si="16"/>
        <v>569456</v>
      </c>
      <c r="O44" s="185"/>
      <c r="P44" s="186"/>
      <c r="Q44" s="15"/>
      <c r="R44" s="15"/>
      <c r="S44" s="16">
        <f t="shared" si="13"/>
        <v>0</v>
      </c>
      <c r="T44" s="15">
        <f t="shared" si="6"/>
        <v>32586</v>
      </c>
      <c r="U44" s="15">
        <f t="shared" si="3"/>
        <v>0</v>
      </c>
      <c r="V44" s="36">
        <f t="shared" si="7"/>
        <v>1608482</v>
      </c>
    </row>
    <row r="45" spans="1:22" ht="14.4" x14ac:dyDescent="0.3">
      <c r="A45" s="161">
        <f t="shared" si="8"/>
        <v>37</v>
      </c>
      <c r="B45" s="90">
        <f t="shared" si="4"/>
        <v>45667</v>
      </c>
      <c r="C45" s="91">
        <v>0</v>
      </c>
      <c r="D45" s="91">
        <v>0</v>
      </c>
      <c r="E45" s="48">
        <f t="shared" si="14"/>
        <v>0</v>
      </c>
      <c r="F45" s="48">
        <f t="shared" si="14"/>
        <v>0</v>
      </c>
      <c r="G45" s="126">
        <v>0</v>
      </c>
      <c r="H45" s="127">
        <v>0</v>
      </c>
      <c r="I45" s="48">
        <f t="shared" si="15"/>
        <v>0</v>
      </c>
      <c r="J45" s="48">
        <f t="shared" si="15"/>
        <v>0</v>
      </c>
      <c r="K45" s="73">
        <v>29267</v>
      </c>
      <c r="L45" s="73">
        <v>21643</v>
      </c>
      <c r="M45" s="156">
        <f t="shared" si="16"/>
        <v>1068293</v>
      </c>
      <c r="N45" s="155">
        <f t="shared" si="16"/>
        <v>591099</v>
      </c>
      <c r="O45" s="185"/>
      <c r="P45" s="186"/>
      <c r="Q45" s="15"/>
      <c r="R45" s="15"/>
      <c r="S45" s="16">
        <f t="shared" si="13"/>
        <v>0</v>
      </c>
      <c r="T45" s="15">
        <f t="shared" si="6"/>
        <v>50910</v>
      </c>
      <c r="U45" s="15">
        <f t="shared" si="3"/>
        <v>0</v>
      </c>
      <c r="V45" s="36">
        <f t="shared" si="7"/>
        <v>1659392</v>
      </c>
    </row>
    <row r="46" spans="1:22" ht="14.4" x14ac:dyDescent="0.3">
      <c r="A46" s="161">
        <f t="shared" si="8"/>
        <v>38</v>
      </c>
      <c r="B46" s="90">
        <f t="shared" si="4"/>
        <v>45674</v>
      </c>
      <c r="C46" s="91">
        <v>0</v>
      </c>
      <c r="D46" s="91">
        <v>0</v>
      </c>
      <c r="E46" s="48">
        <f t="shared" si="14"/>
        <v>0</v>
      </c>
      <c r="F46" s="48">
        <f t="shared" si="14"/>
        <v>0</v>
      </c>
      <c r="G46" s="126">
        <v>0</v>
      </c>
      <c r="H46" s="127">
        <v>0</v>
      </c>
      <c r="I46" s="48">
        <f t="shared" si="15"/>
        <v>0</v>
      </c>
      <c r="J46" s="48">
        <f t="shared" si="15"/>
        <v>0</v>
      </c>
      <c r="K46" s="73">
        <v>41334</v>
      </c>
      <c r="L46" s="73">
        <v>15388</v>
      </c>
      <c r="M46" s="156">
        <f t="shared" si="16"/>
        <v>1109627</v>
      </c>
      <c r="N46" s="155">
        <f t="shared" si="16"/>
        <v>606487</v>
      </c>
      <c r="O46" s="185"/>
      <c r="P46" s="186"/>
      <c r="Q46" s="15"/>
      <c r="R46" s="15"/>
      <c r="S46" s="16">
        <f t="shared" si="13"/>
        <v>0</v>
      </c>
      <c r="T46" s="15">
        <f t="shared" si="6"/>
        <v>56722</v>
      </c>
      <c r="U46" s="15">
        <f t="shared" si="3"/>
        <v>0</v>
      </c>
      <c r="V46" s="36">
        <f t="shared" si="7"/>
        <v>1716114</v>
      </c>
    </row>
    <row r="47" spans="1:22" ht="14.4" x14ac:dyDescent="0.3">
      <c r="A47" s="161">
        <f t="shared" si="8"/>
        <v>39</v>
      </c>
      <c r="B47" s="90">
        <f t="shared" si="4"/>
        <v>45681</v>
      </c>
      <c r="C47" s="91">
        <v>0</v>
      </c>
      <c r="D47" s="91">
        <v>0</v>
      </c>
      <c r="E47" s="48">
        <f t="shared" si="14"/>
        <v>0</v>
      </c>
      <c r="F47" s="48">
        <f t="shared" si="14"/>
        <v>0</v>
      </c>
      <c r="G47" s="126">
        <v>0</v>
      </c>
      <c r="H47" s="127">
        <v>0</v>
      </c>
      <c r="I47" s="48">
        <f t="shared" si="15"/>
        <v>0</v>
      </c>
      <c r="J47" s="48">
        <f t="shared" si="15"/>
        <v>0</v>
      </c>
      <c r="K47" s="73">
        <v>29626</v>
      </c>
      <c r="L47" s="73">
        <v>13629</v>
      </c>
      <c r="M47" s="156">
        <f t="shared" si="16"/>
        <v>1139253</v>
      </c>
      <c r="N47" s="155">
        <f t="shared" si="16"/>
        <v>620116</v>
      </c>
      <c r="O47" s="185"/>
      <c r="P47" s="186"/>
      <c r="Q47" s="15"/>
      <c r="R47" s="15"/>
      <c r="S47" s="16">
        <f t="shared" si="13"/>
        <v>0</v>
      </c>
      <c r="T47" s="15">
        <f t="shared" si="6"/>
        <v>43255</v>
      </c>
      <c r="U47" s="15">
        <f t="shared" si="3"/>
        <v>0</v>
      </c>
      <c r="V47" s="36">
        <f t="shared" si="7"/>
        <v>1759369</v>
      </c>
    </row>
    <row r="48" spans="1:22" ht="14.4" x14ac:dyDescent="0.3">
      <c r="A48" s="161">
        <f t="shared" si="8"/>
        <v>40</v>
      </c>
      <c r="B48" s="90">
        <f t="shared" si="4"/>
        <v>45688</v>
      </c>
      <c r="C48" s="91">
        <v>0</v>
      </c>
      <c r="D48" s="91">
        <v>0</v>
      </c>
      <c r="E48" s="48">
        <f>+C48</f>
        <v>0</v>
      </c>
      <c r="F48" s="48">
        <f>+D48</f>
        <v>0</v>
      </c>
      <c r="G48" s="126">
        <v>0</v>
      </c>
      <c r="H48" s="127">
        <v>0</v>
      </c>
      <c r="I48" s="48">
        <f>+G48</f>
        <v>0</v>
      </c>
      <c r="J48" s="48">
        <f>+H48</f>
        <v>0</v>
      </c>
      <c r="K48" s="73">
        <v>33096</v>
      </c>
      <c r="L48" s="73">
        <v>15251</v>
      </c>
      <c r="M48" s="156">
        <f t="shared" si="16"/>
        <v>1172349</v>
      </c>
      <c r="N48" s="155">
        <f t="shared" si="16"/>
        <v>635367</v>
      </c>
      <c r="O48" s="185"/>
      <c r="P48" s="186"/>
      <c r="Q48" s="15"/>
      <c r="R48" s="15"/>
      <c r="S48" s="16">
        <f t="shared" si="13"/>
        <v>0</v>
      </c>
      <c r="T48" s="15">
        <f t="shared" si="6"/>
        <v>48347</v>
      </c>
      <c r="U48" s="15">
        <f t="shared" si="3"/>
        <v>0</v>
      </c>
      <c r="V48" s="36">
        <f t="shared" si="7"/>
        <v>1807716</v>
      </c>
    </row>
    <row r="49" spans="1:22" ht="14.4" x14ac:dyDescent="0.3">
      <c r="A49" s="161">
        <f t="shared" si="8"/>
        <v>41</v>
      </c>
      <c r="B49" s="90">
        <f t="shared" si="4"/>
        <v>45695</v>
      </c>
      <c r="C49" s="91">
        <v>0</v>
      </c>
      <c r="D49" s="91">
        <v>0</v>
      </c>
      <c r="E49" s="48">
        <f>+C49</f>
        <v>0</v>
      </c>
      <c r="F49" s="48">
        <f>+D49</f>
        <v>0</v>
      </c>
      <c r="G49" s="126">
        <v>0</v>
      </c>
      <c r="H49" s="127">
        <v>0</v>
      </c>
      <c r="I49" s="48">
        <f>+G49</f>
        <v>0</v>
      </c>
      <c r="J49" s="48">
        <f>+H49</f>
        <v>0</v>
      </c>
      <c r="K49" s="73">
        <v>34172</v>
      </c>
      <c r="L49" s="73">
        <v>12865</v>
      </c>
      <c r="M49" s="156">
        <f t="shared" si="16"/>
        <v>1206521</v>
      </c>
      <c r="N49" s="155">
        <f t="shared" si="16"/>
        <v>648232</v>
      </c>
      <c r="O49" s="185"/>
      <c r="P49" s="186"/>
      <c r="Q49" s="15"/>
      <c r="R49" s="15"/>
      <c r="S49" s="16">
        <f t="shared" si="13"/>
        <v>0</v>
      </c>
      <c r="T49" s="15">
        <f t="shared" si="6"/>
        <v>47037</v>
      </c>
      <c r="U49" s="15">
        <f t="shared" si="3"/>
        <v>0</v>
      </c>
      <c r="V49" s="36">
        <f t="shared" si="7"/>
        <v>1854753</v>
      </c>
    </row>
    <row r="50" spans="1:22" ht="14.4" x14ac:dyDescent="0.3">
      <c r="A50" s="161">
        <f t="shared" si="8"/>
        <v>42</v>
      </c>
      <c r="B50" s="90">
        <f t="shared" si="4"/>
        <v>45702</v>
      </c>
      <c r="C50" s="91">
        <v>0</v>
      </c>
      <c r="D50" s="91">
        <v>0</v>
      </c>
      <c r="E50" s="48">
        <f t="shared" ref="E50:F59" si="17">+C50</f>
        <v>0</v>
      </c>
      <c r="F50" s="48">
        <f t="shared" si="17"/>
        <v>0</v>
      </c>
      <c r="G50" s="126">
        <v>0</v>
      </c>
      <c r="H50" s="127">
        <v>0</v>
      </c>
      <c r="I50" s="48">
        <f t="shared" ref="I50:J59" si="18">+G50</f>
        <v>0</v>
      </c>
      <c r="J50" s="48">
        <f t="shared" si="18"/>
        <v>0</v>
      </c>
      <c r="K50" s="73">
        <v>30348</v>
      </c>
      <c r="L50" s="73">
        <v>11409</v>
      </c>
      <c r="M50" s="156">
        <f t="shared" si="16"/>
        <v>1236869</v>
      </c>
      <c r="N50" s="155">
        <f t="shared" si="16"/>
        <v>659641</v>
      </c>
      <c r="O50" s="185"/>
      <c r="P50" s="186"/>
      <c r="Q50" s="15"/>
      <c r="R50" s="15"/>
      <c r="S50" s="16">
        <f t="shared" si="13"/>
        <v>0</v>
      </c>
      <c r="T50" s="15">
        <f t="shared" si="6"/>
        <v>41757</v>
      </c>
      <c r="U50" s="15">
        <f t="shared" si="3"/>
        <v>0</v>
      </c>
      <c r="V50" s="36">
        <f t="shared" si="7"/>
        <v>1896510</v>
      </c>
    </row>
    <row r="51" spans="1:22" ht="14.4" x14ac:dyDescent="0.3">
      <c r="A51" s="161">
        <f t="shared" si="8"/>
        <v>43</v>
      </c>
      <c r="B51" s="90">
        <f t="shared" si="4"/>
        <v>45709</v>
      </c>
      <c r="C51" s="91">
        <v>0</v>
      </c>
      <c r="D51" s="91">
        <v>0</v>
      </c>
      <c r="E51" s="48">
        <f t="shared" si="17"/>
        <v>0</v>
      </c>
      <c r="F51" s="48">
        <f t="shared" si="17"/>
        <v>0</v>
      </c>
      <c r="G51" s="126">
        <v>0</v>
      </c>
      <c r="H51" s="127">
        <v>0</v>
      </c>
      <c r="I51" s="48">
        <f t="shared" si="18"/>
        <v>0</v>
      </c>
      <c r="J51" s="48">
        <f t="shared" si="18"/>
        <v>0</v>
      </c>
      <c r="K51" s="73">
        <v>31239</v>
      </c>
      <c r="L51" s="73">
        <v>11258</v>
      </c>
      <c r="M51" s="156">
        <f t="shared" si="16"/>
        <v>1268108</v>
      </c>
      <c r="N51" s="155">
        <f t="shared" si="16"/>
        <v>670899</v>
      </c>
      <c r="O51" s="185"/>
      <c r="P51" s="186"/>
      <c r="Q51" s="15"/>
      <c r="R51" s="15"/>
      <c r="S51" s="16">
        <f t="shared" si="13"/>
        <v>0</v>
      </c>
      <c r="T51" s="15">
        <f t="shared" si="6"/>
        <v>42497</v>
      </c>
      <c r="U51" s="15">
        <f t="shared" si="3"/>
        <v>0</v>
      </c>
      <c r="V51" s="36">
        <f t="shared" si="7"/>
        <v>1939007</v>
      </c>
    </row>
    <row r="52" spans="1:22" ht="14.4" x14ac:dyDescent="0.3">
      <c r="A52" s="161">
        <f t="shared" si="8"/>
        <v>44</v>
      </c>
      <c r="B52" s="90">
        <f t="shared" si="4"/>
        <v>45716</v>
      </c>
      <c r="C52" s="91">
        <v>0</v>
      </c>
      <c r="D52" s="91">
        <v>0</v>
      </c>
      <c r="E52" s="48">
        <f t="shared" si="17"/>
        <v>0</v>
      </c>
      <c r="F52" s="48">
        <f t="shared" si="17"/>
        <v>0</v>
      </c>
      <c r="G52" s="126">
        <v>0</v>
      </c>
      <c r="H52" s="127">
        <v>0</v>
      </c>
      <c r="I52" s="48">
        <f t="shared" si="18"/>
        <v>0</v>
      </c>
      <c r="J52" s="48">
        <f t="shared" si="18"/>
        <v>0</v>
      </c>
      <c r="K52" s="73">
        <v>33227</v>
      </c>
      <c r="L52" s="73">
        <v>15765</v>
      </c>
      <c r="M52" s="156">
        <f t="shared" si="16"/>
        <v>1301335</v>
      </c>
      <c r="N52" s="155">
        <f t="shared" si="16"/>
        <v>686664</v>
      </c>
      <c r="O52" s="185"/>
      <c r="P52" s="186"/>
      <c r="Q52" s="15"/>
      <c r="R52" s="15"/>
      <c r="S52" s="16">
        <f t="shared" si="13"/>
        <v>0</v>
      </c>
      <c r="T52" s="15">
        <f t="shared" si="6"/>
        <v>48992</v>
      </c>
      <c r="U52" s="15">
        <f t="shared" si="3"/>
        <v>0</v>
      </c>
      <c r="V52" s="36">
        <f t="shared" si="7"/>
        <v>1987999</v>
      </c>
    </row>
    <row r="53" spans="1:22" ht="14.4" x14ac:dyDescent="0.3">
      <c r="A53" s="161">
        <f t="shared" si="8"/>
        <v>45</v>
      </c>
      <c r="B53" s="90">
        <f t="shared" si="4"/>
        <v>45723</v>
      </c>
      <c r="C53" s="91">
        <v>0</v>
      </c>
      <c r="D53" s="91">
        <v>0</v>
      </c>
      <c r="E53" s="48">
        <f t="shared" si="17"/>
        <v>0</v>
      </c>
      <c r="F53" s="48">
        <f t="shared" si="17"/>
        <v>0</v>
      </c>
      <c r="G53" s="126">
        <v>0</v>
      </c>
      <c r="H53" s="127">
        <v>0</v>
      </c>
      <c r="I53" s="48">
        <f t="shared" si="18"/>
        <v>0</v>
      </c>
      <c r="J53" s="48">
        <f t="shared" si="18"/>
        <v>0</v>
      </c>
      <c r="K53" s="73">
        <v>25932</v>
      </c>
      <c r="L53" s="73">
        <v>14174</v>
      </c>
      <c r="M53" s="156">
        <f t="shared" si="16"/>
        <v>1327267</v>
      </c>
      <c r="N53" s="155">
        <f t="shared" si="16"/>
        <v>700838</v>
      </c>
      <c r="O53" s="185"/>
      <c r="P53" s="186"/>
      <c r="Q53" s="15"/>
      <c r="R53" s="15"/>
      <c r="S53" s="16">
        <f t="shared" si="13"/>
        <v>0</v>
      </c>
      <c r="T53" s="15">
        <f t="shared" si="6"/>
        <v>40106</v>
      </c>
      <c r="U53" s="15">
        <f t="shared" si="3"/>
        <v>0</v>
      </c>
      <c r="V53" s="36">
        <f t="shared" si="7"/>
        <v>2028105</v>
      </c>
    </row>
    <row r="54" spans="1:22" ht="14.4" x14ac:dyDescent="0.3">
      <c r="A54" s="161">
        <f t="shared" si="8"/>
        <v>46</v>
      </c>
      <c r="B54" s="90">
        <f t="shared" si="4"/>
        <v>45730</v>
      </c>
      <c r="C54" s="91">
        <v>0</v>
      </c>
      <c r="D54" s="91">
        <v>0</v>
      </c>
      <c r="E54" s="48">
        <f t="shared" si="17"/>
        <v>0</v>
      </c>
      <c r="F54" s="48">
        <f t="shared" si="17"/>
        <v>0</v>
      </c>
      <c r="G54" s="126">
        <v>0</v>
      </c>
      <c r="H54" s="127">
        <v>0</v>
      </c>
      <c r="I54" s="48">
        <f t="shared" si="18"/>
        <v>0</v>
      </c>
      <c r="J54" s="48">
        <f t="shared" si="18"/>
        <v>0</v>
      </c>
      <c r="K54" s="73">
        <v>27740</v>
      </c>
      <c r="L54" s="73">
        <v>15457</v>
      </c>
      <c r="M54" s="156">
        <f t="shared" si="16"/>
        <v>1355007</v>
      </c>
      <c r="N54" s="155">
        <f t="shared" si="16"/>
        <v>716295</v>
      </c>
      <c r="O54" s="185"/>
      <c r="P54" s="186"/>
      <c r="Q54" s="15"/>
      <c r="R54" s="15"/>
      <c r="S54" s="16">
        <f t="shared" si="13"/>
        <v>0</v>
      </c>
      <c r="T54" s="15">
        <f t="shared" si="6"/>
        <v>43197</v>
      </c>
      <c r="U54" s="15">
        <f t="shared" si="3"/>
        <v>0</v>
      </c>
      <c r="V54" s="36">
        <f t="shared" si="7"/>
        <v>2071302</v>
      </c>
    </row>
    <row r="55" spans="1:22" ht="14.4" x14ac:dyDescent="0.3">
      <c r="A55" s="161">
        <f t="shared" si="8"/>
        <v>47</v>
      </c>
      <c r="B55" s="90">
        <f t="shared" si="4"/>
        <v>45737</v>
      </c>
      <c r="C55" s="91">
        <v>0</v>
      </c>
      <c r="D55" s="91">
        <v>0</v>
      </c>
      <c r="E55" s="48">
        <f t="shared" si="17"/>
        <v>0</v>
      </c>
      <c r="F55" s="48">
        <f t="shared" si="17"/>
        <v>0</v>
      </c>
      <c r="G55" s="126">
        <v>0</v>
      </c>
      <c r="H55" s="127">
        <v>0</v>
      </c>
      <c r="I55" s="48">
        <f t="shared" si="18"/>
        <v>0</v>
      </c>
      <c r="J55" s="48">
        <f t="shared" si="18"/>
        <v>0</v>
      </c>
      <c r="K55" s="73">
        <v>21145</v>
      </c>
      <c r="L55" s="73">
        <v>10697</v>
      </c>
      <c r="M55" s="156">
        <f t="shared" si="16"/>
        <v>1376152</v>
      </c>
      <c r="N55" s="155">
        <f t="shared" si="16"/>
        <v>726992</v>
      </c>
      <c r="O55" s="185"/>
      <c r="P55" s="186"/>
      <c r="Q55" s="15"/>
      <c r="R55" s="15"/>
      <c r="S55" s="16">
        <f t="shared" si="13"/>
        <v>0</v>
      </c>
      <c r="T55" s="15">
        <f t="shared" si="6"/>
        <v>31842</v>
      </c>
      <c r="U55" s="15">
        <f t="shared" si="3"/>
        <v>0</v>
      </c>
      <c r="V55" s="36">
        <f t="shared" si="7"/>
        <v>2103144</v>
      </c>
    </row>
    <row r="56" spans="1:22" ht="14.4" x14ac:dyDescent="0.3">
      <c r="A56" s="161">
        <f t="shared" si="8"/>
        <v>48</v>
      </c>
      <c r="B56" s="90">
        <f t="shared" si="4"/>
        <v>45744</v>
      </c>
      <c r="C56" s="91">
        <v>0</v>
      </c>
      <c r="D56" s="91">
        <v>0</v>
      </c>
      <c r="E56" s="48">
        <f t="shared" si="17"/>
        <v>0</v>
      </c>
      <c r="F56" s="48">
        <f t="shared" si="17"/>
        <v>0</v>
      </c>
      <c r="G56" s="126">
        <v>0</v>
      </c>
      <c r="H56" s="127">
        <v>0</v>
      </c>
      <c r="I56" s="48">
        <f t="shared" si="18"/>
        <v>0</v>
      </c>
      <c r="J56" s="48">
        <f t="shared" si="18"/>
        <v>0</v>
      </c>
      <c r="K56" s="73">
        <v>26515</v>
      </c>
      <c r="L56" s="73">
        <v>12435</v>
      </c>
      <c r="M56" s="156">
        <f t="shared" si="16"/>
        <v>1402667</v>
      </c>
      <c r="N56" s="155">
        <f t="shared" si="16"/>
        <v>739427</v>
      </c>
      <c r="O56" s="185"/>
      <c r="P56" s="186"/>
      <c r="Q56" s="15"/>
      <c r="R56" s="15"/>
      <c r="S56" s="16">
        <f t="shared" si="13"/>
        <v>0</v>
      </c>
      <c r="T56" s="15">
        <f t="shared" si="6"/>
        <v>38950</v>
      </c>
      <c r="U56" s="15">
        <f t="shared" si="3"/>
        <v>0</v>
      </c>
      <c r="V56" s="36">
        <f t="shared" si="7"/>
        <v>2142094</v>
      </c>
    </row>
    <row r="57" spans="1:22" ht="14.4" x14ac:dyDescent="0.3">
      <c r="A57" s="161">
        <f t="shared" si="8"/>
        <v>49</v>
      </c>
      <c r="B57" s="90">
        <f t="shared" si="4"/>
        <v>45751</v>
      </c>
      <c r="C57" s="91">
        <v>0</v>
      </c>
      <c r="D57" s="91">
        <v>0</v>
      </c>
      <c r="E57" s="48">
        <f t="shared" si="17"/>
        <v>0</v>
      </c>
      <c r="F57" s="48">
        <f t="shared" si="17"/>
        <v>0</v>
      </c>
      <c r="G57" s="126">
        <v>0</v>
      </c>
      <c r="H57" s="127">
        <v>0</v>
      </c>
      <c r="I57" s="48">
        <f t="shared" si="18"/>
        <v>0</v>
      </c>
      <c r="J57" s="48">
        <f t="shared" si="18"/>
        <v>0</v>
      </c>
      <c r="K57" s="148">
        <v>20693</v>
      </c>
      <c r="L57" s="73">
        <v>8217</v>
      </c>
      <c r="M57" s="156">
        <f t="shared" si="16"/>
        <v>1423360</v>
      </c>
      <c r="N57" s="155">
        <f t="shared" si="16"/>
        <v>747644</v>
      </c>
      <c r="O57" s="185"/>
      <c r="P57" s="186"/>
      <c r="Q57" s="15"/>
      <c r="R57" s="15"/>
      <c r="S57" s="16">
        <f t="shared" si="13"/>
        <v>0</v>
      </c>
      <c r="T57" s="15">
        <f>K57+L57</f>
        <v>28910</v>
      </c>
      <c r="U57" s="15">
        <f t="shared" si="3"/>
        <v>0</v>
      </c>
      <c r="V57" s="36">
        <f t="shared" si="7"/>
        <v>2171004</v>
      </c>
    </row>
    <row r="58" spans="1:22" ht="14.4" x14ac:dyDescent="0.3">
      <c r="A58" s="161">
        <f t="shared" si="8"/>
        <v>50</v>
      </c>
      <c r="B58" s="90">
        <f t="shared" si="4"/>
        <v>45758</v>
      </c>
      <c r="C58" s="91">
        <v>0</v>
      </c>
      <c r="D58" s="91">
        <v>0</v>
      </c>
      <c r="E58" s="48">
        <f t="shared" si="17"/>
        <v>0</v>
      </c>
      <c r="F58" s="48">
        <f t="shared" si="17"/>
        <v>0</v>
      </c>
      <c r="G58" s="126">
        <v>0</v>
      </c>
      <c r="H58" s="127">
        <v>0</v>
      </c>
      <c r="I58" s="48">
        <f t="shared" si="18"/>
        <v>0</v>
      </c>
      <c r="J58" s="48">
        <f t="shared" si="18"/>
        <v>0</v>
      </c>
      <c r="K58" s="148">
        <v>28161</v>
      </c>
      <c r="L58" s="73">
        <v>7513</v>
      </c>
      <c r="M58" s="156">
        <f t="shared" ref="M58:N60" si="19">M57+K58</f>
        <v>1451521</v>
      </c>
      <c r="N58" s="155">
        <f t="shared" si="19"/>
        <v>755157</v>
      </c>
      <c r="O58" s="185"/>
      <c r="P58" s="186"/>
      <c r="Q58" s="15"/>
      <c r="R58" s="15"/>
      <c r="S58" s="16">
        <f t="shared" si="13"/>
        <v>0</v>
      </c>
      <c r="T58" s="15">
        <f t="shared" si="6"/>
        <v>35674</v>
      </c>
      <c r="U58" s="15">
        <f t="shared" si="3"/>
        <v>0</v>
      </c>
      <c r="V58" s="36">
        <f t="shared" si="7"/>
        <v>2206678</v>
      </c>
    </row>
    <row r="59" spans="1:22" ht="14.4" x14ac:dyDescent="0.3">
      <c r="A59" s="161">
        <f t="shared" si="8"/>
        <v>51</v>
      </c>
      <c r="B59" s="90">
        <f t="shared" si="4"/>
        <v>45765</v>
      </c>
      <c r="C59" s="91">
        <v>0</v>
      </c>
      <c r="D59" s="91">
        <v>0</v>
      </c>
      <c r="E59" s="48">
        <f t="shared" si="17"/>
        <v>0</v>
      </c>
      <c r="F59" s="48">
        <f t="shared" si="17"/>
        <v>0</v>
      </c>
      <c r="G59" s="126">
        <v>0</v>
      </c>
      <c r="H59" s="127">
        <v>0</v>
      </c>
      <c r="I59" s="48">
        <f t="shared" si="18"/>
        <v>0</v>
      </c>
      <c r="J59" s="48">
        <f t="shared" si="18"/>
        <v>0</v>
      </c>
      <c r="K59" s="148">
        <v>13725</v>
      </c>
      <c r="L59" s="149">
        <v>7389</v>
      </c>
      <c r="M59" s="156">
        <f t="shared" si="19"/>
        <v>1465246</v>
      </c>
      <c r="N59" s="155">
        <f t="shared" si="19"/>
        <v>762546</v>
      </c>
      <c r="O59" s="185"/>
      <c r="P59" s="186"/>
      <c r="Q59" s="15"/>
      <c r="R59" s="15"/>
      <c r="S59" s="16">
        <f t="shared" si="13"/>
        <v>0</v>
      </c>
      <c r="T59" s="15">
        <f t="shared" si="6"/>
        <v>21114</v>
      </c>
      <c r="U59" s="15">
        <f t="shared" si="3"/>
        <v>0</v>
      </c>
      <c r="V59" s="36">
        <f t="shared" si="7"/>
        <v>2227792</v>
      </c>
    </row>
    <row r="60" spans="1:22" ht="14.4" x14ac:dyDescent="0.3">
      <c r="A60" s="161">
        <f t="shared" si="8"/>
        <v>52</v>
      </c>
      <c r="B60" s="90">
        <f t="shared" si="4"/>
        <v>45772</v>
      </c>
      <c r="C60" s="91">
        <v>0</v>
      </c>
      <c r="D60" s="91">
        <v>0</v>
      </c>
      <c r="E60" s="48">
        <f>E59+C60</f>
        <v>0</v>
      </c>
      <c r="F60" s="48">
        <f>F59+D60</f>
        <v>0</v>
      </c>
      <c r="G60" s="126">
        <v>0</v>
      </c>
      <c r="H60" s="127">
        <v>0</v>
      </c>
      <c r="I60" s="48">
        <f>+G60</f>
        <v>0</v>
      </c>
      <c r="J60" s="48">
        <f>+H60</f>
        <v>0</v>
      </c>
      <c r="K60" s="148">
        <v>13276</v>
      </c>
      <c r="L60" s="73">
        <v>7831</v>
      </c>
      <c r="M60" s="156">
        <f t="shared" si="19"/>
        <v>1478522</v>
      </c>
      <c r="N60" s="155">
        <f t="shared" si="19"/>
        <v>770377</v>
      </c>
      <c r="O60" s="185"/>
      <c r="P60" s="186"/>
      <c r="Q60" s="15"/>
      <c r="R60" s="15"/>
      <c r="S60" s="16">
        <f t="shared" si="13"/>
        <v>0</v>
      </c>
      <c r="T60" s="15">
        <f t="shared" si="6"/>
        <v>21107</v>
      </c>
      <c r="U60" s="15">
        <f t="shared" si="3"/>
        <v>0</v>
      </c>
      <c r="V60" s="36">
        <f t="shared" si="7"/>
        <v>2248899</v>
      </c>
    </row>
    <row r="61" spans="1:22" ht="15" thickBot="1" x14ac:dyDescent="0.35">
      <c r="A61" s="161">
        <f t="shared" si="8"/>
        <v>53</v>
      </c>
      <c r="B61" s="136"/>
      <c r="C61" s="140">
        <v>0</v>
      </c>
      <c r="D61" s="140">
        <v>0</v>
      </c>
      <c r="E61" s="141">
        <f>E60+C61</f>
        <v>0</v>
      </c>
      <c r="F61" s="46">
        <f>F60+D61</f>
        <v>0</v>
      </c>
      <c r="G61" s="131">
        <v>0</v>
      </c>
      <c r="H61" s="132">
        <v>0</v>
      </c>
      <c r="I61" s="46">
        <f>+G61</f>
        <v>0</v>
      </c>
      <c r="J61" s="142">
        <f>+H61</f>
        <v>0</v>
      </c>
      <c r="K61" s="150"/>
      <c r="L61" s="150"/>
      <c r="M61" s="157">
        <f>M60+K61</f>
        <v>1478522</v>
      </c>
      <c r="N61" s="158">
        <f>N60+L61</f>
        <v>770377</v>
      </c>
      <c r="O61" s="189"/>
      <c r="P61" s="190"/>
      <c r="Q61" s="39"/>
      <c r="R61" s="39"/>
      <c r="S61" s="37">
        <f>C61+D61</f>
        <v>0</v>
      </c>
      <c r="T61" s="39">
        <f>K61+L61</f>
        <v>0</v>
      </c>
      <c r="U61" s="39">
        <f>E61+F61</f>
        <v>0</v>
      </c>
      <c r="V61" s="38">
        <f>M61+N61</f>
        <v>2248899</v>
      </c>
    </row>
    <row r="62" spans="1:22" x14ac:dyDescent="0.25">
      <c r="A62" s="161"/>
      <c r="B62" s="191"/>
      <c r="C62" s="161"/>
      <c r="D62" s="161"/>
      <c r="E62" s="49"/>
      <c r="F62" s="49"/>
      <c r="G62" s="49"/>
      <c r="H62" s="49"/>
      <c r="I62" s="49"/>
      <c r="J62" s="49"/>
      <c r="K62" s="169"/>
      <c r="L62" s="169"/>
      <c r="M62" s="155"/>
      <c r="N62" s="155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161"/>
      <c r="B63" s="191"/>
      <c r="C63" s="161"/>
      <c r="D63" s="161"/>
      <c r="E63" s="161"/>
      <c r="F63" s="161"/>
      <c r="G63" s="161"/>
      <c r="H63" s="161"/>
      <c r="I63" s="161"/>
      <c r="J63" s="161"/>
      <c r="K63" s="169"/>
      <c r="L63" s="169"/>
      <c r="M63" s="169"/>
      <c r="N63" s="169"/>
      <c r="O63" s="161"/>
      <c r="P63" s="161"/>
      <c r="Q63" s="161"/>
      <c r="R63" s="161"/>
      <c r="S63" s="161"/>
      <c r="T63" s="161"/>
      <c r="U63" s="161"/>
      <c r="V63" s="161"/>
    </row>
    <row r="64" spans="1:22" x14ac:dyDescent="0.25">
      <c r="A64" s="161"/>
      <c r="B64" s="191"/>
      <c r="C64" s="161"/>
      <c r="D64" s="161"/>
      <c r="E64" s="161"/>
      <c r="F64" s="161"/>
      <c r="G64" s="161"/>
      <c r="H64" s="161"/>
      <c r="I64" s="161"/>
      <c r="J64" s="161"/>
      <c r="K64" s="169"/>
      <c r="L64" s="169"/>
      <c r="M64" s="169"/>
      <c r="N64" s="169"/>
      <c r="O64" s="161"/>
      <c r="P64" s="161"/>
      <c r="Q64" s="161"/>
      <c r="R64" s="161"/>
      <c r="S64" s="161"/>
      <c r="T64" s="161"/>
      <c r="U64" s="161"/>
      <c r="V64" s="161"/>
    </row>
    <row r="65" spans="2:11" x14ac:dyDescent="0.25">
      <c r="B65" s="191"/>
      <c r="C65" s="161"/>
      <c r="D65" s="161"/>
      <c r="E65" s="161"/>
      <c r="F65" s="161"/>
      <c r="G65" s="161"/>
      <c r="H65" s="161"/>
      <c r="I65" s="161"/>
      <c r="J65" s="161"/>
      <c r="K65" s="169"/>
    </row>
    <row r="66" spans="2:11" x14ac:dyDescent="0.25">
      <c r="B66" s="191"/>
      <c r="C66" s="161"/>
      <c r="D66" s="161"/>
      <c r="E66" s="161"/>
      <c r="F66" s="161"/>
      <c r="G66" s="161"/>
      <c r="H66" s="161"/>
      <c r="I66" s="161"/>
      <c r="J66" s="161"/>
      <c r="K66" s="169"/>
    </row>
    <row r="67" spans="2:11" x14ac:dyDescent="0.25">
      <c r="B67" s="191"/>
      <c r="C67" s="161"/>
      <c r="D67" s="161"/>
      <c r="E67" s="161"/>
      <c r="F67" s="161"/>
      <c r="G67" s="161"/>
      <c r="H67" s="161"/>
      <c r="I67" s="161"/>
      <c r="J67" s="161"/>
      <c r="K67" s="169"/>
    </row>
    <row r="68" spans="2:11" x14ac:dyDescent="0.25">
      <c r="B68" s="191"/>
      <c r="C68" s="161"/>
      <c r="D68" s="161"/>
      <c r="E68" s="161"/>
      <c r="F68" s="161"/>
      <c r="G68" s="161"/>
      <c r="H68" s="161"/>
      <c r="I68" s="161"/>
      <c r="J68" s="161"/>
      <c r="K68" s="169"/>
    </row>
    <row r="69" spans="2:11" x14ac:dyDescent="0.25">
      <c r="B69" s="191"/>
      <c r="C69" s="161"/>
      <c r="D69" s="161"/>
      <c r="E69" s="161"/>
      <c r="F69" s="161"/>
      <c r="G69" s="161"/>
      <c r="H69" s="161"/>
      <c r="I69" s="161"/>
      <c r="J69" s="161"/>
      <c r="K69" s="169"/>
    </row>
    <row r="70" spans="2:11" x14ac:dyDescent="0.25">
      <c r="B70" s="191"/>
      <c r="C70" s="161"/>
      <c r="D70" s="161"/>
      <c r="E70" s="161"/>
      <c r="F70" s="161"/>
      <c r="G70" s="161"/>
      <c r="H70" s="161"/>
      <c r="I70" s="161"/>
      <c r="J70" s="161"/>
      <c r="K70" s="169"/>
    </row>
    <row r="71" spans="2:11" x14ac:dyDescent="0.25">
      <c r="B71" s="191"/>
      <c r="C71" s="161"/>
      <c r="D71" s="161"/>
      <c r="E71" s="161"/>
      <c r="F71" s="161"/>
      <c r="G71" s="161"/>
      <c r="H71" s="161"/>
      <c r="I71" s="161"/>
      <c r="J71" s="161"/>
      <c r="K71" s="169"/>
    </row>
    <row r="72" spans="2:11" x14ac:dyDescent="0.25">
      <c r="B72" s="191"/>
      <c r="C72" s="161"/>
      <c r="D72" s="161"/>
      <c r="E72" s="161"/>
      <c r="F72" s="161"/>
      <c r="G72" s="161"/>
      <c r="H72" s="161"/>
      <c r="I72" s="161"/>
      <c r="J72" s="161"/>
      <c r="K72" s="169"/>
    </row>
    <row r="73" spans="2:11" x14ac:dyDescent="0.25">
      <c r="B73" s="191"/>
      <c r="C73" s="161"/>
      <c r="D73" s="161"/>
      <c r="E73" s="161"/>
      <c r="F73" s="161"/>
      <c r="G73" s="161"/>
      <c r="H73" s="161"/>
      <c r="I73" s="161"/>
      <c r="J73" s="161"/>
      <c r="K73" s="169"/>
    </row>
    <row r="74" spans="2:11" x14ac:dyDescent="0.25">
      <c r="B74" s="191"/>
      <c r="C74" s="161"/>
      <c r="D74" s="161"/>
      <c r="E74" s="161"/>
      <c r="F74" s="161"/>
      <c r="G74" s="161"/>
      <c r="H74" s="161"/>
      <c r="I74" s="161"/>
      <c r="J74" s="161"/>
      <c r="K74" s="169"/>
    </row>
    <row r="75" spans="2:11" x14ac:dyDescent="0.25">
      <c r="B75" s="191"/>
      <c r="C75" s="161"/>
      <c r="D75" s="161"/>
      <c r="E75" s="161"/>
      <c r="F75" s="161"/>
      <c r="G75" s="161"/>
      <c r="H75" s="161"/>
      <c r="I75" s="161"/>
      <c r="J75" s="161"/>
      <c r="K75" s="169"/>
    </row>
    <row r="76" spans="2:11" x14ac:dyDescent="0.25">
      <c r="B76" s="191"/>
      <c r="C76" s="161"/>
      <c r="D76" s="161"/>
      <c r="E76" s="161"/>
      <c r="F76" s="161"/>
      <c r="G76" s="161"/>
      <c r="H76" s="161"/>
      <c r="I76" s="161"/>
      <c r="J76" s="161"/>
      <c r="K76" s="169"/>
    </row>
    <row r="77" spans="2:11" x14ac:dyDescent="0.25">
      <c r="B77" s="191"/>
      <c r="C77" s="161"/>
      <c r="D77" s="161"/>
      <c r="E77" s="161"/>
      <c r="F77" s="161"/>
      <c r="G77" s="161"/>
      <c r="H77" s="161"/>
      <c r="I77" s="161"/>
      <c r="J77" s="161"/>
      <c r="K77" s="169"/>
    </row>
    <row r="78" spans="2:11" x14ac:dyDescent="0.25">
      <c r="B78" s="192"/>
      <c r="C78" s="161"/>
      <c r="D78" s="161"/>
      <c r="E78" s="161"/>
      <c r="F78" s="161"/>
      <c r="G78" s="161"/>
      <c r="H78" s="161"/>
      <c r="I78" s="161"/>
      <c r="J78" s="161"/>
      <c r="K78" s="169"/>
    </row>
    <row r="79" spans="2:11" x14ac:dyDescent="0.25">
      <c r="B79" s="192"/>
      <c r="C79" s="161"/>
      <c r="D79" s="161"/>
      <c r="E79" s="161"/>
      <c r="F79" s="161"/>
      <c r="G79" s="161"/>
      <c r="H79" s="161"/>
      <c r="I79" s="161"/>
      <c r="J79" s="161"/>
      <c r="K79" s="169"/>
    </row>
    <row r="80" spans="2:11" x14ac:dyDescent="0.25">
      <c r="B80" s="192"/>
      <c r="C80" s="161"/>
      <c r="D80" s="161"/>
      <c r="E80" s="161"/>
      <c r="F80" s="161"/>
      <c r="G80" s="161"/>
      <c r="H80" s="161"/>
      <c r="I80" s="161"/>
      <c r="J80" s="161"/>
      <c r="K80" s="169"/>
    </row>
    <row r="81" spans="2:2" x14ac:dyDescent="0.25">
      <c r="B81" s="192"/>
    </row>
    <row r="82" spans="2:2" x14ac:dyDescent="0.25">
      <c r="B82" s="192"/>
    </row>
    <row r="83" spans="2:2" x14ac:dyDescent="0.25">
      <c r="B83" s="192"/>
    </row>
    <row r="84" spans="2:2" x14ac:dyDescent="0.25">
      <c r="B84" s="192"/>
    </row>
    <row r="85" spans="2:2" x14ac:dyDescent="0.25">
      <c r="B85" s="192"/>
    </row>
    <row r="86" spans="2:2" x14ac:dyDescent="0.25">
      <c r="B86" s="192"/>
    </row>
    <row r="87" spans="2:2" x14ac:dyDescent="0.25">
      <c r="B87" s="192"/>
    </row>
    <row r="88" spans="2:2" x14ac:dyDescent="0.25">
      <c r="B88" s="192"/>
    </row>
    <row r="89" spans="2:2" x14ac:dyDescent="0.25">
      <c r="B89" s="192"/>
    </row>
    <row r="90" spans="2:2" x14ac:dyDescent="0.25">
      <c r="B90" s="192"/>
    </row>
    <row r="91" spans="2:2" x14ac:dyDescent="0.25">
      <c r="B91" s="192"/>
    </row>
    <row r="92" spans="2:2" x14ac:dyDescent="0.25">
      <c r="B92" s="192"/>
    </row>
    <row r="93" spans="2:2" x14ac:dyDescent="0.25">
      <c r="B93" s="192"/>
    </row>
    <row r="94" spans="2:2" x14ac:dyDescent="0.25">
      <c r="B94" s="192"/>
    </row>
    <row r="95" spans="2:2" x14ac:dyDescent="0.25">
      <c r="B95" s="192"/>
    </row>
    <row r="96" spans="2:2" x14ac:dyDescent="0.25">
      <c r="B96" s="192"/>
    </row>
    <row r="97" spans="2:2" x14ac:dyDescent="0.25">
      <c r="B97" s="192"/>
    </row>
    <row r="98" spans="2:2" x14ac:dyDescent="0.25">
      <c r="B98" s="192"/>
    </row>
    <row r="99" spans="2:2" x14ac:dyDescent="0.25">
      <c r="B99" s="192"/>
    </row>
    <row r="100" spans="2:2" x14ac:dyDescent="0.25">
      <c r="B100" s="192"/>
    </row>
    <row r="101" spans="2:2" x14ac:dyDescent="0.25">
      <c r="B101" s="192"/>
    </row>
    <row r="102" spans="2:2" x14ac:dyDescent="0.25">
      <c r="B102" s="192"/>
    </row>
    <row r="103" spans="2:2" x14ac:dyDescent="0.25">
      <c r="B103" s="192"/>
    </row>
    <row r="104" spans="2:2" x14ac:dyDescent="0.25">
      <c r="B104" s="192"/>
    </row>
    <row r="105" spans="2:2" x14ac:dyDescent="0.25">
      <c r="B105" s="192"/>
    </row>
    <row r="106" spans="2:2" x14ac:dyDescent="0.25">
      <c r="B106" s="192"/>
    </row>
    <row r="107" spans="2:2" x14ac:dyDescent="0.25">
      <c r="B107" s="192"/>
    </row>
    <row r="108" spans="2:2" x14ac:dyDescent="0.25">
      <c r="B108" s="192"/>
    </row>
    <row r="109" spans="2:2" x14ac:dyDescent="0.25">
      <c r="B109" s="192"/>
    </row>
    <row r="110" spans="2:2" x14ac:dyDescent="0.25">
      <c r="B110" s="192"/>
    </row>
    <row r="111" spans="2:2" x14ac:dyDescent="0.25">
      <c r="B111" s="192"/>
    </row>
    <row r="112" spans="2:2" x14ac:dyDescent="0.25">
      <c r="B112" s="192"/>
    </row>
    <row r="113" spans="2:2" x14ac:dyDescent="0.25">
      <c r="B113" s="192"/>
    </row>
    <row r="114" spans="2:2" x14ac:dyDescent="0.25">
      <c r="B114" s="192"/>
    </row>
    <row r="115" spans="2:2" x14ac:dyDescent="0.25">
      <c r="B115" s="192"/>
    </row>
    <row r="116" spans="2:2" x14ac:dyDescent="0.25">
      <c r="B116" s="192"/>
    </row>
    <row r="117" spans="2:2" x14ac:dyDescent="0.25">
      <c r="B117" s="192"/>
    </row>
    <row r="118" spans="2:2" x14ac:dyDescent="0.25">
      <c r="B118" s="192"/>
    </row>
    <row r="119" spans="2:2" x14ac:dyDescent="0.25">
      <c r="B119" s="192"/>
    </row>
    <row r="120" spans="2:2" x14ac:dyDescent="0.25">
      <c r="B120" s="192"/>
    </row>
    <row r="121" spans="2:2" x14ac:dyDescent="0.25">
      <c r="B121" s="192"/>
    </row>
    <row r="122" spans="2:2" x14ac:dyDescent="0.25">
      <c r="B122" s="192"/>
    </row>
    <row r="123" spans="2:2" x14ac:dyDescent="0.25">
      <c r="B123" s="192"/>
    </row>
    <row r="124" spans="2:2" x14ac:dyDescent="0.25">
      <c r="B124" s="192"/>
    </row>
    <row r="125" spans="2:2" x14ac:dyDescent="0.25">
      <c r="B125" s="192"/>
    </row>
    <row r="126" spans="2:2" x14ac:dyDescent="0.25">
      <c r="B126" s="192"/>
    </row>
    <row r="127" spans="2:2" x14ac:dyDescent="0.25">
      <c r="B127" s="192"/>
    </row>
    <row r="128" spans="2:2" x14ac:dyDescent="0.25">
      <c r="B128" s="192"/>
    </row>
    <row r="129" spans="2:2" x14ac:dyDescent="0.25">
      <c r="B129" s="192"/>
    </row>
    <row r="130" spans="2:2" x14ac:dyDescent="0.25">
      <c r="B130" s="192"/>
    </row>
    <row r="131" spans="2:2" x14ac:dyDescent="0.25">
      <c r="B131" s="192"/>
    </row>
    <row r="132" spans="2:2" x14ac:dyDescent="0.25">
      <c r="B132" s="192"/>
    </row>
    <row r="133" spans="2:2" x14ac:dyDescent="0.25">
      <c r="B133" s="192"/>
    </row>
    <row r="134" spans="2:2" x14ac:dyDescent="0.25">
      <c r="B134" s="192"/>
    </row>
    <row r="135" spans="2:2" x14ac:dyDescent="0.25">
      <c r="B135" s="192"/>
    </row>
    <row r="136" spans="2:2" x14ac:dyDescent="0.25">
      <c r="B136" s="192"/>
    </row>
    <row r="137" spans="2:2" x14ac:dyDescent="0.25">
      <c r="B137" s="192"/>
    </row>
    <row r="138" spans="2:2" x14ac:dyDescent="0.25">
      <c r="B138" s="192"/>
    </row>
    <row r="139" spans="2:2" x14ac:dyDescent="0.25">
      <c r="B139" s="192"/>
    </row>
    <row r="140" spans="2:2" x14ac:dyDescent="0.25">
      <c r="B140" s="192"/>
    </row>
    <row r="141" spans="2:2" x14ac:dyDescent="0.25">
      <c r="B141" s="192"/>
    </row>
    <row r="142" spans="2:2" x14ac:dyDescent="0.25">
      <c r="B142" s="192"/>
    </row>
    <row r="143" spans="2:2" x14ac:dyDescent="0.25">
      <c r="B143" s="192"/>
    </row>
    <row r="144" spans="2:2" x14ac:dyDescent="0.25">
      <c r="B144" s="192"/>
    </row>
    <row r="145" spans="2:2" x14ac:dyDescent="0.25">
      <c r="B145" s="192"/>
    </row>
    <row r="146" spans="2:2" x14ac:dyDescent="0.25">
      <c r="B146" s="192"/>
    </row>
    <row r="147" spans="2:2" x14ac:dyDescent="0.25">
      <c r="B147" s="192"/>
    </row>
    <row r="148" spans="2:2" x14ac:dyDescent="0.25">
      <c r="B148" s="192"/>
    </row>
    <row r="149" spans="2:2" x14ac:dyDescent="0.25">
      <c r="B149" s="192"/>
    </row>
    <row r="150" spans="2:2" x14ac:dyDescent="0.25">
      <c r="B150" s="192"/>
    </row>
    <row r="151" spans="2:2" x14ac:dyDescent="0.25">
      <c r="B151" s="192"/>
    </row>
    <row r="152" spans="2:2" x14ac:dyDescent="0.25">
      <c r="B152" s="192"/>
    </row>
    <row r="153" spans="2:2" x14ac:dyDescent="0.25">
      <c r="B153" s="192"/>
    </row>
    <row r="154" spans="2:2" x14ac:dyDescent="0.25">
      <c r="B154" s="192"/>
    </row>
    <row r="155" spans="2:2" x14ac:dyDescent="0.25">
      <c r="B155" s="192"/>
    </row>
    <row r="156" spans="2:2" x14ac:dyDescent="0.25">
      <c r="B156" s="192"/>
    </row>
    <row r="157" spans="2:2" x14ac:dyDescent="0.25">
      <c r="B157" s="192"/>
    </row>
    <row r="158" spans="2:2" x14ac:dyDescent="0.25">
      <c r="B158" s="192"/>
    </row>
    <row r="159" spans="2:2" x14ac:dyDescent="0.25">
      <c r="B159" s="192"/>
    </row>
    <row r="160" spans="2:2" x14ac:dyDescent="0.25">
      <c r="B160" s="192"/>
    </row>
    <row r="161" spans="2:2" x14ac:dyDescent="0.25">
      <c r="B161" s="192"/>
    </row>
    <row r="162" spans="2:2" x14ac:dyDescent="0.25">
      <c r="B162" s="192"/>
    </row>
    <row r="163" spans="2:2" x14ac:dyDescent="0.25">
      <c r="B163" s="192"/>
    </row>
    <row r="164" spans="2:2" x14ac:dyDescent="0.25">
      <c r="B164" s="192"/>
    </row>
    <row r="165" spans="2:2" x14ac:dyDescent="0.25">
      <c r="B165" s="192"/>
    </row>
    <row r="166" spans="2:2" x14ac:dyDescent="0.25">
      <c r="B166" s="192"/>
    </row>
    <row r="167" spans="2:2" x14ac:dyDescent="0.25">
      <c r="B167" s="192"/>
    </row>
    <row r="168" spans="2:2" x14ac:dyDescent="0.25">
      <c r="B168" s="192"/>
    </row>
    <row r="169" spans="2:2" x14ac:dyDescent="0.25">
      <c r="B169" s="192"/>
    </row>
    <row r="170" spans="2:2" x14ac:dyDescent="0.25">
      <c r="B170" s="192"/>
    </row>
    <row r="171" spans="2:2" x14ac:dyDescent="0.25">
      <c r="B171" s="192"/>
    </row>
    <row r="172" spans="2:2" x14ac:dyDescent="0.25">
      <c r="B172" s="192"/>
    </row>
    <row r="173" spans="2:2" x14ac:dyDescent="0.25">
      <c r="B173" s="192"/>
    </row>
    <row r="174" spans="2:2" x14ac:dyDescent="0.25">
      <c r="B174" s="192"/>
    </row>
    <row r="175" spans="2:2" x14ac:dyDescent="0.25">
      <c r="B175" s="192"/>
    </row>
    <row r="176" spans="2:2" x14ac:dyDescent="0.25">
      <c r="B176" s="192"/>
    </row>
    <row r="177" spans="2:2" x14ac:dyDescent="0.25">
      <c r="B177" s="192"/>
    </row>
    <row r="178" spans="2:2" x14ac:dyDescent="0.25">
      <c r="B178" s="192"/>
    </row>
    <row r="179" spans="2:2" x14ac:dyDescent="0.25">
      <c r="B179" s="192"/>
    </row>
    <row r="180" spans="2:2" x14ac:dyDescent="0.25">
      <c r="B180" s="192"/>
    </row>
    <row r="181" spans="2:2" x14ac:dyDescent="0.25">
      <c r="B181" s="192"/>
    </row>
    <row r="182" spans="2:2" x14ac:dyDescent="0.25">
      <c r="B182" s="192"/>
    </row>
    <row r="183" spans="2:2" x14ac:dyDescent="0.25">
      <c r="B183" s="192"/>
    </row>
    <row r="184" spans="2:2" x14ac:dyDescent="0.25">
      <c r="B184" s="192"/>
    </row>
    <row r="185" spans="2:2" x14ac:dyDescent="0.25">
      <c r="B185" s="192"/>
    </row>
    <row r="186" spans="2:2" x14ac:dyDescent="0.25">
      <c r="B186" s="192"/>
    </row>
    <row r="187" spans="2:2" x14ac:dyDescent="0.25">
      <c r="B187" s="192"/>
    </row>
    <row r="188" spans="2:2" x14ac:dyDescent="0.25">
      <c r="B188" s="192"/>
    </row>
    <row r="189" spans="2:2" x14ac:dyDescent="0.25">
      <c r="B189" s="192"/>
    </row>
    <row r="190" spans="2:2" x14ac:dyDescent="0.25">
      <c r="B190" s="192"/>
    </row>
    <row r="191" spans="2:2" x14ac:dyDescent="0.25">
      <c r="B191" s="192"/>
    </row>
    <row r="192" spans="2:2" x14ac:dyDescent="0.25">
      <c r="B192" s="192"/>
    </row>
    <row r="193" spans="2:2" x14ac:dyDescent="0.25">
      <c r="B193" s="192"/>
    </row>
    <row r="194" spans="2:2" x14ac:dyDescent="0.25">
      <c r="B194" s="192"/>
    </row>
    <row r="195" spans="2:2" x14ac:dyDescent="0.25">
      <c r="B195" s="192"/>
    </row>
    <row r="196" spans="2:2" x14ac:dyDescent="0.25">
      <c r="B196" s="192"/>
    </row>
    <row r="197" spans="2:2" x14ac:dyDescent="0.25">
      <c r="B197" s="192"/>
    </row>
    <row r="198" spans="2:2" x14ac:dyDescent="0.25">
      <c r="B198" s="192"/>
    </row>
    <row r="199" spans="2:2" x14ac:dyDescent="0.25">
      <c r="B199" s="192"/>
    </row>
    <row r="200" spans="2:2" x14ac:dyDescent="0.25">
      <c r="B200" s="192"/>
    </row>
    <row r="201" spans="2:2" x14ac:dyDescent="0.25">
      <c r="B201" s="192"/>
    </row>
    <row r="202" spans="2:2" x14ac:dyDescent="0.25">
      <c r="B202" s="192"/>
    </row>
    <row r="203" spans="2:2" x14ac:dyDescent="0.25">
      <c r="B203" s="192"/>
    </row>
    <row r="204" spans="2:2" x14ac:dyDescent="0.25">
      <c r="B204" s="192"/>
    </row>
    <row r="205" spans="2:2" x14ac:dyDescent="0.25">
      <c r="B205" s="192"/>
    </row>
    <row r="206" spans="2:2" x14ac:dyDescent="0.25">
      <c r="B206" s="192"/>
    </row>
    <row r="207" spans="2:2" x14ac:dyDescent="0.25">
      <c r="B207" s="192"/>
    </row>
    <row r="208" spans="2:2" x14ac:dyDescent="0.25">
      <c r="B208" s="192"/>
    </row>
    <row r="209" spans="2:2" x14ac:dyDescent="0.25">
      <c r="B209" s="192"/>
    </row>
    <row r="210" spans="2:2" x14ac:dyDescent="0.25">
      <c r="B210" s="192"/>
    </row>
    <row r="211" spans="2:2" x14ac:dyDescent="0.25">
      <c r="B211" s="192"/>
    </row>
    <row r="212" spans="2:2" x14ac:dyDescent="0.25">
      <c r="B212" s="192"/>
    </row>
    <row r="213" spans="2:2" x14ac:dyDescent="0.25">
      <c r="B213" s="192"/>
    </row>
    <row r="214" spans="2:2" x14ac:dyDescent="0.25">
      <c r="B214" s="192"/>
    </row>
    <row r="215" spans="2:2" x14ac:dyDescent="0.25">
      <c r="B215" s="192"/>
    </row>
    <row r="216" spans="2:2" x14ac:dyDescent="0.25">
      <c r="B216" s="192"/>
    </row>
    <row r="217" spans="2:2" x14ac:dyDescent="0.25">
      <c r="B217" s="192"/>
    </row>
    <row r="218" spans="2:2" x14ac:dyDescent="0.25">
      <c r="B218" s="192"/>
    </row>
    <row r="219" spans="2:2" x14ac:dyDescent="0.25">
      <c r="B219" s="192"/>
    </row>
    <row r="220" spans="2:2" x14ac:dyDescent="0.25">
      <c r="B220" s="192"/>
    </row>
    <row r="221" spans="2:2" x14ac:dyDescent="0.25">
      <c r="B221" s="192"/>
    </row>
    <row r="222" spans="2:2" x14ac:dyDescent="0.25">
      <c r="B222" s="192"/>
    </row>
    <row r="223" spans="2:2" x14ac:dyDescent="0.25">
      <c r="B223" s="192"/>
    </row>
    <row r="224" spans="2:2" x14ac:dyDescent="0.25">
      <c r="B224" s="192"/>
    </row>
    <row r="225" spans="2:2" x14ac:dyDescent="0.25">
      <c r="B225" s="192"/>
    </row>
    <row r="226" spans="2:2" x14ac:dyDescent="0.25">
      <c r="B226" s="192"/>
    </row>
    <row r="227" spans="2:2" x14ac:dyDescent="0.25">
      <c r="B227" s="192"/>
    </row>
    <row r="228" spans="2:2" x14ac:dyDescent="0.25">
      <c r="B228" s="192"/>
    </row>
    <row r="229" spans="2:2" x14ac:dyDescent="0.25">
      <c r="B229" s="192"/>
    </row>
    <row r="230" spans="2:2" x14ac:dyDescent="0.25">
      <c r="B230" s="192"/>
    </row>
    <row r="231" spans="2:2" x14ac:dyDescent="0.25">
      <c r="B231" s="192"/>
    </row>
    <row r="232" spans="2:2" x14ac:dyDescent="0.25">
      <c r="B232" s="192"/>
    </row>
    <row r="233" spans="2:2" x14ac:dyDescent="0.25">
      <c r="B233" s="192"/>
    </row>
    <row r="234" spans="2:2" x14ac:dyDescent="0.25">
      <c r="B234" s="192"/>
    </row>
    <row r="235" spans="2:2" x14ac:dyDescent="0.25">
      <c r="B235" s="192"/>
    </row>
    <row r="236" spans="2:2" x14ac:dyDescent="0.25">
      <c r="B236" s="192"/>
    </row>
    <row r="237" spans="2:2" x14ac:dyDescent="0.25">
      <c r="B237" s="192"/>
    </row>
    <row r="238" spans="2:2" x14ac:dyDescent="0.25">
      <c r="B238" s="192"/>
    </row>
    <row r="239" spans="2:2" x14ac:dyDescent="0.25">
      <c r="B239" s="192"/>
    </row>
    <row r="240" spans="2:2" x14ac:dyDescent="0.25">
      <c r="B240" s="192"/>
    </row>
    <row r="241" spans="2:2" x14ac:dyDescent="0.25">
      <c r="B241" s="192"/>
    </row>
    <row r="242" spans="2:2" x14ac:dyDescent="0.25">
      <c r="B242" s="192"/>
    </row>
    <row r="243" spans="2:2" x14ac:dyDescent="0.25">
      <c r="B243" s="192"/>
    </row>
    <row r="244" spans="2:2" x14ac:dyDescent="0.25">
      <c r="B244" s="192"/>
    </row>
    <row r="245" spans="2:2" x14ac:dyDescent="0.25">
      <c r="B245" s="192"/>
    </row>
    <row r="246" spans="2:2" x14ac:dyDescent="0.25">
      <c r="B246" s="192"/>
    </row>
    <row r="247" spans="2:2" x14ac:dyDescent="0.25">
      <c r="B247" s="192"/>
    </row>
    <row r="248" spans="2:2" x14ac:dyDescent="0.25">
      <c r="B248" s="192"/>
    </row>
    <row r="249" spans="2:2" x14ac:dyDescent="0.25">
      <c r="B249" s="192"/>
    </row>
    <row r="250" spans="2:2" x14ac:dyDescent="0.25">
      <c r="B250" s="192"/>
    </row>
    <row r="251" spans="2:2" x14ac:dyDescent="0.25">
      <c r="B251" s="192"/>
    </row>
    <row r="252" spans="2:2" x14ac:dyDescent="0.25">
      <c r="B252" s="192"/>
    </row>
    <row r="253" spans="2:2" x14ac:dyDescent="0.25">
      <c r="B253" s="192"/>
    </row>
    <row r="254" spans="2:2" x14ac:dyDescent="0.25">
      <c r="B254" s="192"/>
    </row>
    <row r="255" spans="2:2" x14ac:dyDescent="0.25">
      <c r="B255" s="192"/>
    </row>
    <row r="256" spans="2:2" x14ac:dyDescent="0.25">
      <c r="B256" s="192"/>
    </row>
    <row r="257" spans="2:2" x14ac:dyDescent="0.25">
      <c r="B257" s="192"/>
    </row>
    <row r="258" spans="2:2" x14ac:dyDescent="0.25">
      <c r="B258" s="192"/>
    </row>
    <row r="259" spans="2:2" x14ac:dyDescent="0.25">
      <c r="B259" s="192"/>
    </row>
    <row r="260" spans="2:2" x14ac:dyDescent="0.25">
      <c r="B260" s="192"/>
    </row>
    <row r="261" spans="2:2" x14ac:dyDescent="0.25">
      <c r="B261" s="192"/>
    </row>
    <row r="262" spans="2:2" x14ac:dyDescent="0.25">
      <c r="B262" s="192"/>
    </row>
    <row r="263" spans="2:2" x14ac:dyDescent="0.25">
      <c r="B263" s="192"/>
    </row>
    <row r="264" spans="2:2" x14ac:dyDescent="0.25">
      <c r="B264" s="192"/>
    </row>
    <row r="265" spans="2:2" x14ac:dyDescent="0.25">
      <c r="B265" s="192"/>
    </row>
    <row r="266" spans="2:2" x14ac:dyDescent="0.25">
      <c r="B266" s="192"/>
    </row>
    <row r="267" spans="2:2" x14ac:dyDescent="0.25">
      <c r="B267" s="192"/>
    </row>
    <row r="268" spans="2:2" x14ac:dyDescent="0.25">
      <c r="B268" s="192"/>
    </row>
    <row r="269" spans="2:2" x14ac:dyDescent="0.25">
      <c r="B269" s="192"/>
    </row>
    <row r="270" spans="2:2" x14ac:dyDescent="0.25">
      <c r="B270" s="192"/>
    </row>
    <row r="271" spans="2:2" x14ac:dyDescent="0.25">
      <c r="B271" s="192"/>
    </row>
    <row r="272" spans="2:2" x14ac:dyDescent="0.25">
      <c r="B272" s="192"/>
    </row>
    <row r="273" spans="2:2" x14ac:dyDescent="0.25">
      <c r="B273" s="192"/>
    </row>
    <row r="274" spans="2:2" x14ac:dyDescent="0.25">
      <c r="B274" s="192"/>
    </row>
    <row r="275" spans="2:2" x14ac:dyDescent="0.25">
      <c r="B275" s="192"/>
    </row>
    <row r="276" spans="2:2" x14ac:dyDescent="0.25">
      <c r="B276" s="192"/>
    </row>
    <row r="277" spans="2:2" x14ac:dyDescent="0.25">
      <c r="B277" s="192"/>
    </row>
    <row r="278" spans="2:2" x14ac:dyDescent="0.25">
      <c r="B278" s="192"/>
    </row>
    <row r="279" spans="2:2" x14ac:dyDescent="0.25">
      <c r="B279" s="192"/>
    </row>
    <row r="280" spans="2:2" x14ac:dyDescent="0.25">
      <c r="B280" s="192"/>
    </row>
    <row r="281" spans="2:2" x14ac:dyDescent="0.25">
      <c r="B281" s="192"/>
    </row>
    <row r="282" spans="2:2" x14ac:dyDescent="0.25">
      <c r="B282" s="192"/>
    </row>
    <row r="283" spans="2:2" x14ac:dyDescent="0.25">
      <c r="B283" s="192"/>
    </row>
    <row r="284" spans="2:2" x14ac:dyDescent="0.25">
      <c r="B284" s="192"/>
    </row>
    <row r="285" spans="2:2" x14ac:dyDescent="0.25">
      <c r="B285" s="192"/>
    </row>
    <row r="286" spans="2:2" x14ac:dyDescent="0.25">
      <c r="B286" s="192"/>
    </row>
    <row r="287" spans="2:2" x14ac:dyDescent="0.25">
      <c r="B287" s="192"/>
    </row>
    <row r="288" spans="2:2" x14ac:dyDescent="0.25">
      <c r="B288" s="192"/>
    </row>
    <row r="289" spans="2:2" x14ac:dyDescent="0.25">
      <c r="B289" s="192"/>
    </row>
    <row r="290" spans="2:2" x14ac:dyDescent="0.25">
      <c r="B290" s="192"/>
    </row>
    <row r="291" spans="2:2" x14ac:dyDescent="0.25">
      <c r="B291" s="192"/>
    </row>
    <row r="292" spans="2:2" x14ac:dyDescent="0.25">
      <c r="B292" s="192"/>
    </row>
    <row r="293" spans="2:2" x14ac:dyDescent="0.25">
      <c r="B293" s="192"/>
    </row>
    <row r="294" spans="2:2" x14ac:dyDescent="0.25">
      <c r="B294" s="192"/>
    </row>
    <row r="295" spans="2:2" x14ac:dyDescent="0.25">
      <c r="B295" s="192"/>
    </row>
    <row r="296" spans="2:2" x14ac:dyDescent="0.25">
      <c r="B296" s="192"/>
    </row>
    <row r="297" spans="2:2" x14ac:dyDescent="0.25">
      <c r="B297" s="192"/>
    </row>
    <row r="298" spans="2:2" x14ac:dyDescent="0.25">
      <c r="B298" s="192"/>
    </row>
    <row r="299" spans="2:2" x14ac:dyDescent="0.25">
      <c r="B299" s="192"/>
    </row>
    <row r="300" spans="2:2" x14ac:dyDescent="0.25">
      <c r="B300" s="192"/>
    </row>
    <row r="301" spans="2:2" x14ac:dyDescent="0.25">
      <c r="B301" s="192"/>
    </row>
    <row r="302" spans="2:2" x14ac:dyDescent="0.25">
      <c r="B302" s="192"/>
    </row>
    <row r="303" spans="2:2" x14ac:dyDescent="0.25">
      <c r="B303" s="192"/>
    </row>
    <row r="304" spans="2:2" x14ac:dyDescent="0.25">
      <c r="B304" s="192"/>
    </row>
    <row r="305" spans="2:2" x14ac:dyDescent="0.25">
      <c r="B305" s="192"/>
    </row>
    <row r="306" spans="2:2" x14ac:dyDescent="0.25">
      <c r="B306" s="192"/>
    </row>
    <row r="307" spans="2:2" x14ac:dyDescent="0.25">
      <c r="B307" s="192"/>
    </row>
    <row r="308" spans="2:2" x14ac:dyDescent="0.25">
      <c r="B308" s="192"/>
    </row>
    <row r="309" spans="2:2" x14ac:dyDescent="0.25">
      <c r="B309" s="192"/>
    </row>
    <row r="310" spans="2:2" x14ac:dyDescent="0.25">
      <c r="B310" s="192"/>
    </row>
    <row r="311" spans="2:2" x14ac:dyDescent="0.25">
      <c r="B311" s="192"/>
    </row>
    <row r="312" spans="2:2" x14ac:dyDescent="0.25">
      <c r="B312" s="192"/>
    </row>
    <row r="313" spans="2:2" x14ac:dyDescent="0.25">
      <c r="B313" s="192"/>
    </row>
    <row r="314" spans="2:2" x14ac:dyDescent="0.25">
      <c r="B314" s="192"/>
    </row>
    <row r="315" spans="2:2" x14ac:dyDescent="0.25">
      <c r="B315" s="192"/>
    </row>
    <row r="316" spans="2:2" x14ac:dyDescent="0.25">
      <c r="B316" s="192"/>
    </row>
    <row r="317" spans="2:2" x14ac:dyDescent="0.25">
      <c r="B317" s="192"/>
    </row>
    <row r="318" spans="2:2" x14ac:dyDescent="0.25">
      <c r="B318" s="192"/>
    </row>
    <row r="319" spans="2:2" x14ac:dyDescent="0.25">
      <c r="B319" s="192"/>
    </row>
    <row r="320" spans="2:2" x14ac:dyDescent="0.25">
      <c r="B320" s="192"/>
    </row>
    <row r="321" spans="2:2" x14ac:dyDescent="0.25">
      <c r="B321" s="192"/>
    </row>
    <row r="322" spans="2:2" x14ac:dyDescent="0.25">
      <c r="B322" s="192"/>
    </row>
    <row r="323" spans="2:2" x14ac:dyDescent="0.25">
      <c r="B323" s="192"/>
    </row>
    <row r="324" spans="2:2" x14ac:dyDescent="0.25">
      <c r="B324" s="192"/>
    </row>
    <row r="325" spans="2:2" x14ac:dyDescent="0.25">
      <c r="B325" s="192"/>
    </row>
    <row r="326" spans="2:2" x14ac:dyDescent="0.25">
      <c r="B326" s="192"/>
    </row>
    <row r="327" spans="2:2" x14ac:dyDescent="0.25">
      <c r="B327" s="192"/>
    </row>
    <row r="328" spans="2:2" x14ac:dyDescent="0.25">
      <c r="B328" s="192"/>
    </row>
    <row r="329" spans="2:2" x14ac:dyDescent="0.25">
      <c r="B329" s="192"/>
    </row>
    <row r="330" spans="2:2" x14ac:dyDescent="0.25">
      <c r="B330" s="192"/>
    </row>
    <row r="331" spans="2:2" x14ac:dyDescent="0.25">
      <c r="B331" s="192"/>
    </row>
    <row r="332" spans="2:2" x14ac:dyDescent="0.25">
      <c r="B332" s="192"/>
    </row>
    <row r="333" spans="2:2" x14ac:dyDescent="0.25">
      <c r="B333" s="192"/>
    </row>
    <row r="334" spans="2:2" x14ac:dyDescent="0.25">
      <c r="B334" s="192"/>
    </row>
    <row r="335" spans="2:2" x14ac:dyDescent="0.25">
      <c r="B335" s="192"/>
    </row>
    <row r="336" spans="2:2" x14ac:dyDescent="0.25">
      <c r="B336" s="192"/>
    </row>
    <row r="337" spans="2:2" x14ac:dyDescent="0.25">
      <c r="B337" s="192"/>
    </row>
    <row r="338" spans="2:2" x14ac:dyDescent="0.25">
      <c r="B338" s="192"/>
    </row>
    <row r="339" spans="2:2" x14ac:dyDescent="0.25">
      <c r="B339" s="192"/>
    </row>
    <row r="340" spans="2:2" x14ac:dyDescent="0.25">
      <c r="B340" s="192"/>
    </row>
    <row r="341" spans="2:2" x14ac:dyDescent="0.25">
      <c r="B341" s="192"/>
    </row>
    <row r="342" spans="2:2" x14ac:dyDescent="0.25">
      <c r="B342" s="192"/>
    </row>
    <row r="343" spans="2:2" x14ac:dyDescent="0.25">
      <c r="B343" s="192"/>
    </row>
    <row r="344" spans="2:2" x14ac:dyDescent="0.25">
      <c r="B344" s="192"/>
    </row>
    <row r="345" spans="2:2" x14ac:dyDescent="0.25">
      <c r="B345" s="192"/>
    </row>
    <row r="346" spans="2:2" x14ac:dyDescent="0.25">
      <c r="B346" s="192"/>
    </row>
    <row r="347" spans="2:2" x14ac:dyDescent="0.25">
      <c r="B347" s="192"/>
    </row>
    <row r="348" spans="2:2" x14ac:dyDescent="0.25">
      <c r="B348" s="192"/>
    </row>
    <row r="349" spans="2:2" x14ac:dyDescent="0.25">
      <c r="B349" s="192"/>
    </row>
    <row r="350" spans="2:2" x14ac:dyDescent="0.25">
      <c r="B350" s="192"/>
    </row>
    <row r="351" spans="2:2" x14ac:dyDescent="0.25">
      <c r="B351" s="192"/>
    </row>
    <row r="352" spans="2:2" x14ac:dyDescent="0.25">
      <c r="B352" s="192"/>
    </row>
    <row r="353" spans="2:2" x14ac:dyDescent="0.25">
      <c r="B353" s="192"/>
    </row>
    <row r="354" spans="2:2" x14ac:dyDescent="0.25">
      <c r="B354" s="192"/>
    </row>
    <row r="355" spans="2:2" x14ac:dyDescent="0.25">
      <c r="B355" s="192"/>
    </row>
    <row r="356" spans="2:2" x14ac:dyDescent="0.25">
      <c r="B356" s="192"/>
    </row>
    <row r="357" spans="2:2" x14ac:dyDescent="0.25">
      <c r="B357" s="192"/>
    </row>
    <row r="358" spans="2:2" x14ac:dyDescent="0.25">
      <c r="B358" s="192"/>
    </row>
    <row r="359" spans="2:2" x14ac:dyDescent="0.25">
      <c r="B359" s="192"/>
    </row>
    <row r="360" spans="2:2" x14ac:dyDescent="0.25">
      <c r="B360" s="192"/>
    </row>
    <row r="361" spans="2:2" x14ac:dyDescent="0.25">
      <c r="B361" s="192"/>
    </row>
    <row r="362" spans="2:2" x14ac:dyDescent="0.25">
      <c r="B362" s="192"/>
    </row>
    <row r="363" spans="2:2" x14ac:dyDescent="0.25">
      <c r="B363" s="192"/>
    </row>
    <row r="364" spans="2:2" x14ac:dyDescent="0.25">
      <c r="B364" s="192"/>
    </row>
    <row r="365" spans="2:2" x14ac:dyDescent="0.25">
      <c r="B365" s="192"/>
    </row>
    <row r="366" spans="2:2" x14ac:dyDescent="0.25">
      <c r="B366" s="192"/>
    </row>
    <row r="367" spans="2:2" x14ac:dyDescent="0.25">
      <c r="B367" s="192"/>
    </row>
    <row r="368" spans="2:2" x14ac:dyDescent="0.25">
      <c r="B368" s="192"/>
    </row>
    <row r="369" spans="2:2" x14ac:dyDescent="0.25">
      <c r="B369" s="192"/>
    </row>
    <row r="370" spans="2:2" x14ac:dyDescent="0.25">
      <c r="B370" s="192"/>
    </row>
    <row r="371" spans="2:2" x14ac:dyDescent="0.25">
      <c r="B371" s="192"/>
    </row>
    <row r="372" spans="2:2" x14ac:dyDescent="0.25">
      <c r="B372" s="192"/>
    </row>
    <row r="373" spans="2:2" x14ac:dyDescent="0.25">
      <c r="B373" s="192"/>
    </row>
    <row r="374" spans="2:2" x14ac:dyDescent="0.25">
      <c r="B374" s="192"/>
    </row>
    <row r="375" spans="2:2" x14ac:dyDescent="0.25">
      <c r="B375" s="192"/>
    </row>
    <row r="376" spans="2:2" x14ac:dyDescent="0.25">
      <c r="B376" s="192"/>
    </row>
    <row r="377" spans="2:2" x14ac:dyDescent="0.25">
      <c r="B377" s="192"/>
    </row>
    <row r="378" spans="2:2" x14ac:dyDescent="0.25">
      <c r="B378" s="192"/>
    </row>
    <row r="379" spans="2:2" x14ac:dyDescent="0.25">
      <c r="B379" s="192"/>
    </row>
    <row r="380" spans="2:2" x14ac:dyDescent="0.25">
      <c r="B380" s="192"/>
    </row>
    <row r="381" spans="2:2" x14ac:dyDescent="0.25">
      <c r="B381" s="192"/>
    </row>
    <row r="382" spans="2:2" x14ac:dyDescent="0.25">
      <c r="B382" s="192"/>
    </row>
    <row r="383" spans="2:2" x14ac:dyDescent="0.25">
      <c r="B383" s="192"/>
    </row>
    <row r="384" spans="2:2" x14ac:dyDescent="0.25">
      <c r="B384" s="192"/>
    </row>
    <row r="385" spans="2:2" x14ac:dyDescent="0.25">
      <c r="B385" s="192"/>
    </row>
    <row r="386" spans="2:2" x14ac:dyDescent="0.25">
      <c r="B386" s="192"/>
    </row>
    <row r="387" spans="2:2" x14ac:dyDescent="0.25">
      <c r="B387" s="192"/>
    </row>
    <row r="388" spans="2:2" x14ac:dyDescent="0.25">
      <c r="B388" s="192"/>
    </row>
    <row r="389" spans="2:2" x14ac:dyDescent="0.25">
      <c r="B389" s="192"/>
    </row>
    <row r="390" spans="2:2" x14ac:dyDescent="0.25">
      <c r="B390" s="192"/>
    </row>
    <row r="391" spans="2:2" x14ac:dyDescent="0.25">
      <c r="B391" s="192"/>
    </row>
    <row r="392" spans="2:2" x14ac:dyDescent="0.25">
      <c r="B392" s="192"/>
    </row>
    <row r="393" spans="2:2" x14ac:dyDescent="0.25">
      <c r="B393" s="192"/>
    </row>
    <row r="394" spans="2:2" x14ac:dyDescent="0.25">
      <c r="B394" s="192"/>
    </row>
    <row r="395" spans="2:2" x14ac:dyDescent="0.25">
      <c r="B395" s="192"/>
    </row>
    <row r="396" spans="2:2" x14ac:dyDescent="0.25">
      <c r="B396" s="192"/>
    </row>
    <row r="397" spans="2:2" x14ac:dyDescent="0.25">
      <c r="B397" s="192"/>
    </row>
    <row r="398" spans="2:2" x14ac:dyDescent="0.25">
      <c r="B398" s="192"/>
    </row>
    <row r="399" spans="2:2" x14ac:dyDescent="0.25">
      <c r="B399" s="192"/>
    </row>
    <row r="400" spans="2:2" x14ac:dyDescent="0.25">
      <c r="B400" s="192"/>
    </row>
    <row r="401" spans="2:2" x14ac:dyDescent="0.25">
      <c r="B401" s="192"/>
    </row>
    <row r="402" spans="2:2" x14ac:dyDescent="0.25">
      <c r="B402" s="192"/>
    </row>
    <row r="403" spans="2:2" x14ac:dyDescent="0.25">
      <c r="B403" s="192"/>
    </row>
    <row r="404" spans="2:2" x14ac:dyDescent="0.25">
      <c r="B404" s="192"/>
    </row>
    <row r="405" spans="2:2" x14ac:dyDescent="0.25">
      <c r="B405" s="192"/>
    </row>
    <row r="406" spans="2:2" x14ac:dyDescent="0.25">
      <c r="B406" s="192"/>
    </row>
    <row r="407" spans="2:2" x14ac:dyDescent="0.25">
      <c r="B407" s="192"/>
    </row>
    <row r="408" spans="2:2" x14ac:dyDescent="0.25">
      <c r="B408" s="192"/>
    </row>
    <row r="409" spans="2:2" x14ac:dyDescent="0.25">
      <c r="B409" s="192"/>
    </row>
    <row r="410" spans="2:2" x14ac:dyDescent="0.25">
      <c r="B410" s="192"/>
    </row>
    <row r="411" spans="2:2" x14ac:dyDescent="0.25">
      <c r="B411" s="192"/>
    </row>
    <row r="412" spans="2:2" x14ac:dyDescent="0.25">
      <c r="B412" s="192"/>
    </row>
    <row r="413" spans="2:2" x14ac:dyDescent="0.25">
      <c r="B413" s="192"/>
    </row>
    <row r="414" spans="2:2" x14ac:dyDescent="0.25">
      <c r="B414" s="192"/>
    </row>
    <row r="415" spans="2:2" x14ac:dyDescent="0.25">
      <c r="B415" s="192"/>
    </row>
    <row r="416" spans="2:2" x14ac:dyDescent="0.25">
      <c r="B416" s="192"/>
    </row>
    <row r="417" spans="2:2" x14ac:dyDescent="0.25">
      <c r="B417" s="192"/>
    </row>
    <row r="418" spans="2:2" x14ac:dyDescent="0.25">
      <c r="B418" s="192"/>
    </row>
    <row r="419" spans="2:2" x14ac:dyDescent="0.25">
      <c r="B419" s="192"/>
    </row>
    <row r="420" spans="2:2" x14ac:dyDescent="0.25">
      <c r="B420" s="192"/>
    </row>
    <row r="421" spans="2:2" x14ac:dyDescent="0.25">
      <c r="B421" s="192"/>
    </row>
    <row r="422" spans="2:2" x14ac:dyDescent="0.25">
      <c r="B422" s="192"/>
    </row>
    <row r="423" spans="2:2" x14ac:dyDescent="0.25">
      <c r="B423" s="192"/>
    </row>
    <row r="424" spans="2:2" x14ac:dyDescent="0.25">
      <c r="B424" s="192"/>
    </row>
    <row r="425" spans="2:2" x14ac:dyDescent="0.25">
      <c r="B425" s="192"/>
    </row>
    <row r="426" spans="2:2" x14ac:dyDescent="0.25">
      <c r="B426" s="192"/>
    </row>
    <row r="427" spans="2:2" x14ac:dyDescent="0.25">
      <c r="B427" s="192"/>
    </row>
    <row r="428" spans="2:2" x14ac:dyDescent="0.25">
      <c r="B428" s="192"/>
    </row>
    <row r="429" spans="2:2" x14ac:dyDescent="0.25">
      <c r="B429" s="192"/>
    </row>
    <row r="430" spans="2:2" x14ac:dyDescent="0.25">
      <c r="B430" s="192"/>
    </row>
    <row r="431" spans="2:2" x14ac:dyDescent="0.25">
      <c r="B431" s="192"/>
    </row>
    <row r="432" spans="2:2" x14ac:dyDescent="0.25">
      <c r="B432" s="192"/>
    </row>
    <row r="433" spans="2:2" x14ac:dyDescent="0.25">
      <c r="B433" s="192"/>
    </row>
    <row r="434" spans="2:2" x14ac:dyDescent="0.25">
      <c r="B434" s="192"/>
    </row>
    <row r="435" spans="2:2" x14ac:dyDescent="0.25">
      <c r="B435" s="192"/>
    </row>
    <row r="436" spans="2:2" x14ac:dyDescent="0.25">
      <c r="B436" s="192"/>
    </row>
    <row r="437" spans="2:2" x14ac:dyDescent="0.25">
      <c r="B437" s="192"/>
    </row>
    <row r="438" spans="2:2" x14ac:dyDescent="0.25">
      <c r="B438" s="192"/>
    </row>
    <row r="439" spans="2:2" x14ac:dyDescent="0.25">
      <c r="B439" s="192"/>
    </row>
    <row r="440" spans="2:2" x14ac:dyDescent="0.25">
      <c r="B440" s="192"/>
    </row>
    <row r="441" spans="2:2" x14ac:dyDescent="0.25">
      <c r="B441" s="192"/>
    </row>
    <row r="442" spans="2:2" x14ac:dyDescent="0.25">
      <c r="B442" s="192"/>
    </row>
    <row r="443" spans="2:2" x14ac:dyDescent="0.25">
      <c r="B443" s="192"/>
    </row>
    <row r="444" spans="2:2" x14ac:dyDescent="0.25">
      <c r="B444" s="192"/>
    </row>
    <row r="445" spans="2:2" x14ac:dyDescent="0.25">
      <c r="B445" s="192"/>
    </row>
    <row r="446" spans="2:2" x14ac:dyDescent="0.25">
      <c r="B446" s="192"/>
    </row>
    <row r="447" spans="2:2" x14ac:dyDescent="0.25">
      <c r="B447" s="192"/>
    </row>
    <row r="448" spans="2:2" x14ac:dyDescent="0.25">
      <c r="B448" s="192"/>
    </row>
    <row r="449" spans="2:2" x14ac:dyDescent="0.25">
      <c r="B449" s="192"/>
    </row>
    <row r="450" spans="2:2" x14ac:dyDescent="0.25">
      <c r="B450" s="192"/>
    </row>
    <row r="451" spans="2:2" x14ac:dyDescent="0.25">
      <c r="B451" s="192"/>
    </row>
    <row r="452" spans="2:2" x14ac:dyDescent="0.25">
      <c r="B452" s="192"/>
    </row>
    <row r="453" spans="2:2" x14ac:dyDescent="0.25">
      <c r="B453" s="192"/>
    </row>
    <row r="454" spans="2:2" x14ac:dyDescent="0.25">
      <c r="B454" s="192"/>
    </row>
    <row r="455" spans="2:2" x14ac:dyDescent="0.25">
      <c r="B455" s="192"/>
    </row>
    <row r="456" spans="2:2" x14ac:dyDescent="0.25">
      <c r="B456" s="192"/>
    </row>
    <row r="457" spans="2:2" x14ac:dyDescent="0.25">
      <c r="B457" s="192"/>
    </row>
    <row r="458" spans="2:2" x14ac:dyDescent="0.25">
      <c r="B458" s="192"/>
    </row>
    <row r="459" spans="2:2" x14ac:dyDescent="0.25">
      <c r="B459" s="192"/>
    </row>
    <row r="460" spans="2:2" x14ac:dyDescent="0.25">
      <c r="B460" s="192"/>
    </row>
    <row r="461" spans="2:2" x14ac:dyDescent="0.25">
      <c r="B461" s="192"/>
    </row>
    <row r="462" spans="2:2" x14ac:dyDescent="0.25">
      <c r="B462" s="192"/>
    </row>
    <row r="463" spans="2:2" x14ac:dyDescent="0.25">
      <c r="B463" s="192"/>
    </row>
    <row r="464" spans="2:2" x14ac:dyDescent="0.25">
      <c r="B464" s="192"/>
    </row>
    <row r="465" spans="2:2" x14ac:dyDescent="0.25">
      <c r="B465" s="192"/>
    </row>
    <row r="466" spans="2:2" x14ac:dyDescent="0.25">
      <c r="B466" s="192"/>
    </row>
    <row r="467" spans="2:2" x14ac:dyDescent="0.25">
      <c r="B467" s="192"/>
    </row>
    <row r="468" spans="2:2" x14ac:dyDescent="0.25">
      <c r="B468" s="192"/>
    </row>
    <row r="469" spans="2:2" x14ac:dyDescent="0.25">
      <c r="B469" s="192"/>
    </row>
    <row r="470" spans="2:2" x14ac:dyDescent="0.25">
      <c r="B470" s="192"/>
    </row>
    <row r="471" spans="2:2" x14ac:dyDescent="0.25">
      <c r="B471" s="192"/>
    </row>
    <row r="472" spans="2:2" x14ac:dyDescent="0.25">
      <c r="B472" s="192"/>
    </row>
    <row r="473" spans="2:2" x14ac:dyDescent="0.25">
      <c r="B473" s="192"/>
    </row>
    <row r="474" spans="2:2" x14ac:dyDescent="0.25">
      <c r="B474" s="192"/>
    </row>
    <row r="475" spans="2:2" x14ac:dyDescent="0.25">
      <c r="B475" s="192"/>
    </row>
    <row r="476" spans="2:2" x14ac:dyDescent="0.25">
      <c r="B476" s="192"/>
    </row>
    <row r="477" spans="2:2" x14ac:dyDescent="0.25">
      <c r="B477" s="192"/>
    </row>
    <row r="478" spans="2:2" x14ac:dyDescent="0.25">
      <c r="B478" s="192"/>
    </row>
    <row r="479" spans="2:2" x14ac:dyDescent="0.25">
      <c r="B479" s="192"/>
    </row>
    <row r="480" spans="2:2" x14ac:dyDescent="0.25">
      <c r="B480" s="192"/>
    </row>
    <row r="481" spans="2:2" x14ac:dyDescent="0.25">
      <c r="B481" s="192"/>
    </row>
    <row r="482" spans="2:2" x14ac:dyDescent="0.25">
      <c r="B482" s="192"/>
    </row>
    <row r="483" spans="2:2" x14ac:dyDescent="0.25">
      <c r="B483" s="192"/>
    </row>
    <row r="484" spans="2:2" x14ac:dyDescent="0.25">
      <c r="B484" s="192"/>
    </row>
    <row r="485" spans="2:2" x14ac:dyDescent="0.25">
      <c r="B485" s="192"/>
    </row>
    <row r="486" spans="2:2" x14ac:dyDescent="0.25">
      <c r="B486" s="192"/>
    </row>
    <row r="487" spans="2:2" x14ac:dyDescent="0.25">
      <c r="B487" s="192"/>
    </row>
    <row r="488" spans="2:2" x14ac:dyDescent="0.25">
      <c r="B488" s="192"/>
    </row>
    <row r="489" spans="2:2" x14ac:dyDescent="0.25">
      <c r="B489" s="192"/>
    </row>
    <row r="490" spans="2:2" x14ac:dyDescent="0.25">
      <c r="B490" s="192"/>
    </row>
    <row r="491" spans="2:2" x14ac:dyDescent="0.25">
      <c r="B491" s="192"/>
    </row>
    <row r="492" spans="2:2" x14ac:dyDescent="0.25">
      <c r="B492" s="192"/>
    </row>
    <row r="493" spans="2:2" x14ac:dyDescent="0.25">
      <c r="B493" s="192"/>
    </row>
    <row r="494" spans="2:2" x14ac:dyDescent="0.25">
      <c r="B494" s="192"/>
    </row>
    <row r="495" spans="2:2" x14ac:dyDescent="0.25">
      <c r="B495" s="192"/>
    </row>
    <row r="496" spans="2:2" x14ac:dyDescent="0.25">
      <c r="B496" s="192"/>
    </row>
    <row r="497" spans="2:2" x14ac:dyDescent="0.25">
      <c r="B497" s="192"/>
    </row>
    <row r="498" spans="2:2" x14ac:dyDescent="0.25">
      <c r="B498" s="192"/>
    </row>
    <row r="499" spans="2:2" x14ac:dyDescent="0.25">
      <c r="B499" s="192"/>
    </row>
    <row r="500" spans="2:2" x14ac:dyDescent="0.25">
      <c r="B500" s="192"/>
    </row>
    <row r="501" spans="2:2" x14ac:dyDescent="0.25">
      <c r="B501" s="192"/>
    </row>
    <row r="502" spans="2:2" x14ac:dyDescent="0.25">
      <c r="B502" s="192"/>
    </row>
    <row r="503" spans="2:2" x14ac:dyDescent="0.25">
      <c r="B503" s="192"/>
    </row>
    <row r="504" spans="2:2" x14ac:dyDescent="0.25">
      <c r="B504" s="192"/>
    </row>
    <row r="505" spans="2:2" x14ac:dyDescent="0.25">
      <c r="B505" s="192"/>
    </row>
    <row r="506" spans="2:2" x14ac:dyDescent="0.25">
      <c r="B506" s="192"/>
    </row>
    <row r="507" spans="2:2" x14ac:dyDescent="0.25">
      <c r="B507" s="192"/>
    </row>
    <row r="508" spans="2:2" x14ac:dyDescent="0.25">
      <c r="B508" s="192"/>
    </row>
    <row r="509" spans="2:2" x14ac:dyDescent="0.25">
      <c r="B509" s="192"/>
    </row>
    <row r="510" spans="2:2" x14ac:dyDescent="0.25">
      <c r="B510" s="192"/>
    </row>
    <row r="511" spans="2:2" x14ac:dyDescent="0.25">
      <c r="B511" s="192"/>
    </row>
    <row r="512" spans="2:2" x14ac:dyDescent="0.25">
      <c r="B512" s="192"/>
    </row>
    <row r="513" spans="2:2" x14ac:dyDescent="0.25">
      <c r="B513" s="192"/>
    </row>
    <row r="514" spans="2:2" x14ac:dyDescent="0.25">
      <c r="B514" s="192"/>
    </row>
    <row r="515" spans="2:2" x14ac:dyDescent="0.25">
      <c r="B515" s="192"/>
    </row>
    <row r="516" spans="2:2" x14ac:dyDescent="0.25">
      <c r="B516" s="192"/>
    </row>
    <row r="517" spans="2:2" x14ac:dyDescent="0.25">
      <c r="B517" s="192"/>
    </row>
    <row r="518" spans="2:2" x14ac:dyDescent="0.25">
      <c r="B518" s="192"/>
    </row>
    <row r="519" spans="2:2" x14ac:dyDescent="0.25">
      <c r="B519" s="192"/>
    </row>
    <row r="520" spans="2:2" x14ac:dyDescent="0.25">
      <c r="B520" s="192"/>
    </row>
    <row r="521" spans="2:2" x14ac:dyDescent="0.25">
      <c r="B521" s="192"/>
    </row>
    <row r="522" spans="2:2" x14ac:dyDescent="0.25">
      <c r="B522" s="192"/>
    </row>
    <row r="523" spans="2:2" x14ac:dyDescent="0.25">
      <c r="B523" s="192"/>
    </row>
    <row r="524" spans="2:2" x14ac:dyDescent="0.25">
      <c r="B524" s="192"/>
    </row>
    <row r="525" spans="2:2" x14ac:dyDescent="0.25">
      <c r="B525" s="192"/>
    </row>
    <row r="526" spans="2:2" x14ac:dyDescent="0.25">
      <c r="B526" s="192"/>
    </row>
    <row r="527" spans="2:2" x14ac:dyDescent="0.25">
      <c r="B527" s="192"/>
    </row>
    <row r="528" spans="2:2" x14ac:dyDescent="0.25">
      <c r="B528" s="192"/>
    </row>
    <row r="529" spans="2:2" x14ac:dyDescent="0.25">
      <c r="B529" s="192"/>
    </row>
    <row r="530" spans="2:2" x14ac:dyDescent="0.25">
      <c r="B530" s="192"/>
    </row>
    <row r="531" spans="2:2" x14ac:dyDescent="0.25">
      <c r="B531" s="192"/>
    </row>
    <row r="532" spans="2:2" x14ac:dyDescent="0.25">
      <c r="B532" s="192"/>
    </row>
    <row r="533" spans="2:2" x14ac:dyDescent="0.25">
      <c r="B533" s="192"/>
    </row>
    <row r="534" spans="2:2" x14ac:dyDescent="0.25">
      <c r="B534" s="192"/>
    </row>
    <row r="535" spans="2:2" x14ac:dyDescent="0.25">
      <c r="B535" s="192"/>
    </row>
    <row r="536" spans="2:2" x14ac:dyDescent="0.25">
      <c r="B536" s="192"/>
    </row>
    <row r="537" spans="2:2" x14ac:dyDescent="0.25">
      <c r="B537" s="192"/>
    </row>
    <row r="538" spans="2:2" x14ac:dyDescent="0.25">
      <c r="B538" s="192"/>
    </row>
    <row r="539" spans="2:2" x14ac:dyDescent="0.25">
      <c r="B539" s="192"/>
    </row>
    <row r="540" spans="2:2" x14ac:dyDescent="0.25">
      <c r="B540" s="192"/>
    </row>
    <row r="541" spans="2:2" x14ac:dyDescent="0.25">
      <c r="B541" s="192"/>
    </row>
    <row r="542" spans="2:2" x14ac:dyDescent="0.25">
      <c r="B542" s="192"/>
    </row>
    <row r="543" spans="2:2" x14ac:dyDescent="0.25">
      <c r="B543" s="192"/>
    </row>
    <row r="544" spans="2:2" x14ac:dyDescent="0.25">
      <c r="B544" s="192"/>
    </row>
    <row r="545" spans="2:2" x14ac:dyDescent="0.25">
      <c r="B545" s="192"/>
    </row>
    <row r="546" spans="2:2" x14ac:dyDescent="0.25">
      <c r="B546" s="192"/>
    </row>
    <row r="547" spans="2:2" x14ac:dyDescent="0.25">
      <c r="B547" s="192"/>
    </row>
    <row r="548" spans="2:2" x14ac:dyDescent="0.25">
      <c r="B548" s="192"/>
    </row>
    <row r="549" spans="2:2" x14ac:dyDescent="0.25">
      <c r="B549" s="192"/>
    </row>
    <row r="550" spans="2:2" x14ac:dyDescent="0.25">
      <c r="B550" s="192"/>
    </row>
    <row r="551" spans="2:2" x14ac:dyDescent="0.25">
      <c r="B551" s="192"/>
    </row>
    <row r="552" spans="2:2" x14ac:dyDescent="0.25">
      <c r="B552" s="192"/>
    </row>
    <row r="553" spans="2:2" x14ac:dyDescent="0.25">
      <c r="B553" s="192"/>
    </row>
    <row r="554" spans="2:2" x14ac:dyDescent="0.25">
      <c r="B554" s="192"/>
    </row>
    <row r="555" spans="2:2" x14ac:dyDescent="0.25">
      <c r="B555" s="192"/>
    </row>
    <row r="556" spans="2:2" x14ac:dyDescent="0.25">
      <c r="B556" s="192"/>
    </row>
    <row r="557" spans="2:2" x14ac:dyDescent="0.25">
      <c r="B557" s="192"/>
    </row>
    <row r="558" spans="2:2" x14ac:dyDescent="0.25">
      <c r="B558" s="192"/>
    </row>
    <row r="559" spans="2:2" x14ac:dyDescent="0.25">
      <c r="B559" s="192"/>
    </row>
    <row r="560" spans="2:2" x14ac:dyDescent="0.25">
      <c r="B560" s="192"/>
    </row>
    <row r="561" spans="2:2" x14ac:dyDescent="0.25">
      <c r="B561" s="192"/>
    </row>
    <row r="562" spans="2:2" x14ac:dyDescent="0.25">
      <c r="B562" s="192"/>
    </row>
    <row r="563" spans="2:2" x14ac:dyDescent="0.25">
      <c r="B563" s="192"/>
    </row>
    <row r="564" spans="2:2" x14ac:dyDescent="0.25">
      <c r="B564" s="192"/>
    </row>
    <row r="565" spans="2:2" x14ac:dyDescent="0.25">
      <c r="B565" s="192"/>
    </row>
    <row r="566" spans="2:2" x14ac:dyDescent="0.25">
      <c r="B566" s="192"/>
    </row>
    <row r="567" spans="2:2" x14ac:dyDescent="0.25">
      <c r="B567" s="192"/>
    </row>
    <row r="568" spans="2:2" x14ac:dyDescent="0.25">
      <c r="B568" s="192"/>
    </row>
    <row r="569" spans="2:2" x14ac:dyDescent="0.25">
      <c r="B569" s="192"/>
    </row>
    <row r="570" spans="2:2" x14ac:dyDescent="0.25">
      <c r="B570" s="192"/>
    </row>
    <row r="571" spans="2:2" x14ac:dyDescent="0.25">
      <c r="B571" s="192"/>
    </row>
    <row r="572" spans="2:2" x14ac:dyDescent="0.25">
      <c r="B572" s="192"/>
    </row>
    <row r="573" spans="2:2" x14ac:dyDescent="0.25">
      <c r="B573" s="192"/>
    </row>
    <row r="574" spans="2:2" x14ac:dyDescent="0.25">
      <c r="B574" s="192"/>
    </row>
    <row r="575" spans="2:2" x14ac:dyDescent="0.25">
      <c r="B575" s="192"/>
    </row>
    <row r="576" spans="2:2" x14ac:dyDescent="0.25">
      <c r="B576" s="192"/>
    </row>
    <row r="577" spans="2:2" x14ac:dyDescent="0.25">
      <c r="B577" s="192"/>
    </row>
    <row r="578" spans="2:2" x14ac:dyDescent="0.25">
      <c r="B578" s="192"/>
    </row>
    <row r="579" spans="2:2" x14ac:dyDescent="0.25">
      <c r="B579" s="192"/>
    </row>
    <row r="580" spans="2:2" x14ac:dyDescent="0.25">
      <c r="B580" s="192"/>
    </row>
    <row r="581" spans="2:2" x14ac:dyDescent="0.25">
      <c r="B581" s="192"/>
    </row>
    <row r="582" spans="2:2" x14ac:dyDescent="0.25">
      <c r="B582" s="192"/>
    </row>
    <row r="583" spans="2:2" x14ac:dyDescent="0.25">
      <c r="B583" s="192"/>
    </row>
    <row r="584" spans="2:2" x14ac:dyDescent="0.25">
      <c r="B584" s="192"/>
    </row>
    <row r="585" spans="2:2" x14ac:dyDescent="0.25">
      <c r="B585" s="192"/>
    </row>
    <row r="586" spans="2:2" x14ac:dyDescent="0.25">
      <c r="B586" s="192"/>
    </row>
    <row r="587" spans="2:2" x14ac:dyDescent="0.25">
      <c r="B587" s="192"/>
    </row>
    <row r="588" spans="2:2" x14ac:dyDescent="0.25">
      <c r="B588" s="192"/>
    </row>
    <row r="589" spans="2:2" x14ac:dyDescent="0.25">
      <c r="B589" s="192"/>
    </row>
    <row r="590" spans="2:2" x14ac:dyDescent="0.25">
      <c r="B590" s="192"/>
    </row>
    <row r="591" spans="2:2" x14ac:dyDescent="0.25">
      <c r="B591" s="192"/>
    </row>
    <row r="592" spans="2:2" x14ac:dyDescent="0.25">
      <c r="B592" s="192"/>
    </row>
    <row r="593" spans="2:2" x14ac:dyDescent="0.25">
      <c r="B593" s="192"/>
    </row>
    <row r="594" spans="2:2" x14ac:dyDescent="0.25">
      <c r="B594" s="192"/>
    </row>
    <row r="595" spans="2:2" x14ac:dyDescent="0.25">
      <c r="B595" s="192"/>
    </row>
    <row r="596" spans="2:2" x14ac:dyDescent="0.25">
      <c r="B596" s="192"/>
    </row>
    <row r="597" spans="2:2" x14ac:dyDescent="0.25">
      <c r="B597" s="192"/>
    </row>
    <row r="598" spans="2:2" x14ac:dyDescent="0.25">
      <c r="B598" s="192"/>
    </row>
    <row r="599" spans="2:2" x14ac:dyDescent="0.25">
      <c r="B599" s="192"/>
    </row>
    <row r="600" spans="2:2" x14ac:dyDescent="0.25">
      <c r="B600" s="192"/>
    </row>
    <row r="601" spans="2:2" x14ac:dyDescent="0.25">
      <c r="B601" s="192"/>
    </row>
    <row r="602" spans="2:2" x14ac:dyDescent="0.25">
      <c r="B602" s="192"/>
    </row>
    <row r="603" spans="2:2" x14ac:dyDescent="0.25">
      <c r="B603" s="192"/>
    </row>
    <row r="604" spans="2:2" x14ac:dyDescent="0.25">
      <c r="B604" s="192"/>
    </row>
    <row r="605" spans="2:2" x14ac:dyDescent="0.25">
      <c r="B605" s="192"/>
    </row>
    <row r="606" spans="2:2" x14ac:dyDescent="0.25">
      <c r="B606" s="192"/>
    </row>
    <row r="607" spans="2:2" x14ac:dyDescent="0.25">
      <c r="B607" s="192"/>
    </row>
    <row r="608" spans="2:2" x14ac:dyDescent="0.25">
      <c r="B608" s="192"/>
    </row>
    <row r="609" spans="2:2" x14ac:dyDescent="0.25">
      <c r="B609" s="192"/>
    </row>
    <row r="610" spans="2:2" x14ac:dyDescent="0.25">
      <c r="B610" s="192"/>
    </row>
    <row r="611" spans="2:2" x14ac:dyDescent="0.25">
      <c r="B611" s="192"/>
    </row>
    <row r="612" spans="2:2" x14ac:dyDescent="0.25">
      <c r="B612" s="192"/>
    </row>
    <row r="613" spans="2:2" x14ac:dyDescent="0.25">
      <c r="B613" s="192"/>
    </row>
    <row r="614" spans="2:2" x14ac:dyDescent="0.25">
      <c r="B614" s="192"/>
    </row>
    <row r="615" spans="2:2" x14ac:dyDescent="0.25">
      <c r="B615" s="192"/>
    </row>
    <row r="616" spans="2:2" x14ac:dyDescent="0.25">
      <c r="B616" s="192"/>
    </row>
    <row r="617" spans="2:2" x14ac:dyDescent="0.25">
      <c r="B617" s="192"/>
    </row>
    <row r="618" spans="2:2" x14ac:dyDescent="0.25">
      <c r="B618" s="192"/>
    </row>
    <row r="619" spans="2:2" x14ac:dyDescent="0.25">
      <c r="B619" s="192"/>
    </row>
    <row r="620" spans="2:2" x14ac:dyDescent="0.25">
      <c r="B620" s="192"/>
    </row>
    <row r="621" spans="2:2" x14ac:dyDescent="0.25">
      <c r="B621" s="192"/>
    </row>
    <row r="622" spans="2:2" x14ac:dyDescent="0.25">
      <c r="B622" s="192"/>
    </row>
    <row r="623" spans="2:2" x14ac:dyDescent="0.25">
      <c r="B623" s="192"/>
    </row>
    <row r="624" spans="2:2" x14ac:dyDescent="0.25">
      <c r="B624" s="192"/>
    </row>
    <row r="625" spans="2:2" x14ac:dyDescent="0.25">
      <c r="B625" s="192"/>
    </row>
    <row r="626" spans="2:2" x14ac:dyDescent="0.25">
      <c r="B626" s="192"/>
    </row>
    <row r="627" spans="2:2" x14ac:dyDescent="0.25">
      <c r="B627" s="192"/>
    </row>
    <row r="628" spans="2:2" x14ac:dyDescent="0.25">
      <c r="B628" s="192"/>
    </row>
    <row r="629" spans="2:2" x14ac:dyDescent="0.25">
      <c r="B629" s="192"/>
    </row>
    <row r="630" spans="2:2" x14ac:dyDescent="0.25">
      <c r="B630" s="192"/>
    </row>
    <row r="631" spans="2:2" x14ac:dyDescent="0.25">
      <c r="B631" s="192"/>
    </row>
    <row r="632" spans="2:2" x14ac:dyDescent="0.25">
      <c r="B632" s="192"/>
    </row>
    <row r="633" spans="2:2" x14ac:dyDescent="0.25">
      <c r="B633" s="192"/>
    </row>
    <row r="634" spans="2:2" x14ac:dyDescent="0.25">
      <c r="B634" s="192"/>
    </row>
    <row r="635" spans="2:2" x14ac:dyDescent="0.25">
      <c r="B635" s="192"/>
    </row>
    <row r="636" spans="2:2" x14ac:dyDescent="0.25">
      <c r="B636" s="192"/>
    </row>
    <row r="637" spans="2:2" x14ac:dyDescent="0.25">
      <c r="B637" s="192"/>
    </row>
    <row r="638" spans="2:2" x14ac:dyDescent="0.25">
      <c r="B638" s="192"/>
    </row>
    <row r="639" spans="2:2" x14ac:dyDescent="0.25">
      <c r="B639" s="192"/>
    </row>
    <row r="640" spans="2:2" x14ac:dyDescent="0.25">
      <c r="B640" s="192"/>
    </row>
    <row r="641" spans="2:2" x14ac:dyDescent="0.25">
      <c r="B641" s="192"/>
    </row>
    <row r="642" spans="2:2" x14ac:dyDescent="0.25">
      <c r="B642" s="192"/>
    </row>
    <row r="643" spans="2:2" x14ac:dyDescent="0.25">
      <c r="B643" s="192"/>
    </row>
    <row r="644" spans="2:2" x14ac:dyDescent="0.25">
      <c r="B644" s="192"/>
    </row>
    <row r="645" spans="2:2" x14ac:dyDescent="0.25">
      <c r="B645" s="192"/>
    </row>
    <row r="646" spans="2:2" x14ac:dyDescent="0.25">
      <c r="B646" s="192"/>
    </row>
    <row r="647" spans="2:2" x14ac:dyDescent="0.25">
      <c r="B647" s="192"/>
    </row>
    <row r="648" spans="2:2" x14ac:dyDescent="0.25">
      <c r="B648" s="192"/>
    </row>
    <row r="649" spans="2:2" x14ac:dyDescent="0.25">
      <c r="B649" s="192"/>
    </row>
    <row r="650" spans="2:2" x14ac:dyDescent="0.25">
      <c r="B650" s="192"/>
    </row>
    <row r="651" spans="2:2" x14ac:dyDescent="0.25">
      <c r="B651" s="192"/>
    </row>
    <row r="652" spans="2:2" x14ac:dyDescent="0.25">
      <c r="B652" s="192"/>
    </row>
    <row r="653" spans="2:2" x14ac:dyDescent="0.25">
      <c r="B653" s="192"/>
    </row>
    <row r="654" spans="2:2" x14ac:dyDescent="0.25">
      <c r="B654" s="192"/>
    </row>
    <row r="655" spans="2:2" x14ac:dyDescent="0.25">
      <c r="B655" s="192"/>
    </row>
    <row r="656" spans="2:2" x14ac:dyDescent="0.25">
      <c r="B656" s="192"/>
    </row>
    <row r="657" spans="2:2" x14ac:dyDescent="0.25">
      <c r="B657" s="192"/>
    </row>
    <row r="658" spans="2:2" x14ac:dyDescent="0.25">
      <c r="B658" s="192"/>
    </row>
    <row r="659" spans="2:2" x14ac:dyDescent="0.25">
      <c r="B659" s="192"/>
    </row>
    <row r="660" spans="2:2" x14ac:dyDescent="0.25">
      <c r="B660" s="192"/>
    </row>
    <row r="661" spans="2:2" x14ac:dyDescent="0.25">
      <c r="B661" s="192"/>
    </row>
    <row r="662" spans="2:2" x14ac:dyDescent="0.25">
      <c r="B662" s="192"/>
    </row>
    <row r="663" spans="2:2" x14ac:dyDescent="0.25">
      <c r="B663" s="192"/>
    </row>
    <row r="664" spans="2:2" x14ac:dyDescent="0.25">
      <c r="B664" s="192"/>
    </row>
    <row r="665" spans="2:2" x14ac:dyDescent="0.25">
      <c r="B665" s="192"/>
    </row>
    <row r="666" spans="2:2" x14ac:dyDescent="0.25">
      <c r="B666" s="192"/>
    </row>
    <row r="667" spans="2:2" x14ac:dyDescent="0.25">
      <c r="B667" s="192"/>
    </row>
    <row r="668" spans="2:2" x14ac:dyDescent="0.25">
      <c r="B668" s="192"/>
    </row>
    <row r="669" spans="2:2" x14ac:dyDescent="0.25">
      <c r="B669" s="192"/>
    </row>
    <row r="670" spans="2:2" x14ac:dyDescent="0.25">
      <c r="B670" s="192"/>
    </row>
    <row r="671" spans="2:2" x14ac:dyDescent="0.25">
      <c r="B671" s="192"/>
    </row>
    <row r="672" spans="2:2" x14ac:dyDescent="0.25">
      <c r="B672" s="192"/>
    </row>
    <row r="673" spans="2:2" x14ac:dyDescent="0.25">
      <c r="B673" s="192"/>
    </row>
    <row r="674" spans="2:2" x14ac:dyDescent="0.25">
      <c r="B674" s="192"/>
    </row>
    <row r="675" spans="2:2" x14ac:dyDescent="0.25">
      <c r="B675" s="192"/>
    </row>
    <row r="676" spans="2:2" x14ac:dyDescent="0.25">
      <c r="B676" s="192"/>
    </row>
    <row r="677" spans="2:2" x14ac:dyDescent="0.25">
      <c r="B677" s="192"/>
    </row>
    <row r="678" spans="2:2" x14ac:dyDescent="0.25">
      <c r="B678" s="192"/>
    </row>
    <row r="679" spans="2:2" x14ac:dyDescent="0.25">
      <c r="B679" s="192"/>
    </row>
    <row r="680" spans="2:2" x14ac:dyDescent="0.25">
      <c r="B680" s="192"/>
    </row>
    <row r="681" spans="2:2" x14ac:dyDescent="0.25">
      <c r="B681" s="192"/>
    </row>
    <row r="682" spans="2:2" x14ac:dyDescent="0.25">
      <c r="B682" s="192"/>
    </row>
    <row r="683" spans="2:2" x14ac:dyDescent="0.25">
      <c r="B683" s="192"/>
    </row>
    <row r="684" spans="2:2" x14ac:dyDescent="0.25">
      <c r="B684" s="192"/>
    </row>
    <row r="685" spans="2:2" x14ac:dyDescent="0.25">
      <c r="B685" s="192"/>
    </row>
    <row r="686" spans="2:2" x14ac:dyDescent="0.25">
      <c r="B686" s="192"/>
    </row>
    <row r="687" spans="2:2" x14ac:dyDescent="0.25">
      <c r="B687" s="192"/>
    </row>
    <row r="688" spans="2:2" x14ac:dyDescent="0.25">
      <c r="B688" s="192"/>
    </row>
    <row r="689" spans="2:2" x14ac:dyDescent="0.25">
      <c r="B689" s="192"/>
    </row>
    <row r="690" spans="2:2" x14ac:dyDescent="0.25">
      <c r="B690" s="192"/>
    </row>
    <row r="691" spans="2:2" x14ac:dyDescent="0.25">
      <c r="B691" s="192"/>
    </row>
    <row r="692" spans="2:2" x14ac:dyDescent="0.25">
      <c r="B692" s="192"/>
    </row>
    <row r="693" spans="2:2" x14ac:dyDescent="0.25">
      <c r="B693" s="192"/>
    </row>
    <row r="694" spans="2:2" x14ac:dyDescent="0.25">
      <c r="B694" s="192"/>
    </row>
    <row r="695" spans="2:2" x14ac:dyDescent="0.25">
      <c r="B695" s="192"/>
    </row>
    <row r="696" spans="2:2" x14ac:dyDescent="0.25">
      <c r="B696" s="192"/>
    </row>
    <row r="697" spans="2:2" x14ac:dyDescent="0.25">
      <c r="B697" s="192"/>
    </row>
    <row r="698" spans="2:2" x14ac:dyDescent="0.25">
      <c r="B698" s="192"/>
    </row>
    <row r="699" spans="2:2" x14ac:dyDescent="0.25">
      <c r="B699" s="192"/>
    </row>
    <row r="700" spans="2:2" x14ac:dyDescent="0.25">
      <c r="B700" s="192"/>
    </row>
    <row r="701" spans="2:2" x14ac:dyDescent="0.25">
      <c r="B701" s="192"/>
    </row>
    <row r="702" spans="2:2" x14ac:dyDescent="0.25">
      <c r="B702" s="192"/>
    </row>
    <row r="703" spans="2:2" x14ac:dyDescent="0.25">
      <c r="B703" s="192"/>
    </row>
    <row r="704" spans="2:2" x14ac:dyDescent="0.25">
      <c r="B704" s="192"/>
    </row>
    <row r="705" spans="2:2" x14ac:dyDescent="0.25">
      <c r="B705" s="192"/>
    </row>
    <row r="706" spans="2:2" x14ac:dyDescent="0.25">
      <c r="B706" s="192"/>
    </row>
    <row r="707" spans="2:2" x14ac:dyDescent="0.25">
      <c r="B707" s="192"/>
    </row>
    <row r="708" spans="2:2" x14ac:dyDescent="0.25">
      <c r="B708" s="192"/>
    </row>
    <row r="709" spans="2:2" x14ac:dyDescent="0.25">
      <c r="B709" s="192"/>
    </row>
    <row r="710" spans="2:2" x14ac:dyDescent="0.25">
      <c r="B710" s="192"/>
    </row>
    <row r="711" spans="2:2" x14ac:dyDescent="0.25">
      <c r="B711" s="192"/>
    </row>
    <row r="712" spans="2:2" x14ac:dyDescent="0.25">
      <c r="B712" s="192"/>
    </row>
    <row r="713" spans="2:2" x14ac:dyDescent="0.25">
      <c r="B713" s="192"/>
    </row>
    <row r="714" spans="2:2" x14ac:dyDescent="0.25">
      <c r="B714" s="192"/>
    </row>
    <row r="715" spans="2:2" x14ac:dyDescent="0.25">
      <c r="B715" s="192"/>
    </row>
    <row r="716" spans="2:2" x14ac:dyDescent="0.25">
      <c r="B716" s="192"/>
    </row>
    <row r="717" spans="2:2" x14ac:dyDescent="0.25">
      <c r="B717" s="192"/>
    </row>
    <row r="718" spans="2:2" x14ac:dyDescent="0.25">
      <c r="B718" s="192"/>
    </row>
    <row r="719" spans="2:2" x14ac:dyDescent="0.25">
      <c r="B719" s="192"/>
    </row>
    <row r="720" spans="2:2" x14ac:dyDescent="0.25">
      <c r="B720" s="192"/>
    </row>
    <row r="721" spans="2:2" x14ac:dyDescent="0.25">
      <c r="B721" s="192"/>
    </row>
    <row r="722" spans="2:2" x14ac:dyDescent="0.25">
      <c r="B722" s="192"/>
    </row>
    <row r="723" spans="2:2" x14ac:dyDescent="0.25">
      <c r="B723" s="192"/>
    </row>
    <row r="724" spans="2:2" x14ac:dyDescent="0.25">
      <c r="B724" s="192"/>
    </row>
    <row r="725" spans="2:2" x14ac:dyDescent="0.25">
      <c r="B725" s="192"/>
    </row>
    <row r="726" spans="2:2" x14ac:dyDescent="0.25">
      <c r="B726" s="192"/>
    </row>
    <row r="727" spans="2:2" x14ac:dyDescent="0.25">
      <c r="B727" s="192"/>
    </row>
    <row r="728" spans="2:2" x14ac:dyDescent="0.25">
      <c r="B728" s="192"/>
    </row>
    <row r="729" spans="2:2" x14ac:dyDescent="0.25">
      <c r="B729" s="192"/>
    </row>
    <row r="730" spans="2:2" x14ac:dyDescent="0.25">
      <c r="B730" s="192"/>
    </row>
    <row r="731" spans="2:2" x14ac:dyDescent="0.25">
      <c r="B731" s="192"/>
    </row>
    <row r="732" spans="2:2" x14ac:dyDescent="0.25">
      <c r="B732" s="192"/>
    </row>
    <row r="733" spans="2:2" x14ac:dyDescent="0.25">
      <c r="B733" s="192"/>
    </row>
    <row r="734" spans="2:2" x14ac:dyDescent="0.25">
      <c r="B734" s="192"/>
    </row>
    <row r="735" spans="2:2" x14ac:dyDescent="0.25">
      <c r="B735" s="192"/>
    </row>
    <row r="736" spans="2:2" x14ac:dyDescent="0.25">
      <c r="B736" s="192"/>
    </row>
    <row r="737" spans="2:2" x14ac:dyDescent="0.25">
      <c r="B737" s="192"/>
    </row>
    <row r="738" spans="2:2" x14ac:dyDescent="0.25">
      <c r="B738" s="192"/>
    </row>
    <row r="739" spans="2:2" x14ac:dyDescent="0.25">
      <c r="B739" s="192"/>
    </row>
    <row r="740" spans="2:2" x14ac:dyDescent="0.25">
      <c r="B740" s="192"/>
    </row>
    <row r="741" spans="2:2" x14ac:dyDescent="0.25">
      <c r="B741" s="192"/>
    </row>
    <row r="742" spans="2:2" x14ac:dyDescent="0.25">
      <c r="B742" s="192"/>
    </row>
    <row r="743" spans="2:2" x14ac:dyDescent="0.25">
      <c r="B743" s="192"/>
    </row>
    <row r="744" spans="2:2" x14ac:dyDescent="0.25">
      <c r="B744" s="192"/>
    </row>
    <row r="745" spans="2:2" x14ac:dyDescent="0.25">
      <c r="B745" s="192"/>
    </row>
    <row r="746" spans="2:2" x14ac:dyDescent="0.25">
      <c r="B746" s="192"/>
    </row>
    <row r="747" spans="2:2" x14ac:dyDescent="0.25">
      <c r="B747" s="192"/>
    </row>
    <row r="748" spans="2:2" x14ac:dyDescent="0.25">
      <c r="B748" s="192"/>
    </row>
    <row r="749" spans="2:2" x14ac:dyDescent="0.25">
      <c r="B749" s="192"/>
    </row>
    <row r="750" spans="2:2" x14ac:dyDescent="0.25">
      <c r="B750" s="192"/>
    </row>
    <row r="751" spans="2:2" x14ac:dyDescent="0.25">
      <c r="B751" s="192"/>
    </row>
    <row r="752" spans="2:2" x14ac:dyDescent="0.25">
      <c r="B752" s="192"/>
    </row>
    <row r="753" spans="2:2" x14ac:dyDescent="0.25">
      <c r="B753" s="192"/>
    </row>
    <row r="754" spans="2:2" x14ac:dyDescent="0.25">
      <c r="B754" s="192"/>
    </row>
    <row r="755" spans="2:2" x14ac:dyDescent="0.25">
      <c r="B755" s="192"/>
    </row>
    <row r="756" spans="2:2" x14ac:dyDescent="0.25">
      <c r="B756" s="192"/>
    </row>
    <row r="757" spans="2:2" x14ac:dyDescent="0.25">
      <c r="B757" s="192"/>
    </row>
    <row r="758" spans="2:2" x14ac:dyDescent="0.25">
      <c r="B758" s="192"/>
    </row>
    <row r="759" spans="2:2" x14ac:dyDescent="0.25">
      <c r="B759" s="192"/>
    </row>
    <row r="760" spans="2:2" x14ac:dyDescent="0.25">
      <c r="B760" s="192"/>
    </row>
    <row r="761" spans="2:2" x14ac:dyDescent="0.25">
      <c r="B761" s="192"/>
    </row>
    <row r="762" spans="2:2" x14ac:dyDescent="0.25">
      <c r="B762" s="192"/>
    </row>
    <row r="763" spans="2:2" x14ac:dyDescent="0.25">
      <c r="B763" s="192"/>
    </row>
    <row r="764" spans="2:2" x14ac:dyDescent="0.25">
      <c r="B764" s="192"/>
    </row>
    <row r="765" spans="2:2" x14ac:dyDescent="0.25">
      <c r="B765" s="192"/>
    </row>
    <row r="766" spans="2:2" x14ac:dyDescent="0.25">
      <c r="B766" s="192"/>
    </row>
    <row r="767" spans="2:2" x14ac:dyDescent="0.25">
      <c r="B767" s="192"/>
    </row>
    <row r="768" spans="2:2" x14ac:dyDescent="0.25">
      <c r="B768" s="192"/>
    </row>
    <row r="769" spans="2:2" x14ac:dyDescent="0.25">
      <c r="B769" s="192"/>
    </row>
    <row r="770" spans="2:2" x14ac:dyDescent="0.25">
      <c r="B770" s="192"/>
    </row>
    <row r="771" spans="2:2" x14ac:dyDescent="0.25">
      <c r="B771" s="192"/>
    </row>
    <row r="772" spans="2:2" x14ac:dyDescent="0.25">
      <c r="B772" s="192"/>
    </row>
    <row r="773" spans="2:2" x14ac:dyDescent="0.25">
      <c r="B773" s="192"/>
    </row>
    <row r="774" spans="2:2" x14ac:dyDescent="0.25">
      <c r="B774" s="192"/>
    </row>
    <row r="775" spans="2:2" x14ac:dyDescent="0.25">
      <c r="B775" s="192"/>
    </row>
    <row r="776" spans="2:2" x14ac:dyDescent="0.25">
      <c r="B776" s="192"/>
    </row>
    <row r="777" spans="2:2" x14ac:dyDescent="0.25">
      <c r="B777" s="192"/>
    </row>
    <row r="778" spans="2:2" x14ac:dyDescent="0.25">
      <c r="B778" s="192"/>
    </row>
    <row r="779" spans="2:2" x14ac:dyDescent="0.25">
      <c r="B779" s="192"/>
    </row>
    <row r="780" spans="2:2" x14ac:dyDescent="0.25">
      <c r="B780" s="192"/>
    </row>
    <row r="781" spans="2:2" x14ac:dyDescent="0.25">
      <c r="B781" s="192"/>
    </row>
    <row r="782" spans="2:2" x14ac:dyDescent="0.25">
      <c r="B782" s="192"/>
    </row>
    <row r="783" spans="2:2" x14ac:dyDescent="0.25">
      <c r="B783" s="192"/>
    </row>
    <row r="784" spans="2:2" x14ac:dyDescent="0.25">
      <c r="B784" s="192"/>
    </row>
    <row r="785" spans="2:2" x14ac:dyDescent="0.25">
      <c r="B785" s="192"/>
    </row>
    <row r="786" spans="2:2" x14ac:dyDescent="0.25">
      <c r="B786" s="192"/>
    </row>
    <row r="787" spans="2:2" x14ac:dyDescent="0.25">
      <c r="B787" s="192"/>
    </row>
    <row r="788" spans="2:2" x14ac:dyDescent="0.25">
      <c r="B788" s="192"/>
    </row>
    <row r="789" spans="2:2" x14ac:dyDescent="0.25">
      <c r="B789" s="192"/>
    </row>
    <row r="790" spans="2:2" x14ac:dyDescent="0.25">
      <c r="B790" s="192"/>
    </row>
    <row r="791" spans="2:2" x14ac:dyDescent="0.25">
      <c r="B791" s="192"/>
    </row>
    <row r="792" spans="2:2" x14ac:dyDescent="0.25">
      <c r="B792" s="192"/>
    </row>
    <row r="793" spans="2:2" x14ac:dyDescent="0.25">
      <c r="B793" s="192"/>
    </row>
    <row r="794" spans="2:2" x14ac:dyDescent="0.25">
      <c r="B794" s="192"/>
    </row>
    <row r="795" spans="2:2" x14ac:dyDescent="0.25">
      <c r="B795" s="192"/>
    </row>
    <row r="796" spans="2:2" x14ac:dyDescent="0.25">
      <c r="B796" s="192"/>
    </row>
    <row r="797" spans="2:2" x14ac:dyDescent="0.25">
      <c r="B797" s="192"/>
    </row>
    <row r="798" spans="2:2" x14ac:dyDescent="0.25">
      <c r="B798" s="192"/>
    </row>
    <row r="799" spans="2:2" x14ac:dyDescent="0.25">
      <c r="B799" s="192"/>
    </row>
    <row r="800" spans="2:2" x14ac:dyDescent="0.25">
      <c r="B800" s="192"/>
    </row>
    <row r="801" spans="2:2" x14ac:dyDescent="0.25">
      <c r="B801" s="192"/>
    </row>
    <row r="802" spans="2:2" x14ac:dyDescent="0.25">
      <c r="B802" s="192"/>
    </row>
    <row r="803" spans="2:2" x14ac:dyDescent="0.25">
      <c r="B803" s="192"/>
    </row>
    <row r="804" spans="2:2" x14ac:dyDescent="0.25">
      <c r="B804" s="192"/>
    </row>
    <row r="805" spans="2:2" x14ac:dyDescent="0.25">
      <c r="B805" s="192"/>
    </row>
    <row r="806" spans="2:2" x14ac:dyDescent="0.25">
      <c r="B806" s="192"/>
    </row>
    <row r="807" spans="2:2" x14ac:dyDescent="0.25">
      <c r="B807" s="192"/>
    </row>
    <row r="808" spans="2:2" x14ac:dyDescent="0.25">
      <c r="B808" s="192"/>
    </row>
    <row r="809" spans="2:2" x14ac:dyDescent="0.25">
      <c r="B809" s="192"/>
    </row>
    <row r="810" spans="2:2" x14ac:dyDescent="0.25">
      <c r="B810" s="192"/>
    </row>
    <row r="811" spans="2:2" x14ac:dyDescent="0.25">
      <c r="B811" s="192"/>
    </row>
    <row r="812" spans="2:2" x14ac:dyDescent="0.25">
      <c r="B812" s="192"/>
    </row>
    <row r="813" spans="2:2" x14ac:dyDescent="0.25">
      <c r="B813" s="192"/>
    </row>
    <row r="814" spans="2:2" x14ac:dyDescent="0.25">
      <c r="B814" s="192"/>
    </row>
    <row r="815" spans="2:2" x14ac:dyDescent="0.25">
      <c r="B815" s="192"/>
    </row>
    <row r="816" spans="2:2" x14ac:dyDescent="0.25">
      <c r="B816" s="192"/>
    </row>
    <row r="817" spans="2:2" x14ac:dyDescent="0.25">
      <c r="B817" s="192"/>
    </row>
    <row r="818" spans="2:2" x14ac:dyDescent="0.25">
      <c r="B818" s="192"/>
    </row>
    <row r="819" spans="2:2" x14ac:dyDescent="0.25">
      <c r="B819" s="192"/>
    </row>
    <row r="820" spans="2:2" x14ac:dyDescent="0.25">
      <c r="B820" s="192"/>
    </row>
    <row r="821" spans="2:2" x14ac:dyDescent="0.25">
      <c r="B821" s="192"/>
    </row>
    <row r="822" spans="2:2" x14ac:dyDescent="0.25">
      <c r="B822" s="192"/>
    </row>
    <row r="823" spans="2:2" x14ac:dyDescent="0.25">
      <c r="B823" s="192"/>
    </row>
    <row r="824" spans="2:2" x14ac:dyDescent="0.25">
      <c r="B824" s="192"/>
    </row>
    <row r="825" spans="2:2" x14ac:dyDescent="0.25">
      <c r="B825" s="192"/>
    </row>
    <row r="826" spans="2:2" x14ac:dyDescent="0.25">
      <c r="B826" s="192"/>
    </row>
    <row r="827" spans="2:2" x14ac:dyDescent="0.25">
      <c r="B827" s="192"/>
    </row>
    <row r="828" spans="2:2" x14ac:dyDescent="0.25">
      <c r="B828" s="192"/>
    </row>
    <row r="829" spans="2:2" x14ac:dyDescent="0.25">
      <c r="B829" s="192"/>
    </row>
    <row r="830" spans="2:2" x14ac:dyDescent="0.25">
      <c r="B830" s="192"/>
    </row>
    <row r="831" spans="2:2" x14ac:dyDescent="0.25">
      <c r="B831" s="192"/>
    </row>
    <row r="832" spans="2:2" x14ac:dyDescent="0.25">
      <c r="B832" s="192"/>
    </row>
    <row r="833" spans="2:2" x14ac:dyDescent="0.25">
      <c r="B833" s="192"/>
    </row>
    <row r="834" spans="2:2" x14ac:dyDescent="0.25">
      <c r="B834" s="192"/>
    </row>
    <row r="835" spans="2:2" x14ac:dyDescent="0.25">
      <c r="B835" s="192"/>
    </row>
    <row r="836" spans="2:2" x14ac:dyDescent="0.25">
      <c r="B836" s="192"/>
    </row>
    <row r="837" spans="2:2" x14ac:dyDescent="0.25">
      <c r="B837" s="192"/>
    </row>
    <row r="838" spans="2:2" x14ac:dyDescent="0.25">
      <c r="B838" s="192"/>
    </row>
    <row r="839" spans="2:2" x14ac:dyDescent="0.25">
      <c r="B839" s="192"/>
    </row>
    <row r="840" spans="2:2" x14ac:dyDescent="0.25">
      <c r="B840" s="192"/>
    </row>
    <row r="841" spans="2:2" x14ac:dyDescent="0.25">
      <c r="B841" s="192"/>
    </row>
    <row r="842" spans="2:2" x14ac:dyDescent="0.25">
      <c r="B842" s="192"/>
    </row>
    <row r="843" spans="2:2" x14ac:dyDescent="0.25">
      <c r="B843" s="192"/>
    </row>
    <row r="844" spans="2:2" x14ac:dyDescent="0.25">
      <c r="B844" s="192"/>
    </row>
    <row r="845" spans="2:2" x14ac:dyDescent="0.25">
      <c r="B845" s="192"/>
    </row>
    <row r="846" spans="2:2" x14ac:dyDescent="0.25">
      <c r="B846" s="192"/>
    </row>
    <row r="847" spans="2:2" x14ac:dyDescent="0.25">
      <c r="B847" s="192"/>
    </row>
    <row r="848" spans="2:2" x14ac:dyDescent="0.25">
      <c r="B848" s="192"/>
    </row>
    <row r="849" spans="2:2" x14ac:dyDescent="0.25">
      <c r="B849" s="192"/>
    </row>
    <row r="850" spans="2:2" x14ac:dyDescent="0.25">
      <c r="B850" s="192"/>
    </row>
    <row r="851" spans="2:2" x14ac:dyDescent="0.25">
      <c r="B851" s="192"/>
    </row>
    <row r="852" spans="2:2" x14ac:dyDescent="0.25">
      <c r="B852" s="192"/>
    </row>
    <row r="853" spans="2:2" x14ac:dyDescent="0.25">
      <c r="B853" s="192"/>
    </row>
    <row r="854" spans="2:2" x14ac:dyDescent="0.25">
      <c r="B854" s="192"/>
    </row>
    <row r="855" spans="2:2" x14ac:dyDescent="0.25">
      <c r="B855" s="192"/>
    </row>
    <row r="856" spans="2:2" x14ac:dyDescent="0.25">
      <c r="B856" s="192"/>
    </row>
    <row r="857" spans="2:2" x14ac:dyDescent="0.25">
      <c r="B857" s="192"/>
    </row>
    <row r="858" spans="2:2" x14ac:dyDescent="0.25">
      <c r="B858" s="192"/>
    </row>
    <row r="859" spans="2:2" x14ac:dyDescent="0.25">
      <c r="B859" s="192"/>
    </row>
    <row r="860" spans="2:2" x14ac:dyDescent="0.25">
      <c r="B860" s="192"/>
    </row>
    <row r="861" spans="2:2" x14ac:dyDescent="0.25">
      <c r="B861" s="192"/>
    </row>
    <row r="862" spans="2:2" x14ac:dyDescent="0.25">
      <c r="B862" s="192"/>
    </row>
    <row r="863" spans="2:2" x14ac:dyDescent="0.25">
      <c r="B863" s="192"/>
    </row>
    <row r="864" spans="2:2" x14ac:dyDescent="0.25">
      <c r="B864" s="192"/>
    </row>
    <row r="865" spans="2:2" x14ac:dyDescent="0.25">
      <c r="B865" s="192"/>
    </row>
    <row r="866" spans="2:2" x14ac:dyDescent="0.25">
      <c r="B866" s="192"/>
    </row>
    <row r="867" spans="2:2" x14ac:dyDescent="0.25">
      <c r="B867" s="192"/>
    </row>
    <row r="868" spans="2:2" x14ac:dyDescent="0.25">
      <c r="B868" s="192"/>
    </row>
    <row r="869" spans="2:2" x14ac:dyDescent="0.25">
      <c r="B869" s="192"/>
    </row>
    <row r="870" spans="2:2" x14ac:dyDescent="0.25">
      <c r="B870" s="192"/>
    </row>
    <row r="871" spans="2:2" x14ac:dyDescent="0.25">
      <c r="B871" s="192"/>
    </row>
    <row r="872" spans="2:2" x14ac:dyDescent="0.25">
      <c r="B872" s="192"/>
    </row>
    <row r="873" spans="2:2" x14ac:dyDescent="0.25">
      <c r="B873" s="192"/>
    </row>
    <row r="874" spans="2:2" x14ac:dyDescent="0.25">
      <c r="B874" s="192"/>
    </row>
    <row r="875" spans="2:2" x14ac:dyDescent="0.25">
      <c r="B875" s="192"/>
    </row>
    <row r="876" spans="2:2" x14ac:dyDescent="0.25">
      <c r="B876" s="192"/>
    </row>
    <row r="877" spans="2:2" x14ac:dyDescent="0.25">
      <c r="B877" s="192"/>
    </row>
    <row r="878" spans="2:2" x14ac:dyDescent="0.25">
      <c r="B878" s="192"/>
    </row>
    <row r="879" spans="2:2" x14ac:dyDescent="0.25">
      <c r="B879" s="192"/>
    </row>
    <row r="880" spans="2:2" x14ac:dyDescent="0.25">
      <c r="B880" s="192"/>
    </row>
    <row r="881" spans="2:2" x14ac:dyDescent="0.25">
      <c r="B881" s="192"/>
    </row>
    <row r="882" spans="2:2" x14ac:dyDescent="0.25">
      <c r="B882" s="192"/>
    </row>
    <row r="883" spans="2:2" x14ac:dyDescent="0.25">
      <c r="B883" s="192"/>
    </row>
    <row r="884" spans="2:2" x14ac:dyDescent="0.25">
      <c r="B884" s="192"/>
    </row>
    <row r="885" spans="2:2" x14ac:dyDescent="0.25">
      <c r="B885" s="192"/>
    </row>
    <row r="886" spans="2:2" x14ac:dyDescent="0.25">
      <c r="B886" s="192"/>
    </row>
    <row r="887" spans="2:2" x14ac:dyDescent="0.25">
      <c r="B887" s="192"/>
    </row>
    <row r="888" spans="2:2" x14ac:dyDescent="0.25">
      <c r="B888" s="192"/>
    </row>
    <row r="889" spans="2:2" x14ac:dyDescent="0.25">
      <c r="B889" s="192"/>
    </row>
    <row r="890" spans="2:2" x14ac:dyDescent="0.25">
      <c r="B890" s="192"/>
    </row>
    <row r="891" spans="2:2" x14ac:dyDescent="0.25">
      <c r="B891" s="192"/>
    </row>
    <row r="892" spans="2:2" x14ac:dyDescent="0.25">
      <c r="B892" s="192"/>
    </row>
    <row r="893" spans="2:2" x14ac:dyDescent="0.25">
      <c r="B893" s="192"/>
    </row>
    <row r="894" spans="2:2" x14ac:dyDescent="0.25">
      <c r="B894" s="192"/>
    </row>
    <row r="895" spans="2:2" x14ac:dyDescent="0.25">
      <c r="B895" s="192"/>
    </row>
    <row r="896" spans="2:2" x14ac:dyDescent="0.25">
      <c r="B896" s="192"/>
    </row>
    <row r="897" spans="2:2" x14ac:dyDescent="0.25">
      <c r="B897" s="192"/>
    </row>
    <row r="898" spans="2:2" x14ac:dyDescent="0.25">
      <c r="B898" s="192"/>
    </row>
    <row r="899" spans="2:2" x14ac:dyDescent="0.25">
      <c r="B899" s="192"/>
    </row>
    <row r="900" spans="2:2" x14ac:dyDescent="0.25">
      <c r="B900" s="192"/>
    </row>
    <row r="901" spans="2:2" x14ac:dyDescent="0.25">
      <c r="B901" s="192"/>
    </row>
    <row r="902" spans="2:2" x14ac:dyDescent="0.25">
      <c r="B902" s="192"/>
    </row>
    <row r="903" spans="2:2" x14ac:dyDescent="0.25">
      <c r="B903" s="192"/>
    </row>
    <row r="904" spans="2:2" x14ac:dyDescent="0.25">
      <c r="B904" s="192"/>
    </row>
    <row r="905" spans="2:2" x14ac:dyDescent="0.25">
      <c r="B905" s="192"/>
    </row>
    <row r="906" spans="2:2" x14ac:dyDescent="0.25">
      <c r="B906" s="192"/>
    </row>
    <row r="907" spans="2:2" x14ac:dyDescent="0.25">
      <c r="B907" s="192"/>
    </row>
    <row r="908" spans="2:2" x14ac:dyDescent="0.25">
      <c r="B908" s="192"/>
    </row>
    <row r="909" spans="2:2" x14ac:dyDescent="0.25">
      <c r="B909" s="192"/>
    </row>
    <row r="910" spans="2:2" x14ac:dyDescent="0.25">
      <c r="B910" s="192"/>
    </row>
    <row r="911" spans="2:2" x14ac:dyDescent="0.25">
      <c r="B911" s="192"/>
    </row>
    <row r="912" spans="2:2" x14ac:dyDescent="0.25">
      <c r="B912" s="192"/>
    </row>
    <row r="913" spans="2:2" x14ac:dyDescent="0.25">
      <c r="B913" s="192"/>
    </row>
    <row r="914" spans="2:2" x14ac:dyDescent="0.25">
      <c r="B914" s="192"/>
    </row>
    <row r="915" spans="2:2" x14ac:dyDescent="0.25">
      <c r="B915" s="192"/>
    </row>
    <row r="916" spans="2:2" x14ac:dyDescent="0.25">
      <c r="B916" s="192"/>
    </row>
    <row r="917" spans="2:2" x14ac:dyDescent="0.25">
      <c r="B917" s="192"/>
    </row>
    <row r="918" spans="2:2" x14ac:dyDescent="0.25">
      <c r="B918" s="192"/>
    </row>
    <row r="919" spans="2:2" x14ac:dyDescent="0.25">
      <c r="B919" s="192"/>
    </row>
    <row r="920" spans="2:2" x14ac:dyDescent="0.25">
      <c r="B920" s="192"/>
    </row>
    <row r="921" spans="2:2" x14ac:dyDescent="0.25">
      <c r="B921" s="192"/>
    </row>
    <row r="922" spans="2:2" x14ac:dyDescent="0.25">
      <c r="B922" s="192"/>
    </row>
    <row r="923" spans="2:2" x14ac:dyDescent="0.25">
      <c r="B923" s="192"/>
    </row>
    <row r="924" spans="2:2" x14ac:dyDescent="0.25">
      <c r="B924" s="192"/>
    </row>
    <row r="925" spans="2:2" x14ac:dyDescent="0.25">
      <c r="B925" s="192"/>
    </row>
    <row r="926" spans="2:2" x14ac:dyDescent="0.25">
      <c r="B926" s="192"/>
    </row>
    <row r="927" spans="2:2" x14ac:dyDescent="0.25">
      <c r="B927" s="192"/>
    </row>
    <row r="928" spans="2:2" x14ac:dyDescent="0.25">
      <c r="B928" s="192"/>
    </row>
    <row r="929" spans="2:2" x14ac:dyDescent="0.25">
      <c r="B929" s="192"/>
    </row>
    <row r="930" spans="2:2" x14ac:dyDescent="0.25">
      <c r="B930" s="192"/>
    </row>
    <row r="931" spans="2:2" x14ac:dyDescent="0.25">
      <c r="B931" s="192"/>
    </row>
    <row r="932" spans="2:2" x14ac:dyDescent="0.25">
      <c r="B932" s="192"/>
    </row>
    <row r="933" spans="2:2" x14ac:dyDescent="0.25">
      <c r="B933" s="192"/>
    </row>
    <row r="934" spans="2:2" x14ac:dyDescent="0.25">
      <c r="B934" s="192"/>
    </row>
    <row r="935" spans="2:2" x14ac:dyDescent="0.25">
      <c r="B935" s="192"/>
    </row>
    <row r="936" spans="2:2" x14ac:dyDescent="0.25">
      <c r="B936" s="192"/>
    </row>
    <row r="937" spans="2:2" x14ac:dyDescent="0.25">
      <c r="B937" s="192"/>
    </row>
    <row r="938" spans="2:2" x14ac:dyDescent="0.25">
      <c r="B938" s="192"/>
    </row>
    <row r="939" spans="2:2" x14ac:dyDescent="0.25">
      <c r="B939" s="192"/>
    </row>
    <row r="940" spans="2:2" x14ac:dyDescent="0.25">
      <c r="B940" s="192"/>
    </row>
    <row r="941" spans="2:2" x14ac:dyDescent="0.25">
      <c r="B941" s="192"/>
    </row>
    <row r="942" spans="2:2" x14ac:dyDescent="0.25">
      <c r="B942" s="192"/>
    </row>
    <row r="943" spans="2:2" x14ac:dyDescent="0.25">
      <c r="B943" s="192"/>
    </row>
    <row r="944" spans="2:2" x14ac:dyDescent="0.25">
      <c r="B944" s="192"/>
    </row>
    <row r="945" spans="2:2" x14ac:dyDescent="0.25">
      <c r="B945" s="192"/>
    </row>
    <row r="946" spans="2:2" x14ac:dyDescent="0.25">
      <c r="B946" s="192"/>
    </row>
    <row r="947" spans="2:2" x14ac:dyDescent="0.25">
      <c r="B947" s="192"/>
    </row>
    <row r="948" spans="2:2" x14ac:dyDescent="0.25">
      <c r="B948" s="192"/>
    </row>
    <row r="949" spans="2:2" x14ac:dyDescent="0.25">
      <c r="B949" s="192"/>
    </row>
    <row r="950" spans="2:2" x14ac:dyDescent="0.25">
      <c r="B950" s="192"/>
    </row>
    <row r="951" spans="2:2" x14ac:dyDescent="0.25">
      <c r="B951" s="192"/>
    </row>
    <row r="952" spans="2:2" x14ac:dyDescent="0.25">
      <c r="B952" s="192"/>
    </row>
    <row r="953" spans="2:2" x14ac:dyDescent="0.25">
      <c r="B953" s="192"/>
    </row>
    <row r="954" spans="2:2" x14ac:dyDescent="0.25">
      <c r="B954" s="192"/>
    </row>
    <row r="955" spans="2:2" x14ac:dyDescent="0.25">
      <c r="B955" s="192"/>
    </row>
    <row r="956" spans="2:2" x14ac:dyDescent="0.25">
      <c r="B956" s="192"/>
    </row>
    <row r="957" spans="2:2" x14ac:dyDescent="0.25">
      <c r="B957" s="192"/>
    </row>
    <row r="958" spans="2:2" x14ac:dyDescent="0.25">
      <c r="B958" s="192"/>
    </row>
    <row r="959" spans="2:2" x14ac:dyDescent="0.25">
      <c r="B959" s="192"/>
    </row>
    <row r="960" spans="2:2" x14ac:dyDescent="0.25">
      <c r="B960" s="192"/>
    </row>
    <row r="961" spans="2:2" x14ac:dyDescent="0.25">
      <c r="B961" s="192"/>
    </row>
    <row r="962" spans="2:2" x14ac:dyDescent="0.25">
      <c r="B962" s="192"/>
    </row>
    <row r="963" spans="2:2" x14ac:dyDescent="0.25">
      <c r="B963" s="192"/>
    </row>
    <row r="964" spans="2:2" x14ac:dyDescent="0.25">
      <c r="B964" s="192"/>
    </row>
    <row r="965" spans="2:2" x14ac:dyDescent="0.25">
      <c r="B965" s="192"/>
    </row>
    <row r="966" spans="2:2" x14ac:dyDescent="0.25">
      <c r="B966" s="192"/>
    </row>
    <row r="967" spans="2:2" x14ac:dyDescent="0.25">
      <c r="B967" s="192"/>
    </row>
    <row r="968" spans="2:2" x14ac:dyDescent="0.25">
      <c r="B968" s="192"/>
    </row>
    <row r="969" spans="2:2" x14ac:dyDescent="0.25">
      <c r="B969" s="192"/>
    </row>
    <row r="970" spans="2:2" x14ac:dyDescent="0.25">
      <c r="B970" s="192"/>
    </row>
    <row r="971" spans="2:2" x14ac:dyDescent="0.25">
      <c r="B971" s="192"/>
    </row>
    <row r="972" spans="2:2" x14ac:dyDescent="0.25">
      <c r="B972" s="192"/>
    </row>
    <row r="973" spans="2:2" x14ac:dyDescent="0.25">
      <c r="B973" s="192"/>
    </row>
    <row r="974" spans="2:2" x14ac:dyDescent="0.25">
      <c r="B974" s="192"/>
    </row>
    <row r="975" spans="2:2" x14ac:dyDescent="0.25">
      <c r="B975" s="192"/>
    </row>
    <row r="976" spans="2:2" x14ac:dyDescent="0.25">
      <c r="B976" s="192"/>
    </row>
    <row r="977" spans="2:2" x14ac:dyDescent="0.25">
      <c r="B977" s="192"/>
    </row>
    <row r="978" spans="2:2" x14ac:dyDescent="0.25">
      <c r="B978" s="192"/>
    </row>
    <row r="979" spans="2:2" x14ac:dyDescent="0.25">
      <c r="B979" s="192"/>
    </row>
    <row r="980" spans="2:2" x14ac:dyDescent="0.25">
      <c r="B980" s="192"/>
    </row>
    <row r="981" spans="2:2" x14ac:dyDescent="0.25">
      <c r="B981" s="192"/>
    </row>
    <row r="982" spans="2:2" x14ac:dyDescent="0.25">
      <c r="B982" s="192"/>
    </row>
    <row r="983" spans="2:2" x14ac:dyDescent="0.25">
      <c r="B983" s="192"/>
    </row>
    <row r="984" spans="2:2" x14ac:dyDescent="0.25">
      <c r="B984" s="192"/>
    </row>
    <row r="985" spans="2:2" x14ac:dyDescent="0.25">
      <c r="B985" s="192"/>
    </row>
    <row r="986" spans="2:2" x14ac:dyDescent="0.25">
      <c r="B986" s="192"/>
    </row>
    <row r="987" spans="2:2" x14ac:dyDescent="0.25">
      <c r="B987" s="192"/>
    </row>
    <row r="988" spans="2:2" x14ac:dyDescent="0.25">
      <c r="B988" s="192"/>
    </row>
    <row r="989" spans="2:2" x14ac:dyDescent="0.25">
      <c r="B989" s="192"/>
    </row>
    <row r="990" spans="2:2" x14ac:dyDescent="0.25">
      <c r="B990" s="192"/>
    </row>
    <row r="991" spans="2:2" x14ac:dyDescent="0.25">
      <c r="B991" s="192"/>
    </row>
    <row r="992" spans="2:2" x14ac:dyDescent="0.25">
      <c r="B992" s="192"/>
    </row>
    <row r="993" spans="2:2" x14ac:dyDescent="0.25">
      <c r="B993" s="192"/>
    </row>
    <row r="994" spans="2:2" x14ac:dyDescent="0.25">
      <c r="B994" s="192"/>
    </row>
    <row r="995" spans="2:2" x14ac:dyDescent="0.25">
      <c r="B995" s="192"/>
    </row>
    <row r="996" spans="2:2" x14ac:dyDescent="0.25">
      <c r="B996" s="192"/>
    </row>
    <row r="997" spans="2:2" x14ac:dyDescent="0.25">
      <c r="B997" s="192"/>
    </row>
    <row r="998" spans="2:2" x14ac:dyDescent="0.25">
      <c r="B998" s="192"/>
    </row>
    <row r="999" spans="2:2" x14ac:dyDescent="0.25">
      <c r="B999" s="192"/>
    </row>
    <row r="1000" spans="2:2" x14ac:dyDescent="0.25">
      <c r="B1000" s="192"/>
    </row>
    <row r="1001" spans="2:2" x14ac:dyDescent="0.25">
      <c r="B1001" s="192"/>
    </row>
    <row r="1002" spans="2:2" x14ac:dyDescent="0.25">
      <c r="B1002" s="192"/>
    </row>
    <row r="1003" spans="2:2" x14ac:dyDescent="0.25">
      <c r="B1003" s="192"/>
    </row>
    <row r="1004" spans="2:2" x14ac:dyDescent="0.25">
      <c r="B1004" s="192"/>
    </row>
    <row r="1005" spans="2:2" x14ac:dyDescent="0.25">
      <c r="B1005" s="192"/>
    </row>
    <row r="1006" spans="2:2" x14ac:dyDescent="0.25">
      <c r="B1006" s="192"/>
    </row>
    <row r="1007" spans="2:2" x14ac:dyDescent="0.25">
      <c r="B1007" s="192"/>
    </row>
    <row r="1008" spans="2:2" x14ac:dyDescent="0.25">
      <c r="B1008" s="192"/>
    </row>
    <row r="1009" spans="2:2" x14ac:dyDescent="0.25">
      <c r="B1009" s="192"/>
    </row>
    <row r="1010" spans="2:2" x14ac:dyDescent="0.25">
      <c r="B1010" s="192"/>
    </row>
    <row r="1011" spans="2:2" x14ac:dyDescent="0.25">
      <c r="B1011" s="192"/>
    </row>
    <row r="1012" spans="2:2" x14ac:dyDescent="0.25">
      <c r="B1012" s="192"/>
    </row>
    <row r="1013" spans="2:2" x14ac:dyDescent="0.25">
      <c r="B1013" s="192"/>
    </row>
    <row r="1014" spans="2:2" x14ac:dyDescent="0.25">
      <c r="B1014" s="192"/>
    </row>
    <row r="1015" spans="2:2" x14ac:dyDescent="0.25">
      <c r="B1015" s="192"/>
    </row>
    <row r="1016" spans="2:2" x14ac:dyDescent="0.25">
      <c r="B1016" s="192"/>
    </row>
    <row r="1017" spans="2:2" x14ac:dyDescent="0.25">
      <c r="B1017" s="192"/>
    </row>
    <row r="1018" spans="2:2" x14ac:dyDescent="0.25">
      <c r="B1018" s="192"/>
    </row>
    <row r="1019" spans="2:2" x14ac:dyDescent="0.25">
      <c r="B1019" s="192"/>
    </row>
    <row r="1020" spans="2:2" x14ac:dyDescent="0.25">
      <c r="B1020" s="192"/>
    </row>
    <row r="1021" spans="2:2" x14ac:dyDescent="0.25">
      <c r="B1021" s="192"/>
    </row>
    <row r="1022" spans="2:2" x14ac:dyDescent="0.25">
      <c r="B1022" s="192"/>
    </row>
    <row r="1023" spans="2:2" x14ac:dyDescent="0.25">
      <c r="B1023" s="192"/>
    </row>
    <row r="1024" spans="2:2" x14ac:dyDescent="0.25">
      <c r="B1024" s="192"/>
    </row>
    <row r="1025" spans="2:2" x14ac:dyDescent="0.25">
      <c r="B1025" s="192"/>
    </row>
    <row r="1026" spans="2:2" x14ac:dyDescent="0.25">
      <c r="B1026" s="192"/>
    </row>
    <row r="1027" spans="2:2" x14ac:dyDescent="0.25">
      <c r="B1027" s="192"/>
    </row>
    <row r="1028" spans="2:2" x14ac:dyDescent="0.25">
      <c r="B1028" s="192"/>
    </row>
    <row r="1029" spans="2:2" x14ac:dyDescent="0.25">
      <c r="B1029" s="192"/>
    </row>
    <row r="1030" spans="2:2" x14ac:dyDescent="0.25">
      <c r="B1030" s="192"/>
    </row>
    <row r="1031" spans="2:2" x14ac:dyDescent="0.25">
      <c r="B1031" s="192"/>
    </row>
    <row r="1032" spans="2:2" x14ac:dyDescent="0.25">
      <c r="B1032" s="192"/>
    </row>
    <row r="1033" spans="2:2" x14ac:dyDescent="0.25">
      <c r="B1033" s="192"/>
    </row>
    <row r="1034" spans="2:2" x14ac:dyDescent="0.25">
      <c r="B1034" s="192"/>
    </row>
    <row r="1035" spans="2:2" x14ac:dyDescent="0.25">
      <c r="B1035" s="192"/>
    </row>
    <row r="1036" spans="2:2" x14ac:dyDescent="0.25">
      <c r="B1036" s="192"/>
    </row>
    <row r="1037" spans="2:2" x14ac:dyDescent="0.25">
      <c r="B1037" s="192"/>
    </row>
    <row r="1038" spans="2:2" x14ac:dyDescent="0.25">
      <c r="B1038" s="192"/>
    </row>
    <row r="1039" spans="2:2" x14ac:dyDescent="0.25">
      <c r="B1039" s="192"/>
    </row>
    <row r="1040" spans="2:2" x14ac:dyDescent="0.25">
      <c r="B1040" s="192"/>
    </row>
    <row r="1041" spans="2:2" x14ac:dyDescent="0.25">
      <c r="B1041" s="192"/>
    </row>
    <row r="1042" spans="2:2" x14ac:dyDescent="0.25">
      <c r="B1042" s="192"/>
    </row>
    <row r="1043" spans="2:2" x14ac:dyDescent="0.25">
      <c r="B1043" s="192"/>
    </row>
    <row r="1044" spans="2:2" x14ac:dyDescent="0.25">
      <c r="B1044" s="192"/>
    </row>
    <row r="1045" spans="2:2" x14ac:dyDescent="0.25">
      <c r="B1045" s="192"/>
    </row>
    <row r="1046" spans="2:2" x14ac:dyDescent="0.25">
      <c r="B1046" s="192"/>
    </row>
    <row r="1047" spans="2:2" x14ac:dyDescent="0.25">
      <c r="B1047" s="192"/>
    </row>
    <row r="1048" spans="2:2" x14ac:dyDescent="0.25">
      <c r="B1048" s="192"/>
    </row>
    <row r="1049" spans="2:2" x14ac:dyDescent="0.25">
      <c r="B1049" s="192"/>
    </row>
    <row r="1050" spans="2:2" x14ac:dyDescent="0.25">
      <c r="B1050" s="192"/>
    </row>
    <row r="1051" spans="2:2" x14ac:dyDescent="0.25">
      <c r="B1051" s="192"/>
    </row>
    <row r="1052" spans="2:2" x14ac:dyDescent="0.25">
      <c r="B1052" s="192"/>
    </row>
    <row r="1053" spans="2:2" x14ac:dyDescent="0.25">
      <c r="B1053" s="192"/>
    </row>
    <row r="1054" spans="2:2" x14ac:dyDescent="0.25">
      <c r="B1054" s="192"/>
    </row>
    <row r="1055" spans="2:2" x14ac:dyDescent="0.25">
      <c r="B1055" s="192"/>
    </row>
    <row r="1056" spans="2:2" x14ac:dyDescent="0.25">
      <c r="B1056" s="192"/>
    </row>
    <row r="1057" spans="2:2" x14ac:dyDescent="0.25">
      <c r="B1057" s="192"/>
    </row>
    <row r="1058" spans="2:2" x14ac:dyDescent="0.25">
      <c r="B1058" s="192"/>
    </row>
    <row r="1059" spans="2:2" x14ac:dyDescent="0.25">
      <c r="B1059" s="192"/>
    </row>
    <row r="1060" spans="2:2" x14ac:dyDescent="0.25">
      <c r="B1060" s="192"/>
    </row>
    <row r="1061" spans="2:2" x14ac:dyDescent="0.25">
      <c r="B1061" s="192"/>
    </row>
    <row r="1062" spans="2:2" x14ac:dyDescent="0.25">
      <c r="B1062" s="192"/>
    </row>
    <row r="1063" spans="2:2" x14ac:dyDescent="0.25">
      <c r="B1063" s="192"/>
    </row>
    <row r="1064" spans="2:2" x14ac:dyDescent="0.25">
      <c r="B1064" s="192"/>
    </row>
    <row r="1065" spans="2:2" x14ac:dyDescent="0.25">
      <c r="B1065" s="192"/>
    </row>
    <row r="1066" spans="2:2" x14ac:dyDescent="0.25">
      <c r="B1066" s="192"/>
    </row>
    <row r="1067" spans="2:2" x14ac:dyDescent="0.25">
      <c r="B1067" s="192"/>
    </row>
    <row r="1068" spans="2:2" x14ac:dyDescent="0.25">
      <c r="B1068" s="192"/>
    </row>
    <row r="1069" spans="2:2" x14ac:dyDescent="0.25">
      <c r="B1069" s="192"/>
    </row>
    <row r="1070" spans="2:2" x14ac:dyDescent="0.25">
      <c r="B1070" s="192"/>
    </row>
    <row r="1071" spans="2:2" x14ac:dyDescent="0.25">
      <c r="B1071" s="192"/>
    </row>
    <row r="1072" spans="2:2" x14ac:dyDescent="0.25">
      <c r="B1072" s="192"/>
    </row>
    <row r="1073" spans="2:2" x14ac:dyDescent="0.25">
      <c r="B1073" s="192"/>
    </row>
    <row r="1074" spans="2:2" x14ac:dyDescent="0.25">
      <c r="B1074" s="192"/>
    </row>
    <row r="1075" spans="2:2" x14ac:dyDescent="0.25">
      <c r="B1075" s="192"/>
    </row>
    <row r="1076" spans="2:2" x14ac:dyDescent="0.25">
      <c r="B1076" s="192"/>
    </row>
    <row r="1077" spans="2:2" x14ac:dyDescent="0.25">
      <c r="B1077" s="192"/>
    </row>
    <row r="1078" spans="2:2" x14ac:dyDescent="0.25">
      <c r="B1078" s="192"/>
    </row>
    <row r="1079" spans="2:2" x14ac:dyDescent="0.25">
      <c r="B1079" s="192"/>
    </row>
    <row r="1080" spans="2:2" x14ac:dyDescent="0.25">
      <c r="B1080" s="192"/>
    </row>
    <row r="1081" spans="2:2" x14ac:dyDescent="0.25">
      <c r="B1081" s="192"/>
    </row>
    <row r="1082" spans="2:2" x14ac:dyDescent="0.25">
      <c r="B1082" s="192"/>
    </row>
    <row r="1083" spans="2:2" x14ac:dyDescent="0.25">
      <c r="B1083" s="192"/>
    </row>
    <row r="1084" spans="2:2" x14ac:dyDescent="0.25">
      <c r="B1084" s="192"/>
    </row>
    <row r="1085" spans="2:2" x14ac:dyDescent="0.25">
      <c r="B1085" s="192"/>
    </row>
    <row r="1086" spans="2:2" x14ac:dyDescent="0.25">
      <c r="B1086" s="192"/>
    </row>
    <row r="1087" spans="2:2" x14ac:dyDescent="0.25">
      <c r="B1087" s="192"/>
    </row>
    <row r="1088" spans="2:2" x14ac:dyDescent="0.25">
      <c r="B1088" s="192"/>
    </row>
    <row r="1089" spans="2:2" x14ac:dyDescent="0.25">
      <c r="B1089" s="192"/>
    </row>
    <row r="1090" spans="2:2" x14ac:dyDescent="0.25">
      <c r="B1090" s="192"/>
    </row>
    <row r="1091" spans="2:2" x14ac:dyDescent="0.25">
      <c r="B1091" s="192"/>
    </row>
    <row r="1092" spans="2:2" x14ac:dyDescent="0.25">
      <c r="B1092" s="192"/>
    </row>
    <row r="1093" spans="2:2" x14ac:dyDescent="0.25">
      <c r="B1093" s="192"/>
    </row>
    <row r="1094" spans="2:2" x14ac:dyDescent="0.25">
      <c r="B1094" s="192"/>
    </row>
    <row r="1095" spans="2:2" x14ac:dyDescent="0.25">
      <c r="B1095" s="192"/>
    </row>
    <row r="1096" spans="2:2" x14ac:dyDescent="0.25">
      <c r="B1096" s="192"/>
    </row>
    <row r="1097" spans="2:2" x14ac:dyDescent="0.25">
      <c r="B1097" s="192"/>
    </row>
    <row r="1098" spans="2:2" x14ac:dyDescent="0.25">
      <c r="B1098" s="192"/>
    </row>
    <row r="1099" spans="2:2" x14ac:dyDescent="0.25">
      <c r="B1099" s="192"/>
    </row>
    <row r="1100" spans="2:2" x14ac:dyDescent="0.25">
      <c r="B1100" s="192"/>
    </row>
    <row r="1101" spans="2:2" x14ac:dyDescent="0.25">
      <c r="B1101" s="192"/>
    </row>
    <row r="1102" spans="2:2" x14ac:dyDescent="0.25">
      <c r="B1102" s="192"/>
    </row>
    <row r="1103" spans="2:2" x14ac:dyDescent="0.25">
      <c r="B1103" s="192"/>
    </row>
    <row r="1104" spans="2:2" x14ac:dyDescent="0.25">
      <c r="B1104" s="192"/>
    </row>
    <row r="1105" spans="2:2" x14ac:dyDescent="0.25">
      <c r="B1105" s="192"/>
    </row>
    <row r="1106" spans="2:2" x14ac:dyDescent="0.25">
      <c r="B1106" s="192"/>
    </row>
    <row r="1107" spans="2:2" x14ac:dyDescent="0.25">
      <c r="B1107" s="192"/>
    </row>
    <row r="1108" spans="2:2" x14ac:dyDescent="0.25">
      <c r="B1108" s="192"/>
    </row>
    <row r="1109" spans="2:2" x14ac:dyDescent="0.25">
      <c r="B1109" s="192"/>
    </row>
    <row r="1110" spans="2:2" x14ac:dyDescent="0.25">
      <c r="B1110" s="192"/>
    </row>
    <row r="1111" spans="2:2" x14ac:dyDescent="0.25">
      <c r="B1111" s="192"/>
    </row>
    <row r="1112" spans="2:2" x14ac:dyDescent="0.25">
      <c r="B1112" s="192"/>
    </row>
    <row r="1113" spans="2:2" x14ac:dyDescent="0.25">
      <c r="B1113" s="192"/>
    </row>
    <row r="1114" spans="2:2" x14ac:dyDescent="0.25">
      <c r="B1114" s="192"/>
    </row>
    <row r="1115" spans="2:2" x14ac:dyDescent="0.25">
      <c r="B1115" s="192"/>
    </row>
    <row r="1116" spans="2:2" x14ac:dyDescent="0.25">
      <c r="B1116" s="192"/>
    </row>
    <row r="1117" spans="2:2" x14ac:dyDescent="0.25">
      <c r="B1117" s="192"/>
    </row>
    <row r="1118" spans="2:2" x14ac:dyDescent="0.25">
      <c r="B1118" s="192"/>
    </row>
    <row r="1119" spans="2:2" x14ac:dyDescent="0.25">
      <c r="B1119" s="192"/>
    </row>
    <row r="1120" spans="2:2" x14ac:dyDescent="0.25">
      <c r="B1120" s="192"/>
    </row>
    <row r="1121" spans="2:2" x14ac:dyDescent="0.25">
      <c r="B1121" s="192"/>
    </row>
    <row r="1122" spans="2:2" x14ac:dyDescent="0.25">
      <c r="B1122" s="192"/>
    </row>
    <row r="1123" spans="2:2" x14ac:dyDescent="0.25">
      <c r="B1123" s="192"/>
    </row>
    <row r="1124" spans="2:2" x14ac:dyDescent="0.25">
      <c r="B1124" s="192"/>
    </row>
    <row r="1125" spans="2:2" x14ac:dyDescent="0.25">
      <c r="B1125" s="192"/>
    </row>
    <row r="1126" spans="2:2" x14ac:dyDescent="0.25">
      <c r="B1126" s="192"/>
    </row>
    <row r="1127" spans="2:2" x14ac:dyDescent="0.25">
      <c r="B1127" s="192"/>
    </row>
    <row r="1128" spans="2:2" x14ac:dyDescent="0.25">
      <c r="B1128" s="192"/>
    </row>
    <row r="1129" spans="2:2" x14ac:dyDescent="0.25">
      <c r="B1129" s="192"/>
    </row>
    <row r="1130" spans="2:2" x14ac:dyDescent="0.25">
      <c r="B1130" s="192"/>
    </row>
    <row r="1131" spans="2:2" x14ac:dyDescent="0.25">
      <c r="B1131" s="192"/>
    </row>
    <row r="1132" spans="2:2" x14ac:dyDescent="0.25">
      <c r="B1132" s="192"/>
    </row>
    <row r="1133" spans="2:2" x14ac:dyDescent="0.25">
      <c r="B1133" s="192"/>
    </row>
    <row r="1134" spans="2:2" x14ac:dyDescent="0.25">
      <c r="B1134" s="192"/>
    </row>
    <row r="1135" spans="2:2" x14ac:dyDescent="0.25">
      <c r="B1135" s="192"/>
    </row>
    <row r="1136" spans="2:2" x14ac:dyDescent="0.25">
      <c r="B1136" s="192"/>
    </row>
    <row r="1137" spans="2:2" x14ac:dyDescent="0.25">
      <c r="B1137" s="192"/>
    </row>
    <row r="1138" spans="2:2" x14ac:dyDescent="0.25">
      <c r="B1138" s="192"/>
    </row>
    <row r="1139" spans="2:2" x14ac:dyDescent="0.25">
      <c r="B1139" s="192"/>
    </row>
    <row r="1140" spans="2:2" x14ac:dyDescent="0.25">
      <c r="B1140" s="192"/>
    </row>
    <row r="1141" spans="2:2" x14ac:dyDescent="0.25">
      <c r="B1141" s="192"/>
    </row>
    <row r="1142" spans="2:2" x14ac:dyDescent="0.25">
      <c r="B1142" s="192"/>
    </row>
    <row r="1143" spans="2:2" x14ac:dyDescent="0.25">
      <c r="B1143" s="192"/>
    </row>
    <row r="1144" spans="2:2" x14ac:dyDescent="0.25">
      <c r="B1144" s="192"/>
    </row>
    <row r="1145" spans="2:2" x14ac:dyDescent="0.25">
      <c r="B1145" s="192"/>
    </row>
    <row r="1146" spans="2:2" x14ac:dyDescent="0.25">
      <c r="B1146" s="192"/>
    </row>
    <row r="1147" spans="2:2" x14ac:dyDescent="0.25">
      <c r="B1147" s="192"/>
    </row>
    <row r="1148" spans="2:2" x14ac:dyDescent="0.25">
      <c r="B1148" s="192"/>
    </row>
    <row r="1149" spans="2:2" x14ac:dyDescent="0.25">
      <c r="B1149" s="192"/>
    </row>
    <row r="1150" spans="2:2" x14ac:dyDescent="0.25">
      <c r="B1150" s="192"/>
    </row>
    <row r="1151" spans="2:2" x14ac:dyDescent="0.25">
      <c r="B1151" s="192"/>
    </row>
    <row r="1152" spans="2:2" x14ac:dyDescent="0.25">
      <c r="B1152" s="192"/>
    </row>
    <row r="1153" spans="2:2" x14ac:dyDescent="0.25">
      <c r="B1153" s="192"/>
    </row>
    <row r="1154" spans="2:2" x14ac:dyDescent="0.25">
      <c r="B1154" s="192"/>
    </row>
    <row r="1155" spans="2:2" x14ac:dyDescent="0.25">
      <c r="B1155" s="192"/>
    </row>
    <row r="1156" spans="2:2" x14ac:dyDescent="0.25">
      <c r="B1156" s="192"/>
    </row>
    <row r="1157" spans="2:2" x14ac:dyDescent="0.25">
      <c r="B1157" s="192"/>
    </row>
    <row r="1158" spans="2:2" x14ac:dyDescent="0.25">
      <c r="B1158" s="192"/>
    </row>
    <row r="1159" spans="2:2" x14ac:dyDescent="0.25">
      <c r="B1159" s="192"/>
    </row>
    <row r="1160" spans="2:2" x14ac:dyDescent="0.25">
      <c r="B1160" s="192"/>
    </row>
    <row r="1161" spans="2:2" x14ac:dyDescent="0.25">
      <c r="B1161" s="192"/>
    </row>
    <row r="1162" spans="2:2" x14ac:dyDescent="0.25">
      <c r="B1162" s="192"/>
    </row>
    <row r="1163" spans="2:2" x14ac:dyDescent="0.25">
      <c r="B1163" s="192"/>
    </row>
    <row r="1164" spans="2:2" x14ac:dyDescent="0.25">
      <c r="B1164" s="192"/>
    </row>
    <row r="1165" spans="2:2" x14ac:dyDescent="0.25">
      <c r="B1165" s="192"/>
    </row>
    <row r="1166" spans="2:2" x14ac:dyDescent="0.25">
      <c r="B1166" s="192"/>
    </row>
    <row r="1167" spans="2:2" x14ac:dyDescent="0.25">
      <c r="B1167" s="192"/>
    </row>
    <row r="1168" spans="2:2" x14ac:dyDescent="0.25">
      <c r="B1168" s="192"/>
    </row>
    <row r="1169" spans="2:2" x14ac:dyDescent="0.25">
      <c r="B1169" s="192"/>
    </row>
    <row r="1170" spans="2:2" x14ac:dyDescent="0.25">
      <c r="B1170" s="192"/>
    </row>
    <row r="1171" spans="2:2" x14ac:dyDescent="0.25">
      <c r="B1171" s="192"/>
    </row>
    <row r="1172" spans="2:2" x14ac:dyDescent="0.25">
      <c r="B1172" s="192"/>
    </row>
    <row r="1173" spans="2:2" x14ac:dyDescent="0.25">
      <c r="B1173" s="192"/>
    </row>
    <row r="1174" spans="2:2" x14ac:dyDescent="0.25">
      <c r="B1174" s="192"/>
    </row>
    <row r="1175" spans="2:2" x14ac:dyDescent="0.25">
      <c r="B1175" s="192"/>
    </row>
    <row r="1176" spans="2:2" x14ac:dyDescent="0.25">
      <c r="B1176" s="192"/>
    </row>
    <row r="1177" spans="2:2" x14ac:dyDescent="0.25">
      <c r="B1177" s="192"/>
    </row>
    <row r="1178" spans="2:2" x14ac:dyDescent="0.25">
      <c r="B1178" s="192"/>
    </row>
    <row r="1179" spans="2:2" x14ac:dyDescent="0.25">
      <c r="B1179" s="192"/>
    </row>
    <row r="1180" spans="2:2" x14ac:dyDescent="0.25">
      <c r="B1180" s="192"/>
    </row>
    <row r="1181" spans="2:2" x14ac:dyDescent="0.25">
      <c r="B1181" s="192"/>
    </row>
    <row r="1182" spans="2:2" x14ac:dyDescent="0.25">
      <c r="B1182" s="192"/>
    </row>
    <row r="1183" spans="2:2" x14ac:dyDescent="0.25">
      <c r="B1183" s="192"/>
    </row>
    <row r="1184" spans="2:2" x14ac:dyDescent="0.25">
      <c r="B1184" s="192"/>
    </row>
    <row r="1185" spans="2:2" x14ac:dyDescent="0.25">
      <c r="B1185" s="192"/>
    </row>
    <row r="1186" spans="2:2" x14ac:dyDescent="0.25">
      <c r="B1186" s="192"/>
    </row>
    <row r="1187" spans="2:2" x14ac:dyDescent="0.25">
      <c r="B1187" s="192"/>
    </row>
    <row r="1188" spans="2:2" x14ac:dyDescent="0.25">
      <c r="B1188" s="192"/>
    </row>
    <row r="1189" spans="2:2" x14ac:dyDescent="0.25">
      <c r="B1189" s="192"/>
    </row>
    <row r="1190" spans="2:2" x14ac:dyDescent="0.25">
      <c r="B1190" s="192"/>
    </row>
    <row r="1191" spans="2:2" x14ac:dyDescent="0.25">
      <c r="B1191" s="192"/>
    </row>
    <row r="1192" spans="2:2" x14ac:dyDescent="0.25">
      <c r="B1192" s="192"/>
    </row>
    <row r="1193" spans="2:2" x14ac:dyDescent="0.25">
      <c r="B1193" s="192"/>
    </row>
    <row r="1194" spans="2:2" x14ac:dyDescent="0.25">
      <c r="B1194" s="192"/>
    </row>
    <row r="1195" spans="2:2" x14ac:dyDescent="0.25">
      <c r="B1195" s="192"/>
    </row>
    <row r="1196" spans="2:2" x14ac:dyDescent="0.25">
      <c r="B1196" s="192"/>
    </row>
    <row r="1197" spans="2:2" x14ac:dyDescent="0.25">
      <c r="B1197" s="192"/>
    </row>
    <row r="1198" spans="2:2" x14ac:dyDescent="0.25">
      <c r="B1198" s="192"/>
    </row>
    <row r="1199" spans="2:2" x14ac:dyDescent="0.25">
      <c r="B1199" s="192"/>
    </row>
    <row r="1200" spans="2:2" x14ac:dyDescent="0.25">
      <c r="B1200" s="192"/>
    </row>
    <row r="1201" spans="2:2" x14ac:dyDescent="0.25">
      <c r="B1201" s="192"/>
    </row>
    <row r="1202" spans="2:2" x14ac:dyDescent="0.25">
      <c r="B1202" s="192"/>
    </row>
    <row r="1203" spans="2:2" x14ac:dyDescent="0.25">
      <c r="B1203" s="192"/>
    </row>
    <row r="1204" spans="2:2" x14ac:dyDescent="0.25">
      <c r="B1204" s="192"/>
    </row>
    <row r="1205" spans="2:2" x14ac:dyDescent="0.25">
      <c r="B1205" s="192"/>
    </row>
    <row r="1206" spans="2:2" x14ac:dyDescent="0.25">
      <c r="B1206" s="192"/>
    </row>
    <row r="1207" spans="2:2" x14ac:dyDescent="0.25">
      <c r="B1207" s="192"/>
    </row>
    <row r="1208" spans="2:2" x14ac:dyDescent="0.25">
      <c r="B1208" s="192"/>
    </row>
    <row r="1209" spans="2:2" x14ac:dyDescent="0.25">
      <c r="B1209" s="192"/>
    </row>
    <row r="1210" spans="2:2" x14ac:dyDescent="0.25">
      <c r="B1210" s="192"/>
    </row>
    <row r="1211" spans="2:2" x14ac:dyDescent="0.25">
      <c r="B1211" s="192"/>
    </row>
    <row r="1212" spans="2:2" x14ac:dyDescent="0.25">
      <c r="B1212" s="192"/>
    </row>
    <row r="1213" spans="2:2" x14ac:dyDescent="0.25">
      <c r="B1213" s="192"/>
    </row>
    <row r="1214" spans="2:2" x14ac:dyDescent="0.25">
      <c r="B1214" s="192"/>
    </row>
    <row r="1215" spans="2:2" x14ac:dyDescent="0.25">
      <c r="B1215" s="192"/>
    </row>
    <row r="1216" spans="2:2" x14ac:dyDescent="0.25">
      <c r="B1216" s="192"/>
    </row>
    <row r="1217" spans="2:2" x14ac:dyDescent="0.25">
      <c r="B1217" s="192"/>
    </row>
    <row r="1218" spans="2:2" x14ac:dyDescent="0.25">
      <c r="B1218" s="192"/>
    </row>
    <row r="1219" spans="2:2" x14ac:dyDescent="0.25">
      <c r="B1219" s="192"/>
    </row>
    <row r="1220" spans="2:2" x14ac:dyDescent="0.25">
      <c r="B1220" s="192"/>
    </row>
    <row r="1221" spans="2:2" x14ac:dyDescent="0.25">
      <c r="B1221" s="192"/>
    </row>
    <row r="1222" spans="2:2" x14ac:dyDescent="0.25">
      <c r="B1222" s="192"/>
    </row>
    <row r="1223" spans="2:2" x14ac:dyDescent="0.25">
      <c r="B1223" s="192"/>
    </row>
    <row r="1224" spans="2:2" x14ac:dyDescent="0.25">
      <c r="B1224" s="192"/>
    </row>
    <row r="1225" spans="2:2" x14ac:dyDescent="0.25">
      <c r="B1225" s="192"/>
    </row>
    <row r="1226" spans="2:2" x14ac:dyDescent="0.25">
      <c r="B1226" s="192"/>
    </row>
    <row r="1227" spans="2:2" x14ac:dyDescent="0.25">
      <c r="B1227" s="192"/>
    </row>
    <row r="1228" spans="2:2" x14ac:dyDescent="0.25">
      <c r="B1228" s="192"/>
    </row>
    <row r="1229" spans="2:2" x14ac:dyDescent="0.25">
      <c r="B1229" s="192"/>
    </row>
    <row r="1230" spans="2:2" x14ac:dyDescent="0.25">
      <c r="B1230" s="192"/>
    </row>
    <row r="1231" spans="2:2" x14ac:dyDescent="0.25">
      <c r="B1231" s="192"/>
    </row>
    <row r="1232" spans="2:2" x14ac:dyDescent="0.25">
      <c r="B1232" s="192"/>
    </row>
    <row r="1233" spans="2:2" x14ac:dyDescent="0.25">
      <c r="B1233" s="192"/>
    </row>
    <row r="1234" spans="2:2" x14ac:dyDescent="0.25">
      <c r="B1234" s="192"/>
    </row>
    <row r="1235" spans="2:2" x14ac:dyDescent="0.25">
      <c r="B1235" s="192"/>
    </row>
    <row r="1236" spans="2:2" x14ac:dyDescent="0.25">
      <c r="B1236" s="192"/>
    </row>
    <row r="1237" spans="2:2" x14ac:dyDescent="0.25">
      <c r="B1237" s="192"/>
    </row>
    <row r="1238" spans="2:2" x14ac:dyDescent="0.25">
      <c r="B1238" s="192"/>
    </row>
    <row r="1239" spans="2:2" x14ac:dyDescent="0.25">
      <c r="B1239" s="192"/>
    </row>
    <row r="1240" spans="2:2" x14ac:dyDescent="0.25">
      <c r="B1240" s="192"/>
    </row>
    <row r="1241" spans="2:2" x14ac:dyDescent="0.25">
      <c r="B1241" s="192"/>
    </row>
    <row r="1242" spans="2:2" x14ac:dyDescent="0.25">
      <c r="B1242" s="192"/>
    </row>
    <row r="1243" spans="2:2" x14ac:dyDescent="0.25">
      <c r="B1243" s="192"/>
    </row>
    <row r="1244" spans="2:2" x14ac:dyDescent="0.25">
      <c r="B1244" s="192"/>
    </row>
    <row r="1245" spans="2:2" x14ac:dyDescent="0.25">
      <c r="B1245" s="192"/>
    </row>
    <row r="1246" spans="2:2" x14ac:dyDescent="0.25">
      <c r="B1246" s="192"/>
    </row>
    <row r="1247" spans="2:2" x14ac:dyDescent="0.25">
      <c r="B1247" s="192"/>
    </row>
    <row r="1248" spans="2:2" x14ac:dyDescent="0.25">
      <c r="B1248" s="192"/>
    </row>
    <row r="1249" spans="2:2" x14ac:dyDescent="0.25">
      <c r="B1249" s="192"/>
    </row>
    <row r="1250" spans="2:2" x14ac:dyDescent="0.25">
      <c r="B1250" s="192"/>
    </row>
    <row r="1251" spans="2:2" x14ac:dyDescent="0.25">
      <c r="B1251" s="192"/>
    </row>
    <row r="1252" spans="2:2" x14ac:dyDescent="0.25">
      <c r="B1252" s="192"/>
    </row>
    <row r="1253" spans="2:2" x14ac:dyDescent="0.25">
      <c r="B1253" s="192"/>
    </row>
    <row r="1254" spans="2:2" x14ac:dyDescent="0.25">
      <c r="B1254" s="192"/>
    </row>
    <row r="1255" spans="2:2" x14ac:dyDescent="0.25">
      <c r="B1255" s="192"/>
    </row>
    <row r="1256" spans="2:2" x14ac:dyDescent="0.25">
      <c r="B1256" s="192"/>
    </row>
    <row r="1257" spans="2:2" x14ac:dyDescent="0.25">
      <c r="B1257" s="192"/>
    </row>
    <row r="1258" spans="2:2" x14ac:dyDescent="0.25">
      <c r="B1258" s="192"/>
    </row>
    <row r="1259" spans="2:2" x14ac:dyDescent="0.25">
      <c r="B1259" s="192"/>
    </row>
    <row r="1260" spans="2:2" x14ac:dyDescent="0.25">
      <c r="B1260" s="192"/>
    </row>
    <row r="1261" spans="2:2" x14ac:dyDescent="0.25">
      <c r="B1261" s="192"/>
    </row>
    <row r="1262" spans="2:2" x14ac:dyDescent="0.25">
      <c r="B1262" s="192"/>
    </row>
    <row r="1263" spans="2:2" x14ac:dyDescent="0.25">
      <c r="B1263" s="192"/>
    </row>
    <row r="1264" spans="2:2" x14ac:dyDescent="0.25">
      <c r="B1264" s="192"/>
    </row>
    <row r="1265" spans="2:2" x14ac:dyDescent="0.25">
      <c r="B1265" s="192"/>
    </row>
    <row r="1266" spans="2:2" x14ac:dyDescent="0.25">
      <c r="B1266" s="192"/>
    </row>
    <row r="1267" spans="2:2" x14ac:dyDescent="0.25">
      <c r="B1267" s="192"/>
    </row>
    <row r="1268" spans="2:2" x14ac:dyDescent="0.25">
      <c r="B1268" s="192"/>
    </row>
    <row r="1269" spans="2:2" x14ac:dyDescent="0.25">
      <c r="B1269" s="192"/>
    </row>
    <row r="1270" spans="2:2" x14ac:dyDescent="0.25">
      <c r="B1270" s="192"/>
    </row>
    <row r="1271" spans="2:2" x14ac:dyDescent="0.25">
      <c r="B1271" s="192"/>
    </row>
    <row r="1272" spans="2:2" x14ac:dyDescent="0.25">
      <c r="B1272" s="192"/>
    </row>
    <row r="1273" spans="2:2" x14ac:dyDescent="0.25">
      <c r="B1273" s="192"/>
    </row>
    <row r="1274" spans="2:2" x14ac:dyDescent="0.25">
      <c r="B1274" s="192"/>
    </row>
    <row r="1275" spans="2:2" x14ac:dyDescent="0.25">
      <c r="B1275" s="192"/>
    </row>
    <row r="1276" spans="2:2" x14ac:dyDescent="0.25">
      <c r="B1276" s="192"/>
    </row>
    <row r="1277" spans="2:2" x14ac:dyDescent="0.25">
      <c r="B1277" s="192"/>
    </row>
    <row r="1278" spans="2:2" x14ac:dyDescent="0.25">
      <c r="B1278" s="192"/>
    </row>
    <row r="1279" spans="2:2" x14ac:dyDescent="0.25">
      <c r="B1279" s="192"/>
    </row>
    <row r="1280" spans="2:2" x14ac:dyDescent="0.25">
      <c r="B1280" s="192"/>
    </row>
    <row r="1281" spans="2:2" x14ac:dyDescent="0.25">
      <c r="B1281" s="192"/>
    </row>
    <row r="1282" spans="2:2" x14ac:dyDescent="0.25">
      <c r="B1282" s="192"/>
    </row>
    <row r="1283" spans="2:2" x14ac:dyDescent="0.25">
      <c r="B1283" s="192"/>
    </row>
    <row r="1284" spans="2:2" x14ac:dyDescent="0.25">
      <c r="B1284" s="192"/>
    </row>
    <row r="1285" spans="2:2" x14ac:dyDescent="0.25">
      <c r="B1285" s="192"/>
    </row>
    <row r="1286" spans="2:2" x14ac:dyDescent="0.25">
      <c r="B1286" s="192"/>
    </row>
    <row r="1287" spans="2:2" x14ac:dyDescent="0.25">
      <c r="B1287" s="192"/>
    </row>
    <row r="1288" spans="2:2" x14ac:dyDescent="0.25">
      <c r="B1288" s="192"/>
    </row>
    <row r="1289" spans="2:2" x14ac:dyDescent="0.25">
      <c r="B1289" s="192"/>
    </row>
    <row r="1290" spans="2:2" x14ac:dyDescent="0.25">
      <c r="B1290" s="192"/>
    </row>
    <row r="1291" spans="2:2" x14ac:dyDescent="0.25">
      <c r="B1291" s="192"/>
    </row>
    <row r="1292" spans="2:2" x14ac:dyDescent="0.25">
      <c r="B1292" s="192"/>
    </row>
    <row r="1293" spans="2:2" x14ac:dyDescent="0.25">
      <c r="B1293" s="192"/>
    </row>
    <row r="1294" spans="2:2" x14ac:dyDescent="0.25">
      <c r="B1294" s="192"/>
    </row>
    <row r="1295" spans="2:2" x14ac:dyDescent="0.25">
      <c r="B1295" s="192"/>
    </row>
    <row r="1296" spans="2:2" x14ac:dyDescent="0.25">
      <c r="B1296" s="192"/>
    </row>
    <row r="1297" spans="2:2" x14ac:dyDescent="0.25">
      <c r="B1297" s="192"/>
    </row>
    <row r="1298" spans="2:2" x14ac:dyDescent="0.25">
      <c r="B1298" s="192"/>
    </row>
    <row r="1299" spans="2:2" x14ac:dyDescent="0.25">
      <c r="B1299" s="192"/>
    </row>
    <row r="1300" spans="2:2" x14ac:dyDescent="0.25">
      <c r="B1300" s="192"/>
    </row>
    <row r="1301" spans="2:2" x14ac:dyDescent="0.25">
      <c r="B1301" s="192"/>
    </row>
    <row r="1302" spans="2:2" x14ac:dyDescent="0.25">
      <c r="B1302" s="192"/>
    </row>
    <row r="1303" spans="2:2" x14ac:dyDescent="0.25">
      <c r="B1303" s="192"/>
    </row>
    <row r="1304" spans="2:2" x14ac:dyDescent="0.25">
      <c r="B1304" s="192"/>
    </row>
    <row r="1305" spans="2:2" x14ac:dyDescent="0.25">
      <c r="B1305" s="192"/>
    </row>
    <row r="1306" spans="2:2" x14ac:dyDescent="0.25">
      <c r="B1306" s="192"/>
    </row>
    <row r="1307" spans="2:2" x14ac:dyDescent="0.25">
      <c r="B1307" s="192"/>
    </row>
    <row r="1308" spans="2:2" x14ac:dyDescent="0.25">
      <c r="B1308" s="192"/>
    </row>
    <row r="1309" spans="2:2" x14ac:dyDescent="0.25">
      <c r="B1309" s="192"/>
    </row>
    <row r="1310" spans="2:2" x14ac:dyDescent="0.25">
      <c r="B1310" s="192"/>
    </row>
    <row r="1311" spans="2:2" x14ac:dyDescent="0.25">
      <c r="B1311" s="192"/>
    </row>
    <row r="1312" spans="2:2" x14ac:dyDescent="0.25">
      <c r="B1312" s="192"/>
    </row>
    <row r="1313" spans="2:2" x14ac:dyDescent="0.25">
      <c r="B1313" s="192"/>
    </row>
    <row r="1314" spans="2:2" x14ac:dyDescent="0.25">
      <c r="B1314" s="192"/>
    </row>
    <row r="1315" spans="2:2" x14ac:dyDescent="0.25">
      <c r="B1315" s="192"/>
    </row>
    <row r="1316" spans="2:2" x14ac:dyDescent="0.25">
      <c r="B1316" s="192"/>
    </row>
    <row r="1317" spans="2:2" x14ac:dyDescent="0.25">
      <c r="B1317" s="192"/>
    </row>
    <row r="1318" spans="2:2" x14ac:dyDescent="0.25">
      <c r="B1318" s="192"/>
    </row>
    <row r="1319" spans="2:2" x14ac:dyDescent="0.25">
      <c r="B1319" s="192"/>
    </row>
    <row r="1320" spans="2:2" x14ac:dyDescent="0.25">
      <c r="B1320" s="192"/>
    </row>
    <row r="1321" spans="2:2" x14ac:dyDescent="0.25">
      <c r="B1321" s="192"/>
    </row>
    <row r="1322" spans="2:2" x14ac:dyDescent="0.25">
      <c r="B1322" s="192"/>
    </row>
    <row r="1323" spans="2:2" x14ac:dyDescent="0.25">
      <c r="B1323" s="192"/>
    </row>
    <row r="1324" spans="2:2" x14ac:dyDescent="0.25">
      <c r="B1324" s="192"/>
    </row>
    <row r="1325" spans="2:2" x14ac:dyDescent="0.25">
      <c r="B1325" s="192"/>
    </row>
    <row r="1326" spans="2:2" x14ac:dyDescent="0.25">
      <c r="B1326" s="192"/>
    </row>
    <row r="1327" spans="2:2" x14ac:dyDescent="0.25">
      <c r="B1327" s="192"/>
    </row>
    <row r="1328" spans="2:2" x14ac:dyDescent="0.25">
      <c r="B1328" s="192"/>
    </row>
    <row r="1329" spans="2:2" x14ac:dyDescent="0.25">
      <c r="B1329" s="192"/>
    </row>
    <row r="1330" spans="2:2" x14ac:dyDescent="0.25">
      <c r="B1330" s="192"/>
    </row>
    <row r="1331" spans="2:2" x14ac:dyDescent="0.25">
      <c r="B1331" s="192"/>
    </row>
    <row r="1332" spans="2:2" x14ac:dyDescent="0.25">
      <c r="B1332" s="192"/>
    </row>
    <row r="1333" spans="2:2" x14ac:dyDescent="0.25">
      <c r="B1333" s="192"/>
    </row>
    <row r="1334" spans="2:2" x14ac:dyDescent="0.25">
      <c r="B1334" s="192"/>
    </row>
    <row r="1335" spans="2:2" x14ac:dyDescent="0.25">
      <c r="B1335" s="192"/>
    </row>
    <row r="1336" spans="2:2" x14ac:dyDescent="0.25">
      <c r="B1336" s="192"/>
    </row>
    <row r="1337" spans="2:2" x14ac:dyDescent="0.25">
      <c r="B1337" s="192"/>
    </row>
    <row r="1338" spans="2:2" x14ac:dyDescent="0.25">
      <c r="B1338" s="192"/>
    </row>
    <row r="1339" spans="2:2" x14ac:dyDescent="0.25">
      <c r="B1339" s="192"/>
    </row>
    <row r="1340" spans="2:2" x14ac:dyDescent="0.25">
      <c r="B1340" s="192"/>
    </row>
    <row r="1341" spans="2:2" x14ac:dyDescent="0.25">
      <c r="B1341" s="192"/>
    </row>
    <row r="1342" spans="2:2" x14ac:dyDescent="0.25">
      <c r="B1342" s="192"/>
    </row>
    <row r="1343" spans="2:2" x14ac:dyDescent="0.25">
      <c r="B1343" s="192"/>
    </row>
    <row r="1344" spans="2:2" x14ac:dyDescent="0.25">
      <c r="B1344" s="192"/>
    </row>
    <row r="1345" spans="2:2" x14ac:dyDescent="0.25">
      <c r="B1345" s="192"/>
    </row>
    <row r="1346" spans="2:2" x14ac:dyDescent="0.25">
      <c r="B1346" s="192"/>
    </row>
    <row r="1347" spans="2:2" x14ac:dyDescent="0.25">
      <c r="B1347" s="192"/>
    </row>
    <row r="1348" spans="2:2" x14ac:dyDescent="0.25">
      <c r="B1348" s="192"/>
    </row>
    <row r="1349" spans="2:2" x14ac:dyDescent="0.25">
      <c r="B1349" s="192"/>
    </row>
    <row r="1350" spans="2:2" x14ac:dyDescent="0.25">
      <c r="B1350" s="192"/>
    </row>
    <row r="1351" spans="2:2" x14ac:dyDescent="0.25">
      <c r="B1351" s="192"/>
    </row>
    <row r="1352" spans="2:2" x14ac:dyDescent="0.25">
      <c r="B1352" s="192"/>
    </row>
    <row r="1353" spans="2:2" x14ac:dyDescent="0.25">
      <c r="B1353" s="192"/>
    </row>
    <row r="1354" spans="2:2" x14ac:dyDescent="0.25">
      <c r="B1354" s="192"/>
    </row>
    <row r="1355" spans="2:2" x14ac:dyDescent="0.25">
      <c r="B1355" s="192"/>
    </row>
    <row r="1356" spans="2:2" x14ac:dyDescent="0.25">
      <c r="B1356" s="192"/>
    </row>
    <row r="1357" spans="2:2" x14ac:dyDescent="0.25">
      <c r="B1357" s="192"/>
    </row>
    <row r="1358" spans="2:2" x14ac:dyDescent="0.25">
      <c r="B1358" s="192"/>
    </row>
    <row r="1359" spans="2:2" x14ac:dyDescent="0.25">
      <c r="B1359" s="192"/>
    </row>
    <row r="1360" spans="2:2" x14ac:dyDescent="0.25">
      <c r="B1360" s="192"/>
    </row>
    <row r="1361" spans="2:2" x14ac:dyDescent="0.25">
      <c r="B1361" s="192"/>
    </row>
    <row r="1362" spans="2:2" x14ac:dyDescent="0.25">
      <c r="B1362" s="192"/>
    </row>
    <row r="1363" spans="2:2" x14ac:dyDescent="0.25">
      <c r="B1363" s="192"/>
    </row>
    <row r="1364" spans="2:2" x14ac:dyDescent="0.25">
      <c r="B1364" s="192"/>
    </row>
    <row r="1365" spans="2:2" x14ac:dyDescent="0.25">
      <c r="B1365" s="192"/>
    </row>
    <row r="1366" spans="2:2" x14ac:dyDescent="0.25">
      <c r="B1366" s="192"/>
    </row>
    <row r="1367" spans="2:2" x14ac:dyDescent="0.25">
      <c r="B1367" s="192"/>
    </row>
    <row r="1368" spans="2:2" x14ac:dyDescent="0.25">
      <c r="B1368" s="192"/>
    </row>
    <row r="1369" spans="2:2" x14ac:dyDescent="0.25">
      <c r="B1369" s="192"/>
    </row>
    <row r="1370" spans="2:2" x14ac:dyDescent="0.25">
      <c r="B1370" s="192"/>
    </row>
    <row r="1371" spans="2:2" x14ac:dyDescent="0.25">
      <c r="B1371" s="192"/>
    </row>
    <row r="1372" spans="2:2" x14ac:dyDescent="0.25">
      <c r="B1372" s="192"/>
    </row>
    <row r="1373" spans="2:2" x14ac:dyDescent="0.25">
      <c r="B1373" s="192"/>
    </row>
    <row r="1374" spans="2:2" x14ac:dyDescent="0.25">
      <c r="B1374" s="192"/>
    </row>
    <row r="1375" spans="2:2" x14ac:dyDescent="0.25">
      <c r="B1375" s="192"/>
    </row>
    <row r="1376" spans="2:2" x14ac:dyDescent="0.25">
      <c r="B1376" s="192"/>
    </row>
    <row r="1377" spans="2:2" x14ac:dyDescent="0.25">
      <c r="B1377" s="192"/>
    </row>
    <row r="1378" spans="2:2" x14ac:dyDescent="0.25">
      <c r="B1378" s="192"/>
    </row>
    <row r="1379" spans="2:2" x14ac:dyDescent="0.25">
      <c r="B1379" s="192"/>
    </row>
    <row r="1380" spans="2:2" x14ac:dyDescent="0.25">
      <c r="B1380" s="192"/>
    </row>
    <row r="1381" spans="2:2" x14ac:dyDescent="0.25">
      <c r="B1381" s="192"/>
    </row>
    <row r="1382" spans="2:2" x14ac:dyDescent="0.25">
      <c r="B1382" s="192"/>
    </row>
    <row r="1383" spans="2:2" x14ac:dyDescent="0.25">
      <c r="B1383" s="192"/>
    </row>
    <row r="1384" spans="2:2" x14ac:dyDescent="0.25">
      <c r="B1384" s="192"/>
    </row>
    <row r="1385" spans="2:2" x14ac:dyDescent="0.25">
      <c r="B1385" s="192"/>
    </row>
    <row r="1386" spans="2:2" x14ac:dyDescent="0.25">
      <c r="B1386" s="192"/>
    </row>
    <row r="1387" spans="2:2" x14ac:dyDescent="0.25">
      <c r="B1387" s="192"/>
    </row>
    <row r="1388" spans="2:2" x14ac:dyDescent="0.25">
      <c r="B1388" s="192"/>
    </row>
    <row r="1389" spans="2:2" x14ac:dyDescent="0.25">
      <c r="B1389" s="192"/>
    </row>
    <row r="1390" spans="2:2" x14ac:dyDescent="0.25">
      <c r="B1390" s="192"/>
    </row>
    <row r="1391" spans="2:2" x14ac:dyDescent="0.25">
      <c r="B1391" s="192"/>
    </row>
    <row r="1392" spans="2:2" x14ac:dyDescent="0.25">
      <c r="B1392" s="192"/>
    </row>
    <row r="1393" spans="2:2" x14ac:dyDescent="0.25">
      <c r="B1393" s="192"/>
    </row>
    <row r="1394" spans="2:2" x14ac:dyDescent="0.25">
      <c r="B1394" s="192"/>
    </row>
    <row r="1395" spans="2:2" x14ac:dyDescent="0.25">
      <c r="B1395" s="192"/>
    </row>
    <row r="1396" spans="2:2" x14ac:dyDescent="0.25">
      <c r="B1396" s="192"/>
    </row>
    <row r="1397" spans="2:2" x14ac:dyDescent="0.25">
      <c r="B1397" s="192"/>
    </row>
    <row r="1398" spans="2:2" x14ac:dyDescent="0.25">
      <c r="B1398" s="192"/>
    </row>
    <row r="1399" spans="2:2" x14ac:dyDescent="0.25">
      <c r="B1399" s="192"/>
    </row>
    <row r="1400" spans="2:2" x14ac:dyDescent="0.25">
      <c r="B1400" s="192"/>
    </row>
    <row r="1401" spans="2:2" x14ac:dyDescent="0.25">
      <c r="B1401" s="192"/>
    </row>
    <row r="1402" spans="2:2" x14ac:dyDescent="0.25">
      <c r="B1402" s="192"/>
    </row>
    <row r="1403" spans="2:2" x14ac:dyDescent="0.25">
      <c r="B1403" s="192"/>
    </row>
    <row r="1404" spans="2:2" x14ac:dyDescent="0.25">
      <c r="B1404" s="192"/>
    </row>
    <row r="1405" spans="2:2" x14ac:dyDescent="0.25">
      <c r="B1405" s="192"/>
    </row>
    <row r="1406" spans="2:2" x14ac:dyDescent="0.25">
      <c r="B1406" s="192"/>
    </row>
    <row r="1407" spans="2:2" x14ac:dyDescent="0.25">
      <c r="B1407" s="192"/>
    </row>
    <row r="1408" spans="2:2" x14ac:dyDescent="0.25">
      <c r="B1408" s="192"/>
    </row>
    <row r="1409" spans="2:2" x14ac:dyDescent="0.25">
      <c r="B1409" s="192"/>
    </row>
    <row r="1410" spans="2:2" x14ac:dyDescent="0.25">
      <c r="B1410" s="192"/>
    </row>
    <row r="1411" spans="2:2" x14ac:dyDescent="0.25">
      <c r="B1411" s="192"/>
    </row>
    <row r="1412" spans="2:2" x14ac:dyDescent="0.25">
      <c r="B1412" s="192"/>
    </row>
    <row r="1413" spans="2:2" x14ac:dyDescent="0.25">
      <c r="B1413" s="192"/>
    </row>
    <row r="1414" spans="2:2" x14ac:dyDescent="0.25">
      <c r="B1414" s="192"/>
    </row>
    <row r="1415" spans="2:2" x14ac:dyDescent="0.25">
      <c r="B1415" s="192"/>
    </row>
    <row r="1416" spans="2:2" x14ac:dyDescent="0.25">
      <c r="B1416" s="192"/>
    </row>
    <row r="1417" spans="2:2" x14ac:dyDescent="0.25">
      <c r="B1417" s="192"/>
    </row>
    <row r="1418" spans="2:2" x14ac:dyDescent="0.25">
      <c r="B1418" s="192"/>
    </row>
    <row r="1419" spans="2:2" x14ac:dyDescent="0.25">
      <c r="B1419" s="192"/>
    </row>
    <row r="1420" spans="2:2" x14ac:dyDescent="0.25">
      <c r="B1420" s="192"/>
    </row>
    <row r="1421" spans="2:2" x14ac:dyDescent="0.25">
      <c r="B1421" s="192"/>
    </row>
    <row r="1422" spans="2:2" x14ac:dyDescent="0.25">
      <c r="B1422" s="192"/>
    </row>
    <row r="1423" spans="2:2" x14ac:dyDescent="0.25">
      <c r="B1423" s="192"/>
    </row>
    <row r="1424" spans="2:2" x14ac:dyDescent="0.25">
      <c r="B1424" s="192"/>
    </row>
    <row r="1425" spans="2:2" x14ac:dyDescent="0.25">
      <c r="B1425" s="192"/>
    </row>
    <row r="1426" spans="2:2" x14ac:dyDescent="0.25">
      <c r="B1426" s="192"/>
    </row>
    <row r="1427" spans="2:2" x14ac:dyDescent="0.25">
      <c r="B1427" s="192"/>
    </row>
    <row r="1428" spans="2:2" x14ac:dyDescent="0.25">
      <c r="B1428" s="192"/>
    </row>
    <row r="1429" spans="2:2" x14ac:dyDescent="0.25">
      <c r="B1429" s="192"/>
    </row>
    <row r="1430" spans="2:2" x14ac:dyDescent="0.25">
      <c r="B1430" s="192"/>
    </row>
    <row r="1431" spans="2:2" x14ac:dyDescent="0.25">
      <c r="B1431" s="192"/>
    </row>
    <row r="1432" spans="2:2" x14ac:dyDescent="0.25">
      <c r="B1432" s="192"/>
    </row>
    <row r="1433" spans="2:2" x14ac:dyDescent="0.25">
      <c r="B1433" s="192"/>
    </row>
    <row r="1434" spans="2:2" x14ac:dyDescent="0.25">
      <c r="B1434" s="192"/>
    </row>
    <row r="1435" spans="2:2" x14ac:dyDescent="0.25">
      <c r="B1435" s="192"/>
    </row>
    <row r="1436" spans="2:2" x14ac:dyDescent="0.25">
      <c r="B1436" s="192"/>
    </row>
    <row r="1437" spans="2:2" x14ac:dyDescent="0.25">
      <c r="B1437" s="192"/>
    </row>
    <row r="1438" spans="2:2" x14ac:dyDescent="0.25">
      <c r="B1438" s="192"/>
    </row>
    <row r="1439" spans="2:2" x14ac:dyDescent="0.25">
      <c r="B1439" s="192"/>
    </row>
    <row r="1440" spans="2:2" x14ac:dyDescent="0.25">
      <c r="B1440" s="192"/>
    </row>
    <row r="1441" spans="2:2" x14ac:dyDescent="0.25">
      <c r="B1441" s="192"/>
    </row>
    <row r="1442" spans="2:2" x14ac:dyDescent="0.25">
      <c r="B1442" s="192"/>
    </row>
    <row r="1443" spans="2:2" x14ac:dyDescent="0.25">
      <c r="B1443" s="192"/>
    </row>
    <row r="1444" spans="2:2" x14ac:dyDescent="0.25">
      <c r="B1444" s="192"/>
    </row>
    <row r="1445" spans="2:2" x14ac:dyDescent="0.25">
      <c r="B1445" s="192"/>
    </row>
    <row r="1446" spans="2:2" x14ac:dyDescent="0.25">
      <c r="B1446" s="192"/>
    </row>
    <row r="1447" spans="2:2" x14ac:dyDescent="0.25">
      <c r="B1447" s="192"/>
    </row>
    <row r="1448" spans="2:2" x14ac:dyDescent="0.25">
      <c r="B1448" s="192"/>
    </row>
    <row r="1449" spans="2:2" x14ac:dyDescent="0.25">
      <c r="B1449" s="192"/>
    </row>
    <row r="1450" spans="2:2" x14ac:dyDescent="0.25">
      <c r="B1450" s="192"/>
    </row>
    <row r="1451" spans="2:2" x14ac:dyDescent="0.25">
      <c r="B1451" s="192"/>
    </row>
    <row r="1452" spans="2:2" x14ac:dyDescent="0.25">
      <c r="B1452" s="192"/>
    </row>
    <row r="1453" spans="2:2" x14ac:dyDescent="0.25">
      <c r="B1453" s="192"/>
    </row>
    <row r="1454" spans="2:2" x14ac:dyDescent="0.25">
      <c r="B1454" s="192"/>
    </row>
    <row r="1455" spans="2:2" x14ac:dyDescent="0.25">
      <c r="B1455" s="192"/>
    </row>
    <row r="1456" spans="2:2" x14ac:dyDescent="0.25">
      <c r="B1456" s="192"/>
    </row>
    <row r="1457" spans="2:2" x14ac:dyDescent="0.25">
      <c r="B1457" s="192"/>
    </row>
    <row r="1458" spans="2:2" x14ac:dyDescent="0.25">
      <c r="B1458" s="192"/>
    </row>
    <row r="1459" spans="2:2" x14ac:dyDescent="0.25">
      <c r="B1459" s="192"/>
    </row>
    <row r="1460" spans="2:2" x14ac:dyDescent="0.25">
      <c r="B1460" s="192"/>
    </row>
    <row r="1461" spans="2:2" x14ac:dyDescent="0.25">
      <c r="B1461" s="192"/>
    </row>
    <row r="1462" spans="2:2" x14ac:dyDescent="0.25">
      <c r="B1462" s="192"/>
    </row>
    <row r="1463" spans="2:2" x14ac:dyDescent="0.25">
      <c r="B1463" s="192"/>
    </row>
    <row r="1464" spans="2:2" x14ac:dyDescent="0.25">
      <c r="B1464" s="192"/>
    </row>
    <row r="1465" spans="2:2" x14ac:dyDescent="0.25">
      <c r="B1465" s="192"/>
    </row>
    <row r="1466" spans="2:2" x14ac:dyDescent="0.25">
      <c r="B1466" s="192"/>
    </row>
    <row r="1467" spans="2:2" x14ac:dyDescent="0.25">
      <c r="B1467" s="192"/>
    </row>
    <row r="1468" spans="2:2" x14ac:dyDescent="0.25">
      <c r="B1468" s="192"/>
    </row>
    <row r="1469" spans="2:2" x14ac:dyDescent="0.25">
      <c r="B1469" s="192"/>
    </row>
    <row r="1470" spans="2:2" x14ac:dyDescent="0.25">
      <c r="B1470" s="192"/>
    </row>
    <row r="1471" spans="2:2" x14ac:dyDescent="0.25">
      <c r="B1471" s="192"/>
    </row>
    <row r="1472" spans="2:2" x14ac:dyDescent="0.25">
      <c r="B1472" s="192"/>
    </row>
    <row r="1473" spans="2:2" x14ac:dyDescent="0.25">
      <c r="B1473" s="192"/>
    </row>
    <row r="1474" spans="2:2" x14ac:dyDescent="0.25">
      <c r="B1474" s="192"/>
    </row>
    <row r="1475" spans="2:2" x14ac:dyDescent="0.25">
      <c r="B1475" s="192"/>
    </row>
    <row r="1476" spans="2:2" x14ac:dyDescent="0.25">
      <c r="B1476" s="192"/>
    </row>
    <row r="1477" spans="2:2" x14ac:dyDescent="0.25">
      <c r="B1477" s="192"/>
    </row>
    <row r="1478" spans="2:2" x14ac:dyDescent="0.25">
      <c r="B1478" s="192"/>
    </row>
    <row r="1479" spans="2:2" x14ac:dyDescent="0.25">
      <c r="B1479" s="192"/>
    </row>
    <row r="1480" spans="2:2" x14ac:dyDescent="0.25">
      <c r="B1480" s="192"/>
    </row>
    <row r="1481" spans="2:2" x14ac:dyDescent="0.25">
      <c r="B1481" s="192"/>
    </row>
    <row r="1482" spans="2:2" x14ac:dyDescent="0.25">
      <c r="B1482" s="192"/>
    </row>
    <row r="1483" spans="2:2" x14ac:dyDescent="0.25">
      <c r="B1483" s="192"/>
    </row>
    <row r="1484" spans="2:2" x14ac:dyDescent="0.25">
      <c r="B1484" s="192"/>
    </row>
    <row r="1485" spans="2:2" x14ac:dyDescent="0.25">
      <c r="B1485" s="192"/>
    </row>
    <row r="1486" spans="2:2" x14ac:dyDescent="0.25">
      <c r="B1486" s="192"/>
    </row>
    <row r="1487" spans="2:2" x14ac:dyDescent="0.25">
      <c r="B1487" s="192"/>
    </row>
    <row r="1488" spans="2:2" x14ac:dyDescent="0.25">
      <c r="B1488" s="192"/>
    </row>
    <row r="1489" spans="2:2" x14ac:dyDescent="0.25">
      <c r="B1489" s="192"/>
    </row>
    <row r="1490" spans="2:2" x14ac:dyDescent="0.25">
      <c r="B1490" s="192"/>
    </row>
    <row r="1491" spans="2:2" x14ac:dyDescent="0.25">
      <c r="B1491" s="192"/>
    </row>
    <row r="1492" spans="2:2" x14ac:dyDescent="0.25">
      <c r="B1492" s="192"/>
    </row>
    <row r="1493" spans="2:2" x14ac:dyDescent="0.25">
      <c r="B1493" s="192"/>
    </row>
    <row r="1494" spans="2:2" x14ac:dyDescent="0.25">
      <c r="B1494" s="192"/>
    </row>
    <row r="1495" spans="2:2" x14ac:dyDescent="0.25">
      <c r="B1495" s="192"/>
    </row>
    <row r="1496" spans="2:2" x14ac:dyDescent="0.25">
      <c r="B1496" s="192"/>
    </row>
    <row r="1497" spans="2:2" x14ac:dyDescent="0.25">
      <c r="B1497" s="192"/>
    </row>
    <row r="1498" spans="2:2" x14ac:dyDescent="0.25">
      <c r="B1498" s="192"/>
    </row>
    <row r="1499" spans="2:2" x14ac:dyDescent="0.25">
      <c r="B1499" s="192"/>
    </row>
    <row r="1500" spans="2:2" x14ac:dyDescent="0.25">
      <c r="B1500" s="192"/>
    </row>
    <row r="1501" spans="2:2" x14ac:dyDescent="0.25">
      <c r="B1501" s="192"/>
    </row>
    <row r="1502" spans="2:2" x14ac:dyDescent="0.25">
      <c r="B1502" s="192"/>
    </row>
    <row r="1503" spans="2:2" x14ac:dyDescent="0.25">
      <c r="B1503" s="192"/>
    </row>
    <row r="1504" spans="2:2" x14ac:dyDescent="0.25">
      <c r="B1504" s="192"/>
    </row>
    <row r="1505" spans="2:2" x14ac:dyDescent="0.25">
      <c r="B1505" s="192"/>
    </row>
    <row r="1506" spans="2:2" x14ac:dyDescent="0.25">
      <c r="B1506" s="192"/>
    </row>
    <row r="1507" spans="2:2" x14ac:dyDescent="0.25">
      <c r="B1507" s="192"/>
    </row>
    <row r="1508" spans="2:2" x14ac:dyDescent="0.25">
      <c r="B1508" s="192"/>
    </row>
    <row r="1509" spans="2:2" x14ac:dyDescent="0.25">
      <c r="B1509" s="192"/>
    </row>
    <row r="1510" spans="2:2" x14ac:dyDescent="0.25">
      <c r="B1510" s="192"/>
    </row>
    <row r="1511" spans="2:2" x14ac:dyDescent="0.25">
      <c r="B1511" s="192"/>
    </row>
    <row r="1512" spans="2:2" x14ac:dyDescent="0.25">
      <c r="B1512" s="192"/>
    </row>
    <row r="1513" spans="2:2" x14ac:dyDescent="0.25">
      <c r="B1513" s="192"/>
    </row>
    <row r="1514" spans="2:2" x14ac:dyDescent="0.25">
      <c r="B1514" s="192"/>
    </row>
    <row r="1515" spans="2:2" x14ac:dyDescent="0.25">
      <c r="B1515" s="192"/>
    </row>
    <row r="1516" spans="2:2" x14ac:dyDescent="0.25">
      <c r="B1516" s="192"/>
    </row>
    <row r="1517" spans="2:2" x14ac:dyDescent="0.25">
      <c r="B1517" s="192"/>
    </row>
    <row r="1518" spans="2:2" x14ac:dyDescent="0.25">
      <c r="B1518" s="192"/>
    </row>
    <row r="1519" spans="2:2" x14ac:dyDescent="0.25">
      <c r="B1519" s="192"/>
    </row>
    <row r="1520" spans="2:2" x14ac:dyDescent="0.25">
      <c r="B1520" s="192"/>
    </row>
    <row r="1521" spans="2:2" x14ac:dyDescent="0.25">
      <c r="B1521" s="192"/>
    </row>
    <row r="1522" spans="2:2" x14ac:dyDescent="0.25">
      <c r="B1522" s="192"/>
    </row>
    <row r="1523" spans="2:2" x14ac:dyDescent="0.25">
      <c r="B1523" s="192"/>
    </row>
    <row r="1524" spans="2:2" x14ac:dyDescent="0.25">
      <c r="B1524" s="192"/>
    </row>
    <row r="1525" spans="2:2" x14ac:dyDescent="0.25">
      <c r="B1525" s="192"/>
    </row>
    <row r="1526" spans="2:2" x14ac:dyDescent="0.25">
      <c r="B1526" s="192"/>
    </row>
    <row r="1527" spans="2:2" x14ac:dyDescent="0.25">
      <c r="B1527" s="192"/>
    </row>
    <row r="1528" spans="2:2" x14ac:dyDescent="0.25">
      <c r="B1528" s="192"/>
    </row>
    <row r="1529" spans="2:2" x14ac:dyDescent="0.25">
      <c r="B1529" s="192"/>
    </row>
    <row r="1530" spans="2:2" x14ac:dyDescent="0.25">
      <c r="B1530" s="192"/>
    </row>
    <row r="1531" spans="2:2" x14ac:dyDescent="0.25">
      <c r="B1531" s="192"/>
    </row>
    <row r="1532" spans="2:2" x14ac:dyDescent="0.25">
      <c r="B1532" s="192"/>
    </row>
    <row r="1533" spans="2:2" x14ac:dyDescent="0.25">
      <c r="B1533" s="192"/>
    </row>
    <row r="1534" spans="2:2" x14ac:dyDescent="0.25">
      <c r="B1534" s="192"/>
    </row>
    <row r="1535" spans="2:2" x14ac:dyDescent="0.25">
      <c r="B1535" s="192"/>
    </row>
    <row r="1536" spans="2:2" x14ac:dyDescent="0.25">
      <c r="B1536" s="192"/>
    </row>
    <row r="1537" spans="2:2" x14ac:dyDescent="0.25">
      <c r="B1537" s="192"/>
    </row>
    <row r="1538" spans="2:2" x14ac:dyDescent="0.25">
      <c r="B1538" s="192"/>
    </row>
    <row r="1539" spans="2:2" x14ac:dyDescent="0.25">
      <c r="B1539" s="192"/>
    </row>
    <row r="1540" spans="2:2" x14ac:dyDescent="0.25">
      <c r="B1540" s="192"/>
    </row>
    <row r="1541" spans="2:2" x14ac:dyDescent="0.25">
      <c r="B1541" s="192"/>
    </row>
    <row r="1542" spans="2:2" x14ac:dyDescent="0.25">
      <c r="B1542" s="192"/>
    </row>
    <row r="1543" spans="2:2" x14ac:dyDescent="0.25">
      <c r="B1543" s="192"/>
    </row>
    <row r="1544" spans="2:2" x14ac:dyDescent="0.25">
      <c r="B1544" s="192"/>
    </row>
    <row r="1545" spans="2:2" x14ac:dyDescent="0.25">
      <c r="B1545" s="192"/>
    </row>
    <row r="1546" spans="2:2" x14ac:dyDescent="0.25">
      <c r="B1546" s="192"/>
    </row>
    <row r="1547" spans="2:2" x14ac:dyDescent="0.25">
      <c r="B1547" s="192"/>
    </row>
    <row r="1548" spans="2:2" x14ac:dyDescent="0.25">
      <c r="B1548" s="192"/>
    </row>
    <row r="1549" spans="2:2" x14ac:dyDescent="0.25">
      <c r="B1549" s="192"/>
    </row>
    <row r="1550" spans="2:2" x14ac:dyDescent="0.25">
      <c r="B1550" s="192"/>
    </row>
    <row r="1551" spans="2:2" x14ac:dyDescent="0.25">
      <c r="B1551" s="192"/>
    </row>
    <row r="1552" spans="2:2" x14ac:dyDescent="0.25">
      <c r="B1552" s="192"/>
    </row>
    <row r="1553" spans="2:2" x14ac:dyDescent="0.25">
      <c r="B1553" s="192"/>
    </row>
    <row r="1554" spans="2:2" x14ac:dyDescent="0.25">
      <c r="B1554" s="192"/>
    </row>
    <row r="1555" spans="2:2" x14ac:dyDescent="0.25">
      <c r="B1555" s="192"/>
    </row>
    <row r="1556" spans="2:2" x14ac:dyDescent="0.25">
      <c r="B1556" s="192"/>
    </row>
    <row r="1557" spans="2:2" x14ac:dyDescent="0.25">
      <c r="B1557" s="192"/>
    </row>
    <row r="1558" spans="2:2" x14ac:dyDescent="0.25">
      <c r="B1558" s="192"/>
    </row>
    <row r="1559" spans="2:2" x14ac:dyDescent="0.25">
      <c r="B1559" s="192"/>
    </row>
    <row r="1560" spans="2:2" x14ac:dyDescent="0.25">
      <c r="B1560" s="192"/>
    </row>
    <row r="1561" spans="2:2" x14ac:dyDescent="0.25">
      <c r="B1561" s="192"/>
    </row>
    <row r="1562" spans="2:2" x14ac:dyDescent="0.25">
      <c r="B1562" s="192"/>
    </row>
    <row r="1563" spans="2:2" x14ac:dyDescent="0.25">
      <c r="B1563" s="192"/>
    </row>
    <row r="1564" spans="2:2" x14ac:dyDescent="0.25">
      <c r="B1564" s="192"/>
    </row>
    <row r="1565" spans="2:2" x14ac:dyDescent="0.25">
      <c r="B1565" s="192"/>
    </row>
    <row r="1566" spans="2:2" x14ac:dyDescent="0.25">
      <c r="B1566" s="192"/>
    </row>
    <row r="1567" spans="2:2" x14ac:dyDescent="0.25">
      <c r="B1567" s="192"/>
    </row>
    <row r="1568" spans="2:2" x14ac:dyDescent="0.25">
      <c r="B1568" s="192"/>
    </row>
    <row r="1569" spans="2:2" x14ac:dyDescent="0.25">
      <c r="B1569" s="192"/>
    </row>
    <row r="1570" spans="2:2" x14ac:dyDescent="0.25">
      <c r="B1570" s="192"/>
    </row>
    <row r="1571" spans="2:2" x14ac:dyDescent="0.25">
      <c r="B1571" s="192"/>
    </row>
    <row r="1572" spans="2:2" x14ac:dyDescent="0.25">
      <c r="B1572" s="192"/>
    </row>
    <row r="1573" spans="2:2" x14ac:dyDescent="0.25">
      <c r="B1573" s="192"/>
    </row>
    <row r="1574" spans="2:2" x14ac:dyDescent="0.25">
      <c r="B1574" s="192"/>
    </row>
    <row r="1575" spans="2:2" x14ac:dyDescent="0.25">
      <c r="B1575" s="192"/>
    </row>
    <row r="1576" spans="2:2" x14ac:dyDescent="0.25">
      <c r="B1576" s="192"/>
    </row>
    <row r="1577" spans="2:2" x14ac:dyDescent="0.25">
      <c r="B1577" s="192"/>
    </row>
    <row r="1578" spans="2:2" x14ac:dyDescent="0.25">
      <c r="B1578" s="192"/>
    </row>
    <row r="1579" spans="2:2" x14ac:dyDescent="0.25">
      <c r="B1579" s="192"/>
    </row>
    <row r="1580" spans="2:2" x14ac:dyDescent="0.25">
      <c r="B1580" s="192"/>
    </row>
    <row r="1581" spans="2:2" x14ac:dyDescent="0.25">
      <c r="B1581" s="192"/>
    </row>
    <row r="1582" spans="2:2" x14ac:dyDescent="0.25">
      <c r="B1582" s="192"/>
    </row>
    <row r="1583" spans="2:2" x14ac:dyDescent="0.25">
      <c r="B1583" s="192"/>
    </row>
    <row r="1584" spans="2:2" x14ac:dyDescent="0.25">
      <c r="B1584" s="192"/>
    </row>
    <row r="1585" spans="2:2" x14ac:dyDescent="0.25">
      <c r="B1585" s="192"/>
    </row>
    <row r="1586" spans="2:2" x14ac:dyDescent="0.25">
      <c r="B1586" s="192"/>
    </row>
    <row r="1587" spans="2:2" x14ac:dyDescent="0.25">
      <c r="B1587" s="192"/>
    </row>
    <row r="1588" spans="2:2" x14ac:dyDescent="0.25">
      <c r="B1588" s="192"/>
    </row>
    <row r="1589" spans="2:2" x14ac:dyDescent="0.25">
      <c r="B1589" s="192"/>
    </row>
    <row r="1590" spans="2:2" x14ac:dyDescent="0.25">
      <c r="B1590" s="192"/>
    </row>
    <row r="1591" spans="2:2" x14ac:dyDescent="0.25">
      <c r="B1591" s="192"/>
    </row>
    <row r="1592" spans="2:2" x14ac:dyDescent="0.25">
      <c r="B1592" s="192"/>
    </row>
    <row r="1593" spans="2:2" x14ac:dyDescent="0.25">
      <c r="B1593" s="192"/>
    </row>
    <row r="1594" spans="2:2" x14ac:dyDescent="0.25">
      <c r="B1594" s="192"/>
    </row>
    <row r="1595" spans="2:2" x14ac:dyDescent="0.25">
      <c r="B1595" s="192"/>
    </row>
    <row r="1596" spans="2:2" x14ac:dyDescent="0.25">
      <c r="B1596" s="192"/>
    </row>
    <row r="1597" spans="2:2" x14ac:dyDescent="0.25">
      <c r="B1597" s="192"/>
    </row>
    <row r="1598" spans="2:2" x14ac:dyDescent="0.25">
      <c r="B1598" s="192"/>
    </row>
    <row r="1599" spans="2:2" x14ac:dyDescent="0.25">
      <c r="B1599" s="192"/>
    </row>
    <row r="1600" spans="2:2" x14ac:dyDescent="0.25">
      <c r="B1600" s="192"/>
    </row>
    <row r="1601" spans="2:2" x14ac:dyDescent="0.25">
      <c r="B1601" s="192"/>
    </row>
    <row r="1602" spans="2:2" x14ac:dyDescent="0.25">
      <c r="B1602" s="192"/>
    </row>
    <row r="1603" spans="2:2" x14ac:dyDescent="0.25">
      <c r="B1603" s="192"/>
    </row>
    <row r="1604" spans="2:2" x14ac:dyDescent="0.25">
      <c r="B1604" s="192"/>
    </row>
    <row r="1605" spans="2:2" x14ac:dyDescent="0.25">
      <c r="B1605" s="192"/>
    </row>
    <row r="1606" spans="2:2" x14ac:dyDescent="0.25">
      <c r="B1606" s="192"/>
    </row>
    <row r="1607" spans="2:2" x14ac:dyDescent="0.25">
      <c r="B1607" s="192"/>
    </row>
    <row r="1608" spans="2:2" x14ac:dyDescent="0.25">
      <c r="B1608" s="192"/>
    </row>
    <row r="1609" spans="2:2" x14ac:dyDescent="0.25">
      <c r="B1609" s="192"/>
    </row>
    <row r="1610" spans="2:2" x14ac:dyDescent="0.25">
      <c r="B1610" s="192"/>
    </row>
    <row r="1611" spans="2:2" x14ac:dyDescent="0.25">
      <c r="B1611" s="192"/>
    </row>
    <row r="1612" spans="2:2" x14ac:dyDescent="0.25">
      <c r="B1612" s="192"/>
    </row>
    <row r="1613" spans="2:2" x14ac:dyDescent="0.25">
      <c r="B1613" s="192"/>
    </row>
    <row r="1614" spans="2:2" x14ac:dyDescent="0.25">
      <c r="B1614" s="192"/>
    </row>
    <row r="1615" spans="2:2" x14ac:dyDescent="0.25">
      <c r="B1615" s="192"/>
    </row>
    <row r="1616" spans="2:2" x14ac:dyDescent="0.25">
      <c r="B1616" s="192"/>
    </row>
    <row r="1617" spans="2:2" x14ac:dyDescent="0.25">
      <c r="B1617" s="192"/>
    </row>
    <row r="1618" spans="2:2" x14ac:dyDescent="0.25">
      <c r="B1618" s="192"/>
    </row>
    <row r="1619" spans="2:2" x14ac:dyDescent="0.25">
      <c r="B1619" s="192"/>
    </row>
    <row r="1620" spans="2:2" x14ac:dyDescent="0.25">
      <c r="B1620" s="192"/>
    </row>
    <row r="1621" spans="2:2" x14ac:dyDescent="0.25">
      <c r="B1621" s="192"/>
    </row>
    <row r="1622" spans="2:2" x14ac:dyDescent="0.25">
      <c r="B1622" s="192"/>
    </row>
    <row r="1623" spans="2:2" x14ac:dyDescent="0.25">
      <c r="B1623" s="192"/>
    </row>
    <row r="1624" spans="2:2" x14ac:dyDescent="0.25">
      <c r="B1624" s="192"/>
    </row>
    <row r="1625" spans="2:2" x14ac:dyDescent="0.25">
      <c r="B1625" s="192"/>
    </row>
    <row r="1626" spans="2:2" x14ac:dyDescent="0.25">
      <c r="B1626" s="192"/>
    </row>
    <row r="1627" spans="2:2" x14ac:dyDescent="0.25">
      <c r="B1627" s="192"/>
    </row>
    <row r="1628" spans="2:2" x14ac:dyDescent="0.25">
      <c r="B1628" s="192"/>
    </row>
    <row r="1629" spans="2:2" x14ac:dyDescent="0.25">
      <c r="B1629" s="192"/>
    </row>
    <row r="1630" spans="2:2" x14ac:dyDescent="0.25">
      <c r="B1630" s="192"/>
    </row>
    <row r="1631" spans="2:2" x14ac:dyDescent="0.25">
      <c r="B1631" s="192"/>
    </row>
    <row r="1632" spans="2:2" x14ac:dyDescent="0.25">
      <c r="B1632" s="192"/>
    </row>
    <row r="1633" spans="2:2" x14ac:dyDescent="0.25">
      <c r="B1633" s="192"/>
    </row>
    <row r="1634" spans="2:2" x14ac:dyDescent="0.25">
      <c r="B1634" s="192"/>
    </row>
    <row r="1635" spans="2:2" x14ac:dyDescent="0.25">
      <c r="B1635" s="192"/>
    </row>
    <row r="1636" spans="2:2" x14ac:dyDescent="0.25">
      <c r="B1636" s="192"/>
    </row>
    <row r="1637" spans="2:2" x14ac:dyDescent="0.25">
      <c r="B1637" s="192"/>
    </row>
    <row r="1638" spans="2:2" x14ac:dyDescent="0.25">
      <c r="B1638" s="192"/>
    </row>
    <row r="1639" spans="2:2" x14ac:dyDescent="0.25">
      <c r="B1639" s="192"/>
    </row>
    <row r="1640" spans="2:2" x14ac:dyDescent="0.25">
      <c r="B1640" s="192"/>
    </row>
    <row r="1641" spans="2:2" x14ac:dyDescent="0.25">
      <c r="B1641" s="192"/>
    </row>
    <row r="1642" spans="2:2" x14ac:dyDescent="0.25">
      <c r="B1642" s="192"/>
    </row>
    <row r="1643" spans="2:2" x14ac:dyDescent="0.25">
      <c r="B1643" s="192"/>
    </row>
    <row r="1644" spans="2:2" x14ac:dyDescent="0.25">
      <c r="B1644" s="192"/>
    </row>
    <row r="1645" spans="2:2" x14ac:dyDescent="0.25">
      <c r="B1645" s="192"/>
    </row>
    <row r="1646" spans="2:2" x14ac:dyDescent="0.25">
      <c r="B1646" s="192"/>
    </row>
    <row r="1647" spans="2:2" x14ac:dyDescent="0.25">
      <c r="B1647" s="192"/>
    </row>
    <row r="1648" spans="2:2" x14ac:dyDescent="0.25">
      <c r="B1648" s="192"/>
    </row>
    <row r="1649" spans="2:2" x14ac:dyDescent="0.25">
      <c r="B1649" s="192"/>
    </row>
    <row r="1650" spans="2:2" x14ac:dyDescent="0.25">
      <c r="B1650" s="192"/>
    </row>
    <row r="1651" spans="2:2" x14ac:dyDescent="0.25">
      <c r="B1651" s="192"/>
    </row>
    <row r="1652" spans="2:2" x14ac:dyDescent="0.25">
      <c r="B1652" s="192"/>
    </row>
    <row r="1653" spans="2:2" x14ac:dyDescent="0.25">
      <c r="B1653" s="192"/>
    </row>
    <row r="1654" spans="2:2" x14ac:dyDescent="0.25">
      <c r="B1654" s="192"/>
    </row>
    <row r="1655" spans="2:2" x14ac:dyDescent="0.25">
      <c r="B1655" s="192"/>
    </row>
    <row r="1656" spans="2:2" x14ac:dyDescent="0.25">
      <c r="B1656" s="192"/>
    </row>
    <row r="1657" spans="2:2" x14ac:dyDescent="0.25">
      <c r="B1657" s="192"/>
    </row>
    <row r="1658" spans="2:2" x14ac:dyDescent="0.25">
      <c r="B1658" s="192"/>
    </row>
    <row r="1659" spans="2:2" x14ac:dyDescent="0.25">
      <c r="B1659" s="192"/>
    </row>
    <row r="1660" spans="2:2" x14ac:dyDescent="0.25">
      <c r="B1660" s="192"/>
    </row>
    <row r="1661" spans="2:2" x14ac:dyDescent="0.25">
      <c r="B1661" s="192"/>
    </row>
    <row r="1662" spans="2:2" x14ac:dyDescent="0.25">
      <c r="B1662" s="192"/>
    </row>
    <row r="1663" spans="2:2" x14ac:dyDescent="0.25">
      <c r="B1663" s="192"/>
    </row>
    <row r="1664" spans="2:2" x14ac:dyDescent="0.25">
      <c r="B1664" s="192"/>
    </row>
    <row r="1665" spans="2:2" x14ac:dyDescent="0.25">
      <c r="B1665" s="192"/>
    </row>
    <row r="1666" spans="2:2" x14ac:dyDescent="0.25">
      <c r="B1666" s="192"/>
    </row>
    <row r="1667" spans="2:2" x14ac:dyDescent="0.25">
      <c r="B1667" s="192"/>
    </row>
    <row r="1668" spans="2:2" x14ac:dyDescent="0.25">
      <c r="B1668" s="192"/>
    </row>
    <row r="1669" spans="2:2" x14ac:dyDescent="0.25">
      <c r="B1669" s="192"/>
    </row>
    <row r="1670" spans="2:2" x14ac:dyDescent="0.25">
      <c r="B1670" s="192"/>
    </row>
    <row r="1671" spans="2:2" x14ac:dyDescent="0.25">
      <c r="B1671" s="192"/>
    </row>
    <row r="1672" spans="2:2" x14ac:dyDescent="0.25">
      <c r="B1672" s="192"/>
    </row>
    <row r="1673" spans="2:2" x14ac:dyDescent="0.25">
      <c r="B1673" s="192"/>
    </row>
    <row r="1674" spans="2:2" x14ac:dyDescent="0.25">
      <c r="B1674" s="192"/>
    </row>
    <row r="1675" spans="2:2" x14ac:dyDescent="0.25">
      <c r="B1675" s="192"/>
    </row>
    <row r="1676" spans="2:2" x14ac:dyDescent="0.25">
      <c r="B1676" s="192"/>
    </row>
    <row r="1677" spans="2:2" x14ac:dyDescent="0.25">
      <c r="B1677" s="192"/>
    </row>
    <row r="1678" spans="2:2" x14ac:dyDescent="0.25">
      <c r="B1678" s="192"/>
    </row>
    <row r="1679" spans="2:2" x14ac:dyDescent="0.25">
      <c r="B1679" s="192"/>
    </row>
    <row r="1680" spans="2:2" x14ac:dyDescent="0.25">
      <c r="B1680" s="192"/>
    </row>
    <row r="1681" spans="2:2" x14ac:dyDescent="0.25">
      <c r="B1681" s="192"/>
    </row>
    <row r="1682" spans="2:2" x14ac:dyDescent="0.25">
      <c r="B1682" s="192"/>
    </row>
    <row r="1683" spans="2:2" x14ac:dyDescent="0.25">
      <c r="B1683" s="192"/>
    </row>
    <row r="1684" spans="2:2" x14ac:dyDescent="0.25">
      <c r="B1684" s="192"/>
    </row>
    <row r="1685" spans="2:2" x14ac:dyDescent="0.25">
      <c r="B1685" s="192"/>
    </row>
    <row r="1686" spans="2:2" x14ac:dyDescent="0.25">
      <c r="B1686" s="192"/>
    </row>
    <row r="1687" spans="2:2" x14ac:dyDescent="0.25">
      <c r="B1687" s="192"/>
    </row>
    <row r="1688" spans="2:2" x14ac:dyDescent="0.25">
      <c r="B1688" s="192"/>
    </row>
    <row r="1689" spans="2:2" x14ac:dyDescent="0.25">
      <c r="B1689" s="192"/>
    </row>
    <row r="1690" spans="2:2" x14ac:dyDescent="0.25">
      <c r="B1690" s="192"/>
    </row>
    <row r="1691" spans="2:2" x14ac:dyDescent="0.25">
      <c r="B1691" s="192"/>
    </row>
    <row r="1692" spans="2:2" x14ac:dyDescent="0.25">
      <c r="B1692" s="192"/>
    </row>
    <row r="1693" spans="2:2" x14ac:dyDescent="0.25">
      <c r="B1693" s="192"/>
    </row>
    <row r="1694" spans="2:2" x14ac:dyDescent="0.25">
      <c r="B1694" s="192"/>
    </row>
    <row r="1695" spans="2:2" x14ac:dyDescent="0.25">
      <c r="B1695" s="192"/>
    </row>
    <row r="1696" spans="2:2" x14ac:dyDescent="0.25">
      <c r="B1696" s="192"/>
    </row>
    <row r="1697" spans="2:2" x14ac:dyDescent="0.25">
      <c r="B1697" s="192"/>
    </row>
    <row r="1698" spans="2:2" x14ac:dyDescent="0.25">
      <c r="B1698" s="192"/>
    </row>
    <row r="1699" spans="2:2" x14ac:dyDescent="0.25">
      <c r="B1699" s="192"/>
    </row>
    <row r="1700" spans="2:2" x14ac:dyDescent="0.25">
      <c r="B1700" s="192"/>
    </row>
    <row r="1701" spans="2:2" x14ac:dyDescent="0.25">
      <c r="B1701" s="192"/>
    </row>
    <row r="1702" spans="2:2" x14ac:dyDescent="0.25">
      <c r="B1702" s="192"/>
    </row>
    <row r="1703" spans="2:2" x14ac:dyDescent="0.25">
      <c r="B1703" s="192"/>
    </row>
    <row r="1704" spans="2:2" x14ac:dyDescent="0.25">
      <c r="B1704" s="192"/>
    </row>
    <row r="1705" spans="2:2" x14ac:dyDescent="0.25">
      <c r="B1705" s="192"/>
    </row>
    <row r="1706" spans="2:2" x14ac:dyDescent="0.25">
      <c r="B1706" s="192"/>
    </row>
    <row r="1707" spans="2:2" x14ac:dyDescent="0.25">
      <c r="B1707" s="192"/>
    </row>
    <row r="1708" spans="2:2" x14ac:dyDescent="0.25">
      <c r="B1708" s="192"/>
    </row>
    <row r="1709" spans="2:2" x14ac:dyDescent="0.25">
      <c r="B1709" s="192"/>
    </row>
    <row r="1710" spans="2:2" x14ac:dyDescent="0.25">
      <c r="B1710" s="192"/>
    </row>
    <row r="1711" spans="2:2" x14ac:dyDescent="0.25">
      <c r="B1711" s="192"/>
    </row>
    <row r="1712" spans="2:2" x14ac:dyDescent="0.25">
      <c r="B1712" s="192"/>
    </row>
    <row r="1713" spans="2:2" x14ac:dyDescent="0.25">
      <c r="B1713" s="192"/>
    </row>
    <row r="1714" spans="2:2" x14ac:dyDescent="0.25">
      <c r="B1714" s="192"/>
    </row>
    <row r="1715" spans="2:2" x14ac:dyDescent="0.25">
      <c r="B1715" s="192"/>
    </row>
    <row r="1716" spans="2:2" x14ac:dyDescent="0.25">
      <c r="B1716" s="192"/>
    </row>
    <row r="1717" spans="2:2" x14ac:dyDescent="0.25">
      <c r="B1717" s="192"/>
    </row>
    <row r="1718" spans="2:2" x14ac:dyDescent="0.25">
      <c r="B1718" s="192"/>
    </row>
    <row r="1719" spans="2:2" x14ac:dyDescent="0.25">
      <c r="B1719" s="192"/>
    </row>
    <row r="1720" spans="2:2" x14ac:dyDescent="0.25">
      <c r="B1720" s="192"/>
    </row>
    <row r="1721" spans="2:2" x14ac:dyDescent="0.25">
      <c r="B1721" s="192"/>
    </row>
    <row r="1722" spans="2:2" x14ac:dyDescent="0.25">
      <c r="B1722" s="192"/>
    </row>
    <row r="1723" spans="2:2" x14ac:dyDescent="0.25">
      <c r="B1723" s="192"/>
    </row>
    <row r="1724" spans="2:2" x14ac:dyDescent="0.25">
      <c r="B1724" s="192"/>
    </row>
    <row r="1725" spans="2:2" x14ac:dyDescent="0.25">
      <c r="B1725" s="192"/>
    </row>
    <row r="1726" spans="2:2" x14ac:dyDescent="0.25">
      <c r="B1726" s="192"/>
    </row>
    <row r="1727" spans="2:2" x14ac:dyDescent="0.25">
      <c r="B1727" s="192"/>
    </row>
    <row r="1728" spans="2:2" x14ac:dyDescent="0.25">
      <c r="B1728" s="192"/>
    </row>
    <row r="1729" spans="2:2" x14ac:dyDescent="0.25">
      <c r="B1729" s="192"/>
    </row>
    <row r="1730" spans="2:2" x14ac:dyDescent="0.25">
      <c r="B1730" s="192"/>
    </row>
    <row r="1731" spans="2:2" x14ac:dyDescent="0.25">
      <c r="B1731" s="192"/>
    </row>
    <row r="1732" spans="2:2" x14ac:dyDescent="0.25">
      <c r="B1732" s="192"/>
    </row>
    <row r="1733" spans="2:2" x14ac:dyDescent="0.25">
      <c r="B1733" s="192"/>
    </row>
    <row r="1734" spans="2:2" x14ac:dyDescent="0.25">
      <c r="B1734" s="192"/>
    </row>
    <row r="1735" spans="2:2" x14ac:dyDescent="0.25">
      <c r="B1735" s="192"/>
    </row>
    <row r="1736" spans="2:2" x14ac:dyDescent="0.25">
      <c r="B1736" s="192"/>
    </row>
    <row r="1737" spans="2:2" x14ac:dyDescent="0.25">
      <c r="B1737" s="192"/>
    </row>
    <row r="1738" spans="2:2" x14ac:dyDescent="0.25">
      <c r="B1738" s="192"/>
    </row>
    <row r="1739" spans="2:2" x14ac:dyDescent="0.25">
      <c r="B1739" s="192"/>
    </row>
    <row r="1740" spans="2:2" x14ac:dyDescent="0.25">
      <c r="B1740" s="192"/>
    </row>
    <row r="1741" spans="2:2" x14ac:dyDescent="0.25">
      <c r="B1741" s="192"/>
    </row>
    <row r="1742" spans="2:2" x14ac:dyDescent="0.25">
      <c r="B1742" s="192"/>
    </row>
    <row r="1743" spans="2:2" x14ac:dyDescent="0.25">
      <c r="B1743" s="192"/>
    </row>
    <row r="1744" spans="2:2" x14ac:dyDescent="0.25">
      <c r="B1744" s="192"/>
    </row>
    <row r="1745" spans="2:2" x14ac:dyDescent="0.25">
      <c r="B1745" s="192"/>
    </row>
    <row r="1746" spans="2:2" x14ac:dyDescent="0.25">
      <c r="B1746" s="192"/>
    </row>
    <row r="1747" spans="2:2" x14ac:dyDescent="0.25">
      <c r="B1747" s="192"/>
    </row>
    <row r="1748" spans="2:2" x14ac:dyDescent="0.25">
      <c r="B1748" s="192"/>
    </row>
    <row r="1749" spans="2:2" x14ac:dyDescent="0.25">
      <c r="B1749" s="192"/>
    </row>
    <row r="1750" spans="2:2" x14ac:dyDescent="0.25">
      <c r="B1750" s="192"/>
    </row>
    <row r="1751" spans="2:2" x14ac:dyDescent="0.25">
      <c r="B1751" s="192"/>
    </row>
    <row r="1752" spans="2:2" x14ac:dyDescent="0.25">
      <c r="B1752" s="192"/>
    </row>
    <row r="1753" spans="2:2" x14ac:dyDescent="0.25">
      <c r="B1753" s="192"/>
    </row>
    <row r="1754" spans="2:2" x14ac:dyDescent="0.25">
      <c r="B1754" s="192"/>
    </row>
    <row r="1755" spans="2:2" x14ac:dyDescent="0.25">
      <c r="B1755" s="192"/>
    </row>
    <row r="1756" spans="2:2" x14ac:dyDescent="0.25">
      <c r="B1756" s="192"/>
    </row>
    <row r="1757" spans="2:2" x14ac:dyDescent="0.25">
      <c r="B1757" s="192"/>
    </row>
    <row r="1758" spans="2:2" x14ac:dyDescent="0.25">
      <c r="B1758" s="192"/>
    </row>
    <row r="1759" spans="2:2" x14ac:dyDescent="0.25">
      <c r="B1759" s="192"/>
    </row>
    <row r="1760" spans="2:2" x14ac:dyDescent="0.25">
      <c r="B1760" s="192"/>
    </row>
    <row r="1761" spans="2:2" x14ac:dyDescent="0.25">
      <c r="B1761" s="192"/>
    </row>
    <row r="1762" spans="2:2" x14ac:dyDescent="0.25">
      <c r="B1762" s="192"/>
    </row>
    <row r="1763" spans="2:2" x14ac:dyDescent="0.25">
      <c r="B1763" s="192"/>
    </row>
    <row r="1764" spans="2:2" x14ac:dyDescent="0.25">
      <c r="B1764" s="192"/>
    </row>
    <row r="1765" spans="2:2" x14ac:dyDescent="0.25">
      <c r="B1765" s="192"/>
    </row>
    <row r="1766" spans="2:2" x14ac:dyDescent="0.25">
      <c r="B1766" s="192"/>
    </row>
    <row r="1767" spans="2:2" x14ac:dyDescent="0.25">
      <c r="B1767" s="192"/>
    </row>
    <row r="1768" spans="2:2" x14ac:dyDescent="0.25">
      <c r="B1768" s="192"/>
    </row>
    <row r="1769" spans="2:2" x14ac:dyDescent="0.25">
      <c r="B1769" s="192"/>
    </row>
    <row r="1770" spans="2:2" x14ac:dyDescent="0.25">
      <c r="B1770" s="192"/>
    </row>
    <row r="1771" spans="2:2" x14ac:dyDescent="0.25">
      <c r="B1771" s="192"/>
    </row>
    <row r="1772" spans="2:2" x14ac:dyDescent="0.25">
      <c r="B1772" s="192"/>
    </row>
    <row r="1773" spans="2:2" x14ac:dyDescent="0.25">
      <c r="B1773" s="192"/>
    </row>
    <row r="1774" spans="2:2" x14ac:dyDescent="0.25">
      <c r="B1774" s="192"/>
    </row>
    <row r="1775" spans="2:2" x14ac:dyDescent="0.25">
      <c r="B1775" s="192"/>
    </row>
    <row r="1776" spans="2:2" x14ac:dyDescent="0.25">
      <c r="B1776" s="192"/>
    </row>
    <row r="1777" spans="2:2" x14ac:dyDescent="0.25">
      <c r="B1777" s="192"/>
    </row>
    <row r="1778" spans="2:2" x14ac:dyDescent="0.25">
      <c r="B1778" s="192"/>
    </row>
    <row r="1779" spans="2:2" x14ac:dyDescent="0.25">
      <c r="B1779" s="192"/>
    </row>
    <row r="1780" spans="2:2" x14ac:dyDescent="0.25">
      <c r="B1780" s="192"/>
    </row>
    <row r="1781" spans="2:2" x14ac:dyDescent="0.25">
      <c r="B1781" s="192"/>
    </row>
    <row r="1782" spans="2:2" x14ac:dyDescent="0.25">
      <c r="B1782" s="192"/>
    </row>
    <row r="1783" spans="2:2" x14ac:dyDescent="0.25">
      <c r="B1783" s="192"/>
    </row>
    <row r="1784" spans="2:2" x14ac:dyDescent="0.25">
      <c r="B1784" s="192"/>
    </row>
    <row r="1785" spans="2:2" x14ac:dyDescent="0.25">
      <c r="B1785" s="192"/>
    </row>
    <row r="1786" spans="2:2" x14ac:dyDescent="0.25">
      <c r="B1786" s="192"/>
    </row>
    <row r="1787" spans="2:2" x14ac:dyDescent="0.25">
      <c r="B1787" s="192"/>
    </row>
    <row r="1788" spans="2:2" x14ac:dyDescent="0.25">
      <c r="B1788" s="192"/>
    </row>
    <row r="1789" spans="2:2" x14ac:dyDescent="0.25">
      <c r="B1789" s="192"/>
    </row>
    <row r="1790" spans="2:2" x14ac:dyDescent="0.25">
      <c r="B1790" s="192"/>
    </row>
    <row r="1791" spans="2:2" x14ac:dyDescent="0.25">
      <c r="B1791" s="192"/>
    </row>
    <row r="1792" spans="2:2" x14ac:dyDescent="0.25">
      <c r="B1792" s="192"/>
    </row>
    <row r="1793" spans="2:2" x14ac:dyDescent="0.25">
      <c r="B1793" s="192"/>
    </row>
    <row r="1794" spans="2:2" x14ac:dyDescent="0.25">
      <c r="B1794" s="192"/>
    </row>
    <row r="1795" spans="2:2" x14ac:dyDescent="0.25">
      <c r="B1795" s="192"/>
    </row>
    <row r="1796" spans="2:2" x14ac:dyDescent="0.25">
      <c r="B1796" s="192"/>
    </row>
    <row r="1797" spans="2:2" x14ac:dyDescent="0.25">
      <c r="B1797" s="192"/>
    </row>
    <row r="1798" spans="2:2" x14ac:dyDescent="0.25">
      <c r="B1798" s="192"/>
    </row>
    <row r="1799" spans="2:2" x14ac:dyDescent="0.25">
      <c r="B1799" s="192"/>
    </row>
    <row r="1800" spans="2:2" x14ac:dyDescent="0.25">
      <c r="B1800" s="192"/>
    </row>
    <row r="1801" spans="2:2" x14ac:dyDescent="0.25">
      <c r="B1801" s="192"/>
    </row>
    <row r="1802" spans="2:2" x14ac:dyDescent="0.25">
      <c r="B1802" s="192"/>
    </row>
    <row r="1803" spans="2:2" x14ac:dyDescent="0.25">
      <c r="B1803" s="192"/>
    </row>
    <row r="1804" spans="2:2" x14ac:dyDescent="0.25">
      <c r="B1804" s="192"/>
    </row>
    <row r="1805" spans="2:2" x14ac:dyDescent="0.25">
      <c r="B1805" s="192"/>
    </row>
    <row r="1806" spans="2:2" x14ac:dyDescent="0.25">
      <c r="B1806" s="192"/>
    </row>
    <row r="1807" spans="2:2" x14ac:dyDescent="0.25">
      <c r="B1807" s="192"/>
    </row>
    <row r="1808" spans="2:2" x14ac:dyDescent="0.25">
      <c r="B1808" s="192"/>
    </row>
    <row r="1809" spans="2:2" x14ac:dyDescent="0.25">
      <c r="B1809" s="192"/>
    </row>
    <row r="1810" spans="2:2" x14ac:dyDescent="0.25">
      <c r="B1810" s="192"/>
    </row>
    <row r="1811" spans="2:2" x14ac:dyDescent="0.25">
      <c r="B1811" s="192"/>
    </row>
    <row r="1812" spans="2:2" x14ac:dyDescent="0.25">
      <c r="B1812" s="192"/>
    </row>
    <row r="1813" spans="2:2" x14ac:dyDescent="0.25">
      <c r="B1813" s="192"/>
    </row>
    <row r="1814" spans="2:2" x14ac:dyDescent="0.25">
      <c r="B1814" s="192"/>
    </row>
    <row r="1815" spans="2:2" x14ac:dyDescent="0.25">
      <c r="B1815" s="192"/>
    </row>
    <row r="1816" spans="2:2" x14ac:dyDescent="0.25">
      <c r="B1816" s="192"/>
    </row>
    <row r="1817" spans="2:2" x14ac:dyDescent="0.25">
      <c r="B1817" s="192"/>
    </row>
    <row r="1818" spans="2:2" x14ac:dyDescent="0.25">
      <c r="B1818" s="192"/>
    </row>
    <row r="1819" spans="2:2" x14ac:dyDescent="0.25">
      <c r="B1819" s="192"/>
    </row>
    <row r="1820" spans="2:2" x14ac:dyDescent="0.25">
      <c r="B1820" s="192"/>
    </row>
    <row r="1821" spans="2:2" x14ac:dyDescent="0.25">
      <c r="B1821" s="192"/>
    </row>
    <row r="1822" spans="2:2" x14ac:dyDescent="0.25">
      <c r="B1822" s="192"/>
    </row>
    <row r="1823" spans="2:2" x14ac:dyDescent="0.25">
      <c r="B1823" s="192"/>
    </row>
    <row r="1824" spans="2:2" x14ac:dyDescent="0.25">
      <c r="B1824" s="192"/>
    </row>
    <row r="1825" spans="2:2" x14ac:dyDescent="0.25">
      <c r="B1825" s="192"/>
    </row>
    <row r="1826" spans="2:2" x14ac:dyDescent="0.25">
      <c r="B1826" s="192"/>
    </row>
    <row r="1827" spans="2:2" x14ac:dyDescent="0.25">
      <c r="B1827" s="192"/>
    </row>
    <row r="1828" spans="2:2" x14ac:dyDescent="0.25">
      <c r="B1828" s="192"/>
    </row>
    <row r="1829" spans="2:2" x14ac:dyDescent="0.25">
      <c r="B1829" s="192"/>
    </row>
    <row r="1830" spans="2:2" x14ac:dyDescent="0.25">
      <c r="B1830" s="192"/>
    </row>
    <row r="1831" spans="2:2" x14ac:dyDescent="0.25">
      <c r="B1831" s="192"/>
    </row>
    <row r="1832" spans="2:2" x14ac:dyDescent="0.25">
      <c r="B1832" s="192"/>
    </row>
    <row r="1833" spans="2:2" x14ac:dyDescent="0.25">
      <c r="B1833" s="192"/>
    </row>
    <row r="1834" spans="2:2" x14ac:dyDescent="0.25">
      <c r="B1834" s="192"/>
    </row>
    <row r="1835" spans="2:2" x14ac:dyDescent="0.25">
      <c r="B1835" s="192"/>
    </row>
    <row r="1836" spans="2:2" x14ac:dyDescent="0.25">
      <c r="B1836" s="192"/>
    </row>
    <row r="1837" spans="2:2" x14ac:dyDescent="0.25">
      <c r="B1837" s="192"/>
    </row>
    <row r="1838" spans="2:2" x14ac:dyDescent="0.25">
      <c r="B1838" s="192"/>
    </row>
    <row r="1839" spans="2:2" x14ac:dyDescent="0.25">
      <c r="B1839" s="192"/>
    </row>
    <row r="1840" spans="2:2" x14ac:dyDescent="0.25">
      <c r="B1840" s="192"/>
    </row>
    <row r="1841" spans="2:2" x14ac:dyDescent="0.25">
      <c r="B1841" s="192"/>
    </row>
    <row r="1842" spans="2:2" x14ac:dyDescent="0.25">
      <c r="B1842" s="192"/>
    </row>
    <row r="1843" spans="2:2" x14ac:dyDescent="0.25">
      <c r="B1843" s="192"/>
    </row>
    <row r="1844" spans="2:2" x14ac:dyDescent="0.25">
      <c r="B1844" s="192"/>
    </row>
    <row r="1845" spans="2:2" x14ac:dyDescent="0.25">
      <c r="B1845" s="192"/>
    </row>
    <row r="1846" spans="2:2" x14ac:dyDescent="0.25">
      <c r="B1846" s="192"/>
    </row>
    <row r="1847" spans="2:2" x14ac:dyDescent="0.25">
      <c r="B1847" s="192"/>
    </row>
    <row r="1848" spans="2:2" x14ac:dyDescent="0.25">
      <c r="B1848" s="192"/>
    </row>
    <row r="1849" spans="2:2" x14ac:dyDescent="0.25">
      <c r="B1849" s="192"/>
    </row>
    <row r="1850" spans="2:2" x14ac:dyDescent="0.25">
      <c r="B1850" s="192"/>
    </row>
    <row r="1851" spans="2:2" x14ac:dyDescent="0.25">
      <c r="B1851" s="192"/>
    </row>
    <row r="1852" spans="2:2" x14ac:dyDescent="0.25">
      <c r="B1852" s="192"/>
    </row>
    <row r="1853" spans="2:2" x14ac:dyDescent="0.25">
      <c r="B1853" s="192"/>
    </row>
    <row r="1854" spans="2:2" x14ac:dyDescent="0.25">
      <c r="B1854" s="192"/>
    </row>
    <row r="1855" spans="2:2" x14ac:dyDescent="0.25">
      <c r="B1855" s="192"/>
    </row>
    <row r="1856" spans="2:2" x14ac:dyDescent="0.25">
      <c r="B1856" s="192"/>
    </row>
    <row r="1857" spans="2:2" x14ac:dyDescent="0.25">
      <c r="B1857" s="192"/>
    </row>
    <row r="1858" spans="2:2" x14ac:dyDescent="0.25">
      <c r="B1858" s="192"/>
    </row>
    <row r="1859" spans="2:2" x14ac:dyDescent="0.25">
      <c r="B1859" s="192"/>
    </row>
    <row r="1860" spans="2:2" x14ac:dyDescent="0.25">
      <c r="B1860" s="192"/>
    </row>
    <row r="1861" spans="2:2" x14ac:dyDescent="0.25">
      <c r="B1861" s="192"/>
    </row>
    <row r="1862" spans="2:2" x14ac:dyDescent="0.25">
      <c r="B1862" s="192"/>
    </row>
    <row r="1863" spans="2:2" x14ac:dyDescent="0.25">
      <c r="B1863" s="192"/>
    </row>
    <row r="1864" spans="2:2" x14ac:dyDescent="0.25">
      <c r="B1864" s="192"/>
    </row>
    <row r="1865" spans="2:2" x14ac:dyDescent="0.25">
      <c r="B1865" s="192"/>
    </row>
    <row r="1866" spans="2:2" x14ac:dyDescent="0.25">
      <c r="B1866" s="192"/>
    </row>
    <row r="1867" spans="2:2" x14ac:dyDescent="0.25">
      <c r="B1867" s="192"/>
    </row>
    <row r="1868" spans="2:2" x14ac:dyDescent="0.25">
      <c r="B1868" s="192"/>
    </row>
    <row r="1869" spans="2:2" x14ac:dyDescent="0.25">
      <c r="B1869" s="192"/>
    </row>
    <row r="1870" spans="2:2" x14ac:dyDescent="0.25">
      <c r="B1870" s="192"/>
    </row>
    <row r="1871" spans="2:2" x14ac:dyDescent="0.25">
      <c r="B1871" s="192"/>
    </row>
    <row r="1872" spans="2:2" x14ac:dyDescent="0.25">
      <c r="B1872" s="192"/>
    </row>
    <row r="1873" spans="2:2" x14ac:dyDescent="0.25">
      <c r="B1873" s="192"/>
    </row>
    <row r="1874" spans="2:2" x14ac:dyDescent="0.25">
      <c r="B1874" s="192"/>
    </row>
    <row r="1875" spans="2:2" x14ac:dyDescent="0.25">
      <c r="B1875" s="192"/>
    </row>
    <row r="1876" spans="2:2" x14ac:dyDescent="0.25">
      <c r="B1876" s="192"/>
    </row>
    <row r="1877" spans="2:2" x14ac:dyDescent="0.25">
      <c r="B1877" s="192"/>
    </row>
    <row r="1878" spans="2:2" x14ac:dyDescent="0.25">
      <c r="B1878" s="192"/>
    </row>
    <row r="1879" spans="2:2" x14ac:dyDescent="0.25">
      <c r="B1879" s="192"/>
    </row>
    <row r="1880" spans="2:2" x14ac:dyDescent="0.25">
      <c r="B1880" s="192"/>
    </row>
    <row r="1881" spans="2:2" x14ac:dyDescent="0.25">
      <c r="B1881" s="192"/>
    </row>
    <row r="1882" spans="2:2" x14ac:dyDescent="0.25">
      <c r="B1882" s="192"/>
    </row>
    <row r="1883" spans="2:2" x14ac:dyDescent="0.25">
      <c r="B1883" s="192"/>
    </row>
    <row r="1884" spans="2:2" x14ac:dyDescent="0.25">
      <c r="B1884" s="192"/>
    </row>
    <row r="1885" spans="2:2" x14ac:dyDescent="0.25">
      <c r="B1885" s="192"/>
    </row>
    <row r="1886" spans="2:2" x14ac:dyDescent="0.25">
      <c r="B1886" s="192"/>
    </row>
    <row r="1887" spans="2:2" x14ac:dyDescent="0.25">
      <c r="B1887" s="192"/>
    </row>
    <row r="1888" spans="2:2" x14ac:dyDescent="0.25">
      <c r="B1888" s="192"/>
    </row>
    <row r="1889" spans="2:2" x14ac:dyDescent="0.25">
      <c r="B1889" s="192"/>
    </row>
    <row r="1890" spans="2:2" x14ac:dyDescent="0.25">
      <c r="B1890" s="192"/>
    </row>
    <row r="1891" spans="2:2" x14ac:dyDescent="0.25">
      <c r="B1891" s="192"/>
    </row>
    <row r="1892" spans="2:2" x14ac:dyDescent="0.25">
      <c r="B1892" s="192"/>
    </row>
    <row r="1893" spans="2:2" x14ac:dyDescent="0.25">
      <c r="B1893" s="192"/>
    </row>
    <row r="1894" spans="2:2" x14ac:dyDescent="0.25">
      <c r="B1894" s="192"/>
    </row>
    <row r="1895" spans="2:2" x14ac:dyDescent="0.25">
      <c r="B1895" s="192"/>
    </row>
    <row r="1896" spans="2:2" x14ac:dyDescent="0.25">
      <c r="B1896" s="192"/>
    </row>
    <row r="1897" spans="2:2" x14ac:dyDescent="0.25">
      <c r="B1897" s="192"/>
    </row>
    <row r="1898" spans="2:2" x14ac:dyDescent="0.25">
      <c r="B1898" s="192"/>
    </row>
    <row r="1899" spans="2:2" x14ac:dyDescent="0.25">
      <c r="B1899" s="192"/>
    </row>
    <row r="1900" spans="2:2" x14ac:dyDescent="0.25">
      <c r="B1900" s="192"/>
    </row>
    <row r="1901" spans="2:2" x14ac:dyDescent="0.25">
      <c r="B1901" s="192"/>
    </row>
    <row r="1902" spans="2:2" x14ac:dyDescent="0.25">
      <c r="B1902" s="192"/>
    </row>
    <row r="1903" spans="2:2" x14ac:dyDescent="0.25">
      <c r="B1903" s="192"/>
    </row>
    <row r="1904" spans="2:2" x14ac:dyDescent="0.25">
      <c r="B1904" s="192"/>
    </row>
    <row r="1905" spans="2:2" x14ac:dyDescent="0.25">
      <c r="B1905" s="192"/>
    </row>
    <row r="1906" spans="2:2" x14ac:dyDescent="0.25">
      <c r="B1906" s="192"/>
    </row>
    <row r="1907" spans="2:2" x14ac:dyDescent="0.25">
      <c r="B1907" s="192"/>
    </row>
    <row r="1908" spans="2:2" x14ac:dyDescent="0.25">
      <c r="B1908" s="192"/>
    </row>
    <row r="1909" spans="2:2" x14ac:dyDescent="0.25">
      <c r="B1909" s="192"/>
    </row>
    <row r="1910" spans="2:2" x14ac:dyDescent="0.25">
      <c r="B1910" s="192"/>
    </row>
    <row r="1911" spans="2:2" x14ac:dyDescent="0.25">
      <c r="B1911" s="192"/>
    </row>
    <row r="1912" spans="2:2" x14ac:dyDescent="0.25">
      <c r="B1912" s="192"/>
    </row>
    <row r="1913" spans="2:2" x14ac:dyDescent="0.25">
      <c r="B1913" s="192"/>
    </row>
    <row r="1914" spans="2:2" x14ac:dyDescent="0.25">
      <c r="B1914" s="192"/>
    </row>
    <row r="1915" spans="2:2" x14ac:dyDescent="0.25">
      <c r="B1915" s="192"/>
    </row>
    <row r="1916" spans="2:2" x14ac:dyDescent="0.25">
      <c r="B1916" s="192"/>
    </row>
    <row r="1917" spans="2:2" x14ac:dyDescent="0.25">
      <c r="B1917" s="192"/>
    </row>
    <row r="1918" spans="2:2" x14ac:dyDescent="0.25">
      <c r="B1918" s="192"/>
    </row>
    <row r="1919" spans="2:2" x14ac:dyDescent="0.25">
      <c r="B1919" s="192"/>
    </row>
    <row r="1920" spans="2:2" x14ac:dyDescent="0.25">
      <c r="B1920" s="192"/>
    </row>
    <row r="1921" spans="2:2" x14ac:dyDescent="0.25">
      <c r="B1921" s="192"/>
    </row>
    <row r="1922" spans="2:2" x14ac:dyDescent="0.25">
      <c r="B1922" s="192"/>
    </row>
    <row r="1923" spans="2:2" x14ac:dyDescent="0.25">
      <c r="B1923" s="192"/>
    </row>
    <row r="1924" spans="2:2" x14ac:dyDescent="0.25">
      <c r="B1924" s="192"/>
    </row>
    <row r="1925" spans="2:2" x14ac:dyDescent="0.25">
      <c r="B1925" s="192"/>
    </row>
    <row r="1926" spans="2:2" x14ac:dyDescent="0.25">
      <c r="B1926" s="192"/>
    </row>
    <row r="1927" spans="2:2" x14ac:dyDescent="0.25">
      <c r="B1927" s="192"/>
    </row>
    <row r="1928" spans="2:2" x14ac:dyDescent="0.25">
      <c r="B1928" s="192"/>
    </row>
    <row r="1929" spans="2:2" x14ac:dyDescent="0.25">
      <c r="B1929" s="192"/>
    </row>
    <row r="1930" spans="2:2" x14ac:dyDescent="0.25">
      <c r="B1930" s="192"/>
    </row>
    <row r="1931" spans="2:2" x14ac:dyDescent="0.25">
      <c r="B1931" s="192"/>
    </row>
    <row r="1932" spans="2:2" x14ac:dyDescent="0.25">
      <c r="B1932" s="192"/>
    </row>
    <row r="1933" spans="2:2" x14ac:dyDescent="0.25">
      <c r="B1933" s="192"/>
    </row>
    <row r="1934" spans="2:2" x14ac:dyDescent="0.25">
      <c r="B1934" s="192"/>
    </row>
    <row r="1935" spans="2:2" x14ac:dyDescent="0.25">
      <c r="B1935" s="192"/>
    </row>
    <row r="1936" spans="2:2" x14ac:dyDescent="0.25">
      <c r="B1936" s="192"/>
    </row>
    <row r="1937" spans="2:2" x14ac:dyDescent="0.25">
      <c r="B1937" s="192"/>
    </row>
    <row r="1938" spans="2:2" x14ac:dyDescent="0.25">
      <c r="B1938" s="192"/>
    </row>
    <row r="1939" spans="2:2" x14ac:dyDescent="0.25">
      <c r="B1939" s="192"/>
    </row>
    <row r="1940" spans="2:2" x14ac:dyDescent="0.25">
      <c r="B1940" s="192"/>
    </row>
    <row r="1941" spans="2:2" x14ac:dyDescent="0.25">
      <c r="B1941" s="192"/>
    </row>
    <row r="1942" spans="2:2" x14ac:dyDescent="0.25">
      <c r="B1942" s="192"/>
    </row>
    <row r="1943" spans="2:2" x14ac:dyDescent="0.25">
      <c r="B1943" s="192"/>
    </row>
    <row r="1944" spans="2:2" x14ac:dyDescent="0.25">
      <c r="B1944" s="192"/>
    </row>
    <row r="1945" spans="2:2" x14ac:dyDescent="0.25">
      <c r="B1945" s="192"/>
    </row>
    <row r="1946" spans="2:2" x14ac:dyDescent="0.25">
      <c r="B1946" s="192"/>
    </row>
    <row r="1947" spans="2:2" x14ac:dyDescent="0.25">
      <c r="B1947" s="192"/>
    </row>
    <row r="1948" spans="2:2" x14ac:dyDescent="0.25">
      <c r="B1948" s="192"/>
    </row>
    <row r="1949" spans="2:2" x14ac:dyDescent="0.25">
      <c r="B1949" s="192"/>
    </row>
    <row r="1950" spans="2:2" x14ac:dyDescent="0.25">
      <c r="B1950" s="192"/>
    </row>
    <row r="1951" spans="2:2" x14ac:dyDescent="0.25">
      <c r="B1951" s="192"/>
    </row>
    <row r="1952" spans="2:2" x14ac:dyDescent="0.25">
      <c r="B1952" s="192"/>
    </row>
    <row r="1953" spans="2:2" x14ac:dyDescent="0.25">
      <c r="B1953" s="192"/>
    </row>
    <row r="1954" spans="2:2" x14ac:dyDescent="0.25">
      <c r="B1954" s="192"/>
    </row>
    <row r="1955" spans="2:2" x14ac:dyDescent="0.25">
      <c r="B1955" s="192"/>
    </row>
    <row r="1956" spans="2:2" x14ac:dyDescent="0.25">
      <c r="B1956" s="192"/>
    </row>
    <row r="1957" spans="2:2" x14ac:dyDescent="0.25">
      <c r="B1957" s="192"/>
    </row>
    <row r="1958" spans="2:2" x14ac:dyDescent="0.25">
      <c r="B1958" s="192"/>
    </row>
    <row r="1959" spans="2:2" x14ac:dyDescent="0.25">
      <c r="B1959" s="192"/>
    </row>
    <row r="1960" spans="2:2" x14ac:dyDescent="0.25">
      <c r="B1960" s="192"/>
    </row>
    <row r="1961" spans="2:2" x14ac:dyDescent="0.25">
      <c r="B1961" s="192"/>
    </row>
    <row r="1962" spans="2:2" x14ac:dyDescent="0.25">
      <c r="B1962" s="192"/>
    </row>
    <row r="1963" spans="2:2" x14ac:dyDescent="0.25">
      <c r="B1963" s="192"/>
    </row>
    <row r="1964" spans="2:2" x14ac:dyDescent="0.25">
      <c r="B1964" s="192"/>
    </row>
    <row r="1965" spans="2:2" x14ac:dyDescent="0.25">
      <c r="B1965" s="192"/>
    </row>
    <row r="1966" spans="2:2" x14ac:dyDescent="0.25">
      <c r="B1966" s="192"/>
    </row>
    <row r="1967" spans="2:2" x14ac:dyDescent="0.25">
      <c r="B1967" s="192"/>
    </row>
    <row r="1968" spans="2:2" x14ac:dyDescent="0.25">
      <c r="B1968" s="192"/>
    </row>
    <row r="1969" spans="2:2" x14ac:dyDescent="0.25">
      <c r="B1969" s="192"/>
    </row>
    <row r="1970" spans="2:2" x14ac:dyDescent="0.25">
      <c r="B1970" s="192"/>
    </row>
    <row r="1971" spans="2:2" x14ac:dyDescent="0.25">
      <c r="B1971" s="192"/>
    </row>
    <row r="1972" spans="2:2" x14ac:dyDescent="0.25">
      <c r="B1972" s="192"/>
    </row>
    <row r="1973" spans="2:2" x14ac:dyDescent="0.25">
      <c r="B1973" s="192"/>
    </row>
    <row r="1974" spans="2:2" x14ac:dyDescent="0.25">
      <c r="B1974" s="192"/>
    </row>
    <row r="1975" spans="2:2" x14ac:dyDescent="0.25">
      <c r="B1975" s="192"/>
    </row>
    <row r="1976" spans="2:2" x14ac:dyDescent="0.25">
      <c r="B1976" s="192"/>
    </row>
    <row r="1977" spans="2:2" x14ac:dyDescent="0.25">
      <c r="B1977" s="192"/>
    </row>
    <row r="1978" spans="2:2" x14ac:dyDescent="0.25">
      <c r="B1978" s="192"/>
    </row>
    <row r="1979" spans="2:2" x14ac:dyDescent="0.25">
      <c r="B1979" s="192"/>
    </row>
    <row r="1980" spans="2:2" x14ac:dyDescent="0.25">
      <c r="B1980" s="192"/>
    </row>
    <row r="1981" spans="2:2" x14ac:dyDescent="0.25">
      <c r="B1981" s="192"/>
    </row>
    <row r="1982" spans="2:2" x14ac:dyDescent="0.25">
      <c r="B1982" s="192"/>
    </row>
    <row r="1983" spans="2:2" x14ac:dyDescent="0.25">
      <c r="B1983" s="192"/>
    </row>
    <row r="1984" spans="2:2" x14ac:dyDescent="0.25">
      <c r="B1984" s="192"/>
    </row>
    <row r="1985" spans="2:2" x14ac:dyDescent="0.25">
      <c r="B1985" s="192"/>
    </row>
    <row r="1986" spans="2:2" x14ac:dyDescent="0.25">
      <c r="B1986" s="192"/>
    </row>
    <row r="1987" spans="2:2" x14ac:dyDescent="0.25">
      <c r="B1987" s="192"/>
    </row>
    <row r="1988" spans="2:2" x14ac:dyDescent="0.25">
      <c r="B1988" s="192"/>
    </row>
    <row r="1989" spans="2:2" x14ac:dyDescent="0.25">
      <c r="B1989" s="192"/>
    </row>
    <row r="1990" spans="2:2" x14ac:dyDescent="0.25">
      <c r="B1990" s="192"/>
    </row>
    <row r="1991" spans="2:2" x14ac:dyDescent="0.25">
      <c r="B1991" s="192"/>
    </row>
    <row r="1992" spans="2:2" x14ac:dyDescent="0.25">
      <c r="B1992" s="192"/>
    </row>
    <row r="1993" spans="2:2" x14ac:dyDescent="0.25">
      <c r="B1993" s="192"/>
    </row>
    <row r="1994" spans="2:2" x14ac:dyDescent="0.25">
      <c r="B1994" s="192"/>
    </row>
    <row r="1995" spans="2:2" x14ac:dyDescent="0.25">
      <c r="B1995" s="192"/>
    </row>
    <row r="1996" spans="2:2" x14ac:dyDescent="0.25">
      <c r="B1996" s="192"/>
    </row>
    <row r="1997" spans="2:2" x14ac:dyDescent="0.25">
      <c r="B1997" s="192"/>
    </row>
    <row r="1998" spans="2:2" x14ac:dyDescent="0.25">
      <c r="B1998" s="192"/>
    </row>
    <row r="1999" spans="2:2" x14ac:dyDescent="0.25">
      <c r="B1999" s="192"/>
    </row>
    <row r="2000" spans="2:2" x14ac:dyDescent="0.25">
      <c r="B2000" s="192"/>
    </row>
    <row r="2001" spans="2:2" x14ac:dyDescent="0.25">
      <c r="B2001" s="192"/>
    </row>
    <row r="2002" spans="2:2" x14ac:dyDescent="0.25">
      <c r="B2002" s="192"/>
    </row>
    <row r="2003" spans="2:2" x14ac:dyDescent="0.25">
      <c r="B2003" s="192"/>
    </row>
    <row r="2004" spans="2:2" x14ac:dyDescent="0.25">
      <c r="B2004" s="192"/>
    </row>
    <row r="2005" spans="2:2" x14ac:dyDescent="0.25">
      <c r="B2005" s="192"/>
    </row>
    <row r="2006" spans="2:2" x14ac:dyDescent="0.25">
      <c r="B2006" s="192"/>
    </row>
    <row r="2007" spans="2:2" x14ac:dyDescent="0.25">
      <c r="B2007" s="192"/>
    </row>
    <row r="2008" spans="2:2" x14ac:dyDescent="0.25">
      <c r="B2008" s="192"/>
    </row>
    <row r="2009" spans="2:2" x14ac:dyDescent="0.25">
      <c r="B2009" s="192"/>
    </row>
    <row r="2010" spans="2:2" x14ac:dyDescent="0.25">
      <c r="B2010" s="192"/>
    </row>
    <row r="2011" spans="2:2" x14ac:dyDescent="0.25">
      <c r="B2011" s="192"/>
    </row>
    <row r="2012" spans="2:2" x14ac:dyDescent="0.25">
      <c r="B2012" s="192"/>
    </row>
    <row r="2013" spans="2:2" x14ac:dyDescent="0.25">
      <c r="B2013" s="192"/>
    </row>
    <row r="2014" spans="2:2" x14ac:dyDescent="0.25">
      <c r="B2014" s="192"/>
    </row>
    <row r="2015" spans="2:2" x14ac:dyDescent="0.25">
      <c r="B2015" s="192"/>
    </row>
    <row r="2016" spans="2:2" x14ac:dyDescent="0.25">
      <c r="B2016" s="192"/>
    </row>
    <row r="2017" spans="2:2" x14ac:dyDescent="0.25">
      <c r="B2017" s="192"/>
    </row>
    <row r="2018" spans="2:2" x14ac:dyDescent="0.25">
      <c r="B2018" s="192"/>
    </row>
    <row r="2019" spans="2:2" x14ac:dyDescent="0.25">
      <c r="B2019" s="192"/>
    </row>
    <row r="2020" spans="2:2" x14ac:dyDescent="0.25">
      <c r="B2020" s="192"/>
    </row>
    <row r="2021" spans="2:2" x14ac:dyDescent="0.25">
      <c r="B2021" s="192"/>
    </row>
    <row r="2022" spans="2:2" x14ac:dyDescent="0.25">
      <c r="B2022" s="192"/>
    </row>
    <row r="2023" spans="2:2" x14ac:dyDescent="0.25">
      <c r="B2023" s="192"/>
    </row>
    <row r="2024" spans="2:2" x14ac:dyDescent="0.25">
      <c r="B2024" s="192"/>
    </row>
    <row r="2025" spans="2:2" x14ac:dyDescent="0.25">
      <c r="B2025" s="192"/>
    </row>
    <row r="2026" spans="2:2" x14ac:dyDescent="0.25">
      <c r="B2026" s="192"/>
    </row>
    <row r="2027" spans="2:2" x14ac:dyDescent="0.25">
      <c r="B2027" s="192"/>
    </row>
    <row r="2028" spans="2:2" x14ac:dyDescent="0.25">
      <c r="B2028" s="192"/>
    </row>
    <row r="2029" spans="2:2" x14ac:dyDescent="0.25">
      <c r="B2029" s="192"/>
    </row>
    <row r="2030" spans="2:2" x14ac:dyDescent="0.25">
      <c r="B2030" s="192"/>
    </row>
    <row r="2031" spans="2:2" x14ac:dyDescent="0.25">
      <c r="B2031" s="192"/>
    </row>
    <row r="2032" spans="2:2" x14ac:dyDescent="0.25">
      <c r="B2032" s="192"/>
    </row>
    <row r="2033" spans="2:2" x14ac:dyDescent="0.25">
      <c r="B2033" s="192"/>
    </row>
    <row r="2034" spans="2:2" x14ac:dyDescent="0.25">
      <c r="B2034" s="192"/>
    </row>
    <row r="2035" spans="2:2" x14ac:dyDescent="0.25">
      <c r="B2035" s="192"/>
    </row>
    <row r="2036" spans="2:2" x14ac:dyDescent="0.25">
      <c r="B2036" s="192"/>
    </row>
    <row r="2037" spans="2:2" x14ac:dyDescent="0.25">
      <c r="B2037" s="192"/>
    </row>
    <row r="2038" spans="2:2" x14ac:dyDescent="0.25">
      <c r="B2038" s="192"/>
    </row>
    <row r="2039" spans="2:2" x14ac:dyDescent="0.25">
      <c r="B2039" s="192"/>
    </row>
    <row r="2040" spans="2:2" x14ac:dyDescent="0.25">
      <c r="B2040" s="192"/>
    </row>
    <row r="2041" spans="2:2" x14ac:dyDescent="0.25">
      <c r="B2041" s="192"/>
    </row>
    <row r="2042" spans="2:2" x14ac:dyDescent="0.25">
      <c r="B2042" s="192"/>
    </row>
    <row r="2043" spans="2:2" x14ac:dyDescent="0.25">
      <c r="B2043" s="192"/>
    </row>
    <row r="2044" spans="2:2" x14ac:dyDescent="0.25">
      <c r="B2044" s="192"/>
    </row>
    <row r="2045" spans="2:2" x14ac:dyDescent="0.25">
      <c r="B2045" s="192"/>
    </row>
    <row r="2046" spans="2:2" x14ac:dyDescent="0.25">
      <c r="B2046" s="192"/>
    </row>
    <row r="2047" spans="2:2" x14ac:dyDescent="0.25">
      <c r="B2047" s="192"/>
    </row>
    <row r="2048" spans="2:2" x14ac:dyDescent="0.25">
      <c r="B2048" s="192"/>
    </row>
    <row r="2049" spans="2:2" x14ac:dyDescent="0.25">
      <c r="B2049" s="192"/>
    </row>
    <row r="2050" spans="2:2" x14ac:dyDescent="0.25">
      <c r="B2050" s="192"/>
    </row>
    <row r="2051" spans="2:2" x14ac:dyDescent="0.25">
      <c r="B2051" s="192"/>
    </row>
    <row r="2052" spans="2:2" x14ac:dyDescent="0.25">
      <c r="B2052" s="192"/>
    </row>
    <row r="2053" spans="2:2" x14ac:dyDescent="0.25">
      <c r="B2053" s="192"/>
    </row>
    <row r="2054" spans="2:2" x14ac:dyDescent="0.25">
      <c r="B2054" s="192"/>
    </row>
    <row r="2055" spans="2:2" x14ac:dyDescent="0.25">
      <c r="B2055" s="192"/>
    </row>
    <row r="2056" spans="2:2" x14ac:dyDescent="0.25">
      <c r="B2056" s="192"/>
    </row>
    <row r="2057" spans="2:2" x14ac:dyDescent="0.25">
      <c r="B2057" s="192"/>
    </row>
    <row r="2058" spans="2:2" x14ac:dyDescent="0.25">
      <c r="B2058" s="192"/>
    </row>
    <row r="2059" spans="2:2" x14ac:dyDescent="0.25">
      <c r="B2059" s="192"/>
    </row>
    <row r="2060" spans="2:2" x14ac:dyDescent="0.25">
      <c r="B2060" s="192"/>
    </row>
    <row r="2061" spans="2:2" x14ac:dyDescent="0.25">
      <c r="B2061" s="192"/>
    </row>
    <row r="2062" spans="2:2" x14ac:dyDescent="0.25">
      <c r="B2062" s="192"/>
    </row>
    <row r="2063" spans="2:2" x14ac:dyDescent="0.25">
      <c r="B2063" s="192"/>
    </row>
    <row r="2064" spans="2:2" x14ac:dyDescent="0.25">
      <c r="B2064" s="192"/>
    </row>
    <row r="2065" spans="2:2" x14ac:dyDescent="0.25">
      <c r="B2065" s="192"/>
    </row>
    <row r="2066" spans="2:2" x14ac:dyDescent="0.25">
      <c r="B2066" s="192"/>
    </row>
    <row r="2067" spans="2:2" x14ac:dyDescent="0.25">
      <c r="B2067" s="192"/>
    </row>
    <row r="2068" spans="2:2" x14ac:dyDescent="0.25">
      <c r="B2068" s="192"/>
    </row>
    <row r="2069" spans="2:2" x14ac:dyDescent="0.25">
      <c r="B2069" s="192"/>
    </row>
    <row r="2070" spans="2:2" x14ac:dyDescent="0.25">
      <c r="B2070" s="192"/>
    </row>
    <row r="2071" spans="2:2" x14ac:dyDescent="0.25">
      <c r="B2071" s="192"/>
    </row>
    <row r="2072" spans="2:2" x14ac:dyDescent="0.25">
      <c r="B2072" s="192"/>
    </row>
    <row r="2073" spans="2:2" x14ac:dyDescent="0.25">
      <c r="B2073" s="192"/>
    </row>
    <row r="2074" spans="2:2" x14ac:dyDescent="0.25">
      <c r="B2074" s="192"/>
    </row>
    <row r="2075" spans="2:2" x14ac:dyDescent="0.25">
      <c r="B2075" s="192"/>
    </row>
    <row r="2076" spans="2:2" x14ac:dyDescent="0.25">
      <c r="B2076" s="192"/>
    </row>
    <row r="2077" spans="2:2" x14ac:dyDescent="0.25">
      <c r="B2077" s="192"/>
    </row>
    <row r="2078" spans="2:2" x14ac:dyDescent="0.25">
      <c r="B2078" s="192"/>
    </row>
    <row r="2079" spans="2:2" x14ac:dyDescent="0.25">
      <c r="B2079" s="192"/>
    </row>
    <row r="2080" spans="2:2" x14ac:dyDescent="0.25">
      <c r="B2080" s="192"/>
    </row>
    <row r="2081" spans="2:2" x14ac:dyDescent="0.25">
      <c r="B2081" s="192"/>
    </row>
    <row r="2082" spans="2:2" x14ac:dyDescent="0.25">
      <c r="B2082" s="192"/>
    </row>
    <row r="2083" spans="2:2" x14ac:dyDescent="0.25">
      <c r="B2083" s="192"/>
    </row>
    <row r="2084" spans="2:2" x14ac:dyDescent="0.25">
      <c r="B2084" s="192"/>
    </row>
    <row r="2085" spans="2:2" x14ac:dyDescent="0.25">
      <c r="B2085" s="192"/>
    </row>
    <row r="2086" spans="2:2" x14ac:dyDescent="0.25">
      <c r="B2086" s="192"/>
    </row>
    <row r="2087" spans="2:2" x14ac:dyDescent="0.25">
      <c r="B2087" s="192"/>
    </row>
    <row r="2088" spans="2:2" x14ac:dyDescent="0.25">
      <c r="B2088" s="192"/>
    </row>
    <row r="2089" spans="2:2" x14ac:dyDescent="0.25">
      <c r="B2089" s="192"/>
    </row>
    <row r="2090" spans="2:2" x14ac:dyDescent="0.25">
      <c r="B2090" s="192"/>
    </row>
    <row r="2091" spans="2:2" x14ac:dyDescent="0.25">
      <c r="B2091" s="192"/>
    </row>
    <row r="2092" spans="2:2" x14ac:dyDescent="0.25">
      <c r="B2092" s="192"/>
    </row>
    <row r="2093" spans="2:2" x14ac:dyDescent="0.25">
      <c r="B2093" s="192"/>
    </row>
    <row r="2094" spans="2:2" x14ac:dyDescent="0.25">
      <c r="B2094" s="192"/>
    </row>
    <row r="2095" spans="2:2" x14ac:dyDescent="0.25">
      <c r="B2095" s="192"/>
    </row>
    <row r="2096" spans="2:2" x14ac:dyDescent="0.25">
      <c r="B2096" s="192"/>
    </row>
    <row r="2097" spans="2:2" x14ac:dyDescent="0.25">
      <c r="B2097" s="192"/>
    </row>
    <row r="2098" spans="2:2" x14ac:dyDescent="0.25">
      <c r="B2098" s="192"/>
    </row>
    <row r="2099" spans="2:2" x14ac:dyDescent="0.25">
      <c r="B2099" s="192"/>
    </row>
    <row r="2100" spans="2:2" x14ac:dyDescent="0.25">
      <c r="B2100" s="192"/>
    </row>
    <row r="2101" spans="2:2" x14ac:dyDescent="0.25">
      <c r="B2101" s="192"/>
    </row>
    <row r="2102" spans="2:2" x14ac:dyDescent="0.25">
      <c r="B2102" s="192"/>
    </row>
    <row r="2103" spans="2:2" x14ac:dyDescent="0.25">
      <c r="B2103" s="192"/>
    </row>
    <row r="2104" spans="2:2" x14ac:dyDescent="0.25">
      <c r="B2104" s="192"/>
    </row>
    <row r="2105" spans="2:2" x14ac:dyDescent="0.25">
      <c r="B2105" s="192"/>
    </row>
    <row r="2106" spans="2:2" x14ac:dyDescent="0.25">
      <c r="B2106" s="192"/>
    </row>
    <row r="2107" spans="2:2" x14ac:dyDescent="0.25">
      <c r="B2107" s="192"/>
    </row>
    <row r="2108" spans="2:2" x14ac:dyDescent="0.25">
      <c r="B2108" s="192"/>
    </row>
    <row r="2109" spans="2:2" x14ac:dyDescent="0.25">
      <c r="B2109" s="192"/>
    </row>
    <row r="2110" spans="2:2" x14ac:dyDescent="0.25">
      <c r="B2110" s="192"/>
    </row>
    <row r="2111" spans="2:2" x14ac:dyDescent="0.25">
      <c r="B2111" s="192"/>
    </row>
    <row r="2112" spans="2:2" x14ac:dyDescent="0.25">
      <c r="B2112" s="192"/>
    </row>
    <row r="2113" spans="2:2" x14ac:dyDescent="0.25">
      <c r="B2113" s="192"/>
    </row>
    <row r="2114" spans="2:2" x14ac:dyDescent="0.25">
      <c r="B2114" s="192"/>
    </row>
    <row r="2115" spans="2:2" x14ac:dyDescent="0.25">
      <c r="B2115" s="192"/>
    </row>
    <row r="2116" spans="2:2" x14ac:dyDescent="0.25">
      <c r="B2116" s="192"/>
    </row>
    <row r="2117" spans="2:2" x14ac:dyDescent="0.25">
      <c r="B2117" s="192"/>
    </row>
    <row r="2118" spans="2:2" x14ac:dyDescent="0.25">
      <c r="B2118" s="192"/>
    </row>
    <row r="2119" spans="2:2" x14ac:dyDescent="0.25">
      <c r="B2119" s="192"/>
    </row>
    <row r="2120" spans="2:2" x14ac:dyDescent="0.25">
      <c r="B2120" s="192"/>
    </row>
    <row r="2121" spans="2:2" x14ac:dyDescent="0.25">
      <c r="B2121" s="192"/>
    </row>
    <row r="2122" spans="2:2" x14ac:dyDescent="0.25">
      <c r="B2122" s="192"/>
    </row>
    <row r="2123" spans="2:2" x14ac:dyDescent="0.25">
      <c r="B2123" s="192"/>
    </row>
    <row r="2124" spans="2:2" x14ac:dyDescent="0.25">
      <c r="B2124" s="192"/>
    </row>
    <row r="2125" spans="2:2" x14ac:dyDescent="0.25">
      <c r="B2125" s="192"/>
    </row>
    <row r="2126" spans="2:2" x14ac:dyDescent="0.25">
      <c r="B2126" s="192"/>
    </row>
    <row r="2127" spans="2:2" x14ac:dyDescent="0.25">
      <c r="B2127" s="192"/>
    </row>
    <row r="2128" spans="2:2" x14ac:dyDescent="0.25">
      <c r="B2128" s="192"/>
    </row>
    <row r="2129" spans="2:2" x14ac:dyDescent="0.25">
      <c r="B2129" s="192"/>
    </row>
    <row r="2130" spans="2:2" x14ac:dyDescent="0.25">
      <c r="B2130" s="192"/>
    </row>
    <row r="2131" spans="2:2" x14ac:dyDescent="0.25">
      <c r="B2131" s="192"/>
    </row>
    <row r="2132" spans="2:2" x14ac:dyDescent="0.25">
      <c r="B2132" s="192"/>
    </row>
    <row r="2133" spans="2:2" x14ac:dyDescent="0.25">
      <c r="B2133" s="192"/>
    </row>
    <row r="2134" spans="2:2" x14ac:dyDescent="0.25">
      <c r="B2134" s="192"/>
    </row>
    <row r="2135" spans="2:2" x14ac:dyDescent="0.25">
      <c r="B2135" s="192"/>
    </row>
    <row r="2136" spans="2:2" x14ac:dyDescent="0.25">
      <c r="B2136" s="192"/>
    </row>
    <row r="2137" spans="2:2" x14ac:dyDescent="0.25">
      <c r="B2137" s="192"/>
    </row>
    <row r="2138" spans="2:2" x14ac:dyDescent="0.25">
      <c r="B2138" s="192"/>
    </row>
    <row r="2139" spans="2:2" x14ac:dyDescent="0.25">
      <c r="B2139" s="192"/>
    </row>
    <row r="2140" spans="2:2" x14ac:dyDescent="0.25">
      <c r="B2140" s="192"/>
    </row>
    <row r="2141" spans="2:2" x14ac:dyDescent="0.25">
      <c r="B2141" s="192"/>
    </row>
    <row r="2142" spans="2:2" x14ac:dyDescent="0.25">
      <c r="B2142" s="192"/>
    </row>
    <row r="2143" spans="2:2" x14ac:dyDescent="0.25">
      <c r="B2143" s="192"/>
    </row>
    <row r="2144" spans="2:2" x14ac:dyDescent="0.25">
      <c r="B2144" s="192"/>
    </row>
    <row r="2145" spans="2:2" x14ac:dyDescent="0.25">
      <c r="B2145" s="192"/>
    </row>
    <row r="2146" spans="2:2" x14ac:dyDescent="0.25">
      <c r="B2146" s="192"/>
    </row>
    <row r="2147" spans="2:2" x14ac:dyDescent="0.25">
      <c r="B2147" s="192"/>
    </row>
    <row r="2148" spans="2:2" x14ac:dyDescent="0.25">
      <c r="B2148" s="192"/>
    </row>
    <row r="2149" spans="2:2" x14ac:dyDescent="0.25">
      <c r="B2149" s="192"/>
    </row>
    <row r="2150" spans="2:2" x14ac:dyDescent="0.25">
      <c r="B2150" s="192"/>
    </row>
    <row r="2151" spans="2:2" x14ac:dyDescent="0.25">
      <c r="B2151" s="192"/>
    </row>
    <row r="2152" spans="2:2" x14ac:dyDescent="0.25">
      <c r="B2152" s="192"/>
    </row>
    <row r="2153" spans="2:2" x14ac:dyDescent="0.25">
      <c r="B2153" s="192"/>
    </row>
    <row r="2154" spans="2:2" x14ac:dyDescent="0.25">
      <c r="B2154" s="192"/>
    </row>
    <row r="2155" spans="2:2" x14ac:dyDescent="0.25">
      <c r="B2155" s="192"/>
    </row>
    <row r="2156" spans="2:2" x14ac:dyDescent="0.25">
      <c r="B2156" s="192"/>
    </row>
    <row r="2157" spans="2:2" x14ac:dyDescent="0.25">
      <c r="B2157" s="192"/>
    </row>
    <row r="2158" spans="2:2" x14ac:dyDescent="0.25">
      <c r="B2158" s="192"/>
    </row>
    <row r="2159" spans="2:2" x14ac:dyDescent="0.25">
      <c r="B2159" s="192"/>
    </row>
    <row r="2160" spans="2:2" x14ac:dyDescent="0.25">
      <c r="B2160" s="192"/>
    </row>
    <row r="2161" spans="2:2" x14ac:dyDescent="0.25">
      <c r="B2161" s="192"/>
    </row>
    <row r="2162" spans="2:2" x14ac:dyDescent="0.25">
      <c r="B2162" s="192"/>
    </row>
    <row r="2163" spans="2:2" x14ac:dyDescent="0.25">
      <c r="B2163" s="192"/>
    </row>
    <row r="2164" spans="2:2" x14ac:dyDescent="0.25">
      <c r="B2164" s="192"/>
    </row>
    <row r="2165" spans="2:2" x14ac:dyDescent="0.25">
      <c r="B2165" s="192"/>
    </row>
    <row r="2166" spans="2:2" x14ac:dyDescent="0.25">
      <c r="B2166" s="192"/>
    </row>
    <row r="2167" spans="2:2" x14ac:dyDescent="0.25">
      <c r="B2167" s="192"/>
    </row>
    <row r="2168" spans="2:2" x14ac:dyDescent="0.25">
      <c r="B2168" s="192"/>
    </row>
    <row r="2169" spans="2:2" x14ac:dyDescent="0.25">
      <c r="B2169" s="192"/>
    </row>
    <row r="2170" spans="2:2" x14ac:dyDescent="0.25">
      <c r="B2170" s="192"/>
    </row>
    <row r="2171" spans="2:2" x14ac:dyDescent="0.25">
      <c r="B2171" s="192"/>
    </row>
    <row r="2172" spans="2:2" x14ac:dyDescent="0.25">
      <c r="B2172" s="192"/>
    </row>
    <row r="2173" spans="2:2" x14ac:dyDescent="0.25">
      <c r="B2173" s="192"/>
    </row>
    <row r="2174" spans="2:2" x14ac:dyDescent="0.25">
      <c r="B2174" s="192"/>
    </row>
    <row r="2175" spans="2:2" x14ac:dyDescent="0.25">
      <c r="B2175" s="192"/>
    </row>
    <row r="2176" spans="2:2" x14ac:dyDescent="0.25">
      <c r="B2176" s="192"/>
    </row>
    <row r="2177" spans="2:2" x14ac:dyDescent="0.25">
      <c r="B2177" s="192"/>
    </row>
    <row r="2178" spans="2:2" x14ac:dyDescent="0.25">
      <c r="B2178" s="192"/>
    </row>
    <row r="2179" spans="2:2" x14ac:dyDescent="0.25">
      <c r="B2179" s="192"/>
    </row>
    <row r="2180" spans="2:2" x14ac:dyDescent="0.25">
      <c r="B2180" s="192"/>
    </row>
    <row r="2181" spans="2:2" x14ac:dyDescent="0.25">
      <c r="B2181" s="192"/>
    </row>
    <row r="2182" spans="2:2" x14ac:dyDescent="0.25">
      <c r="B2182" s="192"/>
    </row>
    <row r="2183" spans="2:2" x14ac:dyDescent="0.25">
      <c r="B2183" s="192"/>
    </row>
    <row r="2184" spans="2:2" x14ac:dyDescent="0.25">
      <c r="B2184" s="192"/>
    </row>
    <row r="2185" spans="2:2" x14ac:dyDescent="0.25">
      <c r="B2185" s="192"/>
    </row>
    <row r="2186" spans="2:2" x14ac:dyDescent="0.25">
      <c r="B2186" s="192"/>
    </row>
    <row r="2187" spans="2:2" x14ac:dyDescent="0.25">
      <c r="B2187" s="192"/>
    </row>
    <row r="2188" spans="2:2" x14ac:dyDescent="0.25">
      <c r="B2188" s="192"/>
    </row>
    <row r="2189" spans="2:2" x14ac:dyDescent="0.25">
      <c r="B2189" s="192"/>
    </row>
    <row r="2190" spans="2:2" x14ac:dyDescent="0.25">
      <c r="B2190" s="192"/>
    </row>
    <row r="2191" spans="2:2" x14ac:dyDescent="0.25">
      <c r="B2191" s="192"/>
    </row>
    <row r="2192" spans="2:2" x14ac:dyDescent="0.25">
      <c r="B2192" s="192"/>
    </row>
    <row r="2193" spans="2:2" x14ac:dyDescent="0.25">
      <c r="B2193" s="192"/>
    </row>
    <row r="2194" spans="2:2" x14ac:dyDescent="0.25">
      <c r="B2194" s="192"/>
    </row>
    <row r="2195" spans="2:2" x14ac:dyDescent="0.25">
      <c r="B2195" s="192"/>
    </row>
    <row r="2196" spans="2:2" x14ac:dyDescent="0.25">
      <c r="B2196" s="192"/>
    </row>
    <row r="2197" spans="2:2" x14ac:dyDescent="0.25">
      <c r="B2197" s="192"/>
    </row>
    <row r="2198" spans="2:2" x14ac:dyDescent="0.25">
      <c r="B2198" s="192"/>
    </row>
    <row r="2199" spans="2:2" x14ac:dyDescent="0.25">
      <c r="B2199" s="192"/>
    </row>
    <row r="2200" spans="2:2" x14ac:dyDescent="0.25">
      <c r="B2200" s="192"/>
    </row>
    <row r="2201" spans="2:2" x14ac:dyDescent="0.25">
      <c r="B2201" s="192"/>
    </row>
    <row r="2202" spans="2:2" x14ac:dyDescent="0.25">
      <c r="B2202" s="192"/>
    </row>
    <row r="2203" spans="2:2" x14ac:dyDescent="0.25">
      <c r="B2203" s="192"/>
    </row>
    <row r="2204" spans="2:2" x14ac:dyDescent="0.25">
      <c r="B2204" s="192"/>
    </row>
    <row r="2205" spans="2:2" x14ac:dyDescent="0.25">
      <c r="B2205" s="192"/>
    </row>
    <row r="2206" spans="2:2" x14ac:dyDescent="0.25">
      <c r="B2206" s="192"/>
    </row>
    <row r="2207" spans="2:2" x14ac:dyDescent="0.25">
      <c r="B2207" s="192"/>
    </row>
    <row r="2208" spans="2:2" x14ac:dyDescent="0.25">
      <c r="B2208" s="192"/>
    </row>
    <row r="2209" spans="2:2" x14ac:dyDescent="0.25">
      <c r="B2209" s="192"/>
    </row>
    <row r="2210" spans="2:2" x14ac:dyDescent="0.25">
      <c r="B2210" s="192"/>
    </row>
    <row r="2211" spans="2:2" x14ac:dyDescent="0.25">
      <c r="B2211" s="192"/>
    </row>
    <row r="2212" spans="2:2" x14ac:dyDescent="0.25">
      <c r="B2212" s="192"/>
    </row>
    <row r="2213" spans="2:2" x14ac:dyDescent="0.25">
      <c r="B2213" s="192"/>
    </row>
    <row r="2214" spans="2:2" x14ac:dyDescent="0.25">
      <c r="B2214" s="192"/>
    </row>
    <row r="2215" spans="2:2" x14ac:dyDescent="0.25">
      <c r="B2215" s="192"/>
    </row>
    <row r="2216" spans="2:2" x14ac:dyDescent="0.25">
      <c r="B2216" s="192"/>
    </row>
    <row r="2217" spans="2:2" x14ac:dyDescent="0.25">
      <c r="B2217" s="192"/>
    </row>
    <row r="2218" spans="2:2" x14ac:dyDescent="0.25">
      <c r="B2218" s="192"/>
    </row>
    <row r="2219" spans="2:2" x14ac:dyDescent="0.25">
      <c r="B2219" s="192"/>
    </row>
    <row r="2220" spans="2:2" x14ac:dyDescent="0.25">
      <c r="B2220" s="192"/>
    </row>
    <row r="2221" spans="2:2" x14ac:dyDescent="0.25">
      <c r="B2221" s="192"/>
    </row>
    <row r="2222" spans="2:2" x14ac:dyDescent="0.25">
      <c r="B2222" s="192"/>
    </row>
    <row r="2223" spans="2:2" x14ac:dyDescent="0.25">
      <c r="B2223" s="192"/>
    </row>
    <row r="2224" spans="2:2" x14ac:dyDescent="0.25">
      <c r="B2224" s="192"/>
    </row>
    <row r="2225" spans="2:2" x14ac:dyDescent="0.25">
      <c r="B2225" s="192"/>
    </row>
    <row r="2226" spans="2:2" x14ac:dyDescent="0.25">
      <c r="B2226" s="192"/>
    </row>
    <row r="2227" spans="2:2" x14ac:dyDescent="0.25">
      <c r="B2227" s="192"/>
    </row>
    <row r="2228" spans="2:2" x14ac:dyDescent="0.25">
      <c r="B2228" s="192"/>
    </row>
    <row r="2229" spans="2:2" x14ac:dyDescent="0.25">
      <c r="B2229" s="192"/>
    </row>
    <row r="2230" spans="2:2" x14ac:dyDescent="0.25">
      <c r="B2230" s="192"/>
    </row>
    <row r="2231" spans="2:2" x14ac:dyDescent="0.25">
      <c r="B2231" s="192"/>
    </row>
    <row r="2232" spans="2:2" x14ac:dyDescent="0.25">
      <c r="B2232" s="192"/>
    </row>
    <row r="2233" spans="2:2" x14ac:dyDescent="0.25">
      <c r="B2233" s="192"/>
    </row>
    <row r="2234" spans="2:2" x14ac:dyDescent="0.25">
      <c r="B2234" s="192"/>
    </row>
    <row r="2235" spans="2:2" x14ac:dyDescent="0.25">
      <c r="B2235" s="192"/>
    </row>
    <row r="2236" spans="2:2" x14ac:dyDescent="0.25">
      <c r="B2236" s="192"/>
    </row>
    <row r="2237" spans="2:2" x14ac:dyDescent="0.25">
      <c r="B2237" s="192"/>
    </row>
    <row r="2238" spans="2:2" x14ac:dyDescent="0.25">
      <c r="B2238" s="192"/>
    </row>
    <row r="2239" spans="2:2" x14ac:dyDescent="0.25">
      <c r="B2239" s="192"/>
    </row>
    <row r="2240" spans="2:2" x14ac:dyDescent="0.25">
      <c r="B2240" s="192"/>
    </row>
    <row r="2241" spans="2:2" x14ac:dyDescent="0.25">
      <c r="B2241" s="192"/>
    </row>
    <row r="2242" spans="2:2" x14ac:dyDescent="0.25">
      <c r="B2242" s="192"/>
    </row>
    <row r="2243" spans="2:2" x14ac:dyDescent="0.25">
      <c r="B2243" s="192"/>
    </row>
    <row r="2244" spans="2:2" x14ac:dyDescent="0.25">
      <c r="B2244" s="192"/>
    </row>
    <row r="2245" spans="2:2" x14ac:dyDescent="0.25">
      <c r="B2245" s="192"/>
    </row>
    <row r="2246" spans="2:2" x14ac:dyDescent="0.25">
      <c r="B2246" s="192"/>
    </row>
    <row r="2247" spans="2:2" x14ac:dyDescent="0.25">
      <c r="B2247" s="192"/>
    </row>
    <row r="2248" spans="2:2" x14ac:dyDescent="0.25">
      <c r="B2248" s="192"/>
    </row>
    <row r="2249" spans="2:2" x14ac:dyDescent="0.25">
      <c r="B2249" s="192"/>
    </row>
    <row r="2250" spans="2:2" x14ac:dyDescent="0.25">
      <c r="B2250" s="192"/>
    </row>
    <row r="2251" spans="2:2" x14ac:dyDescent="0.25">
      <c r="B2251" s="192"/>
    </row>
    <row r="2252" spans="2:2" x14ac:dyDescent="0.25">
      <c r="B2252" s="192"/>
    </row>
    <row r="2253" spans="2:2" x14ac:dyDescent="0.25">
      <c r="B2253" s="192"/>
    </row>
    <row r="2254" spans="2:2" x14ac:dyDescent="0.25">
      <c r="B2254" s="192"/>
    </row>
    <row r="2255" spans="2:2" x14ac:dyDescent="0.25">
      <c r="B2255" s="192"/>
    </row>
    <row r="2256" spans="2:2" x14ac:dyDescent="0.25">
      <c r="B2256" s="192"/>
    </row>
    <row r="2257" spans="2:2" x14ac:dyDescent="0.25">
      <c r="B2257" s="192"/>
    </row>
    <row r="2258" spans="2:2" x14ac:dyDescent="0.25">
      <c r="B2258" s="192"/>
    </row>
    <row r="2259" spans="2:2" x14ac:dyDescent="0.25">
      <c r="B2259" s="192"/>
    </row>
    <row r="2260" spans="2:2" x14ac:dyDescent="0.25">
      <c r="B2260" s="192"/>
    </row>
    <row r="2261" spans="2:2" x14ac:dyDescent="0.25">
      <c r="B2261" s="192"/>
    </row>
    <row r="2262" spans="2:2" x14ac:dyDescent="0.25">
      <c r="B2262" s="192"/>
    </row>
    <row r="2263" spans="2:2" x14ac:dyDescent="0.25">
      <c r="B2263" s="192"/>
    </row>
    <row r="2264" spans="2:2" x14ac:dyDescent="0.25">
      <c r="B2264" s="192"/>
    </row>
    <row r="2265" spans="2:2" x14ac:dyDescent="0.25">
      <c r="B2265" s="192"/>
    </row>
    <row r="2266" spans="2:2" x14ac:dyDescent="0.25">
      <c r="B2266" s="192"/>
    </row>
    <row r="2267" spans="2:2" x14ac:dyDescent="0.25">
      <c r="B2267" s="192"/>
    </row>
    <row r="2268" spans="2:2" x14ac:dyDescent="0.25">
      <c r="B2268" s="192"/>
    </row>
    <row r="2269" spans="2:2" x14ac:dyDescent="0.25">
      <c r="B2269" s="192"/>
    </row>
    <row r="2270" spans="2:2" x14ac:dyDescent="0.25">
      <c r="B2270" s="192"/>
    </row>
    <row r="2271" spans="2:2" x14ac:dyDescent="0.25">
      <c r="B2271" s="192"/>
    </row>
    <row r="2272" spans="2:2" x14ac:dyDescent="0.25">
      <c r="B2272" s="192"/>
    </row>
    <row r="2273" spans="2:2" x14ac:dyDescent="0.25">
      <c r="B2273" s="192"/>
    </row>
    <row r="2274" spans="2:2" x14ac:dyDescent="0.25">
      <c r="B2274" s="192"/>
    </row>
    <row r="2275" spans="2:2" x14ac:dyDescent="0.25">
      <c r="B2275" s="192"/>
    </row>
    <row r="2276" spans="2:2" x14ac:dyDescent="0.25">
      <c r="B2276" s="192"/>
    </row>
    <row r="2277" spans="2:2" x14ac:dyDescent="0.25">
      <c r="B2277" s="192"/>
    </row>
    <row r="2278" spans="2:2" x14ac:dyDescent="0.25">
      <c r="B2278" s="192"/>
    </row>
    <row r="2279" spans="2:2" x14ac:dyDescent="0.25">
      <c r="B2279" s="192"/>
    </row>
    <row r="2280" spans="2:2" x14ac:dyDescent="0.25">
      <c r="B2280" s="192"/>
    </row>
    <row r="2281" spans="2:2" x14ac:dyDescent="0.25">
      <c r="B2281" s="192"/>
    </row>
    <row r="2282" spans="2:2" x14ac:dyDescent="0.25">
      <c r="B2282" s="192"/>
    </row>
    <row r="2283" spans="2:2" x14ac:dyDescent="0.25">
      <c r="B2283" s="192"/>
    </row>
    <row r="2284" spans="2:2" x14ac:dyDescent="0.25">
      <c r="B2284" s="192"/>
    </row>
    <row r="2285" spans="2:2" x14ac:dyDescent="0.25">
      <c r="B2285" s="192"/>
    </row>
    <row r="2286" spans="2:2" x14ac:dyDescent="0.25">
      <c r="B2286" s="192"/>
    </row>
    <row r="2287" spans="2:2" x14ac:dyDescent="0.25">
      <c r="B2287" s="192"/>
    </row>
    <row r="2288" spans="2:2" x14ac:dyDescent="0.25">
      <c r="B2288" s="192"/>
    </row>
    <row r="2289" spans="2:2" x14ac:dyDescent="0.25">
      <c r="B2289" s="192"/>
    </row>
    <row r="2290" spans="2:2" x14ac:dyDescent="0.25">
      <c r="B2290" s="192"/>
    </row>
    <row r="2291" spans="2:2" x14ac:dyDescent="0.25">
      <c r="B2291" s="192"/>
    </row>
    <row r="2292" spans="2:2" x14ac:dyDescent="0.25">
      <c r="B2292" s="192"/>
    </row>
    <row r="2293" spans="2:2" x14ac:dyDescent="0.25">
      <c r="B2293" s="192"/>
    </row>
    <row r="2294" spans="2:2" x14ac:dyDescent="0.25">
      <c r="B2294" s="192"/>
    </row>
    <row r="2295" spans="2:2" x14ac:dyDescent="0.25">
      <c r="B2295" s="192"/>
    </row>
    <row r="2296" spans="2:2" x14ac:dyDescent="0.25">
      <c r="B2296" s="192"/>
    </row>
    <row r="2297" spans="2:2" x14ac:dyDescent="0.25">
      <c r="B2297" s="192"/>
    </row>
    <row r="2298" spans="2:2" x14ac:dyDescent="0.25">
      <c r="B2298" s="192"/>
    </row>
    <row r="2299" spans="2:2" x14ac:dyDescent="0.25">
      <c r="B2299" s="192"/>
    </row>
    <row r="2300" spans="2:2" x14ac:dyDescent="0.25">
      <c r="B2300" s="192"/>
    </row>
    <row r="2301" spans="2:2" x14ac:dyDescent="0.25">
      <c r="B2301" s="192"/>
    </row>
    <row r="2302" spans="2:2" x14ac:dyDescent="0.25">
      <c r="B2302" s="192"/>
    </row>
    <row r="2303" spans="2:2" x14ac:dyDescent="0.25">
      <c r="B2303" s="192"/>
    </row>
    <row r="2304" spans="2:2" x14ac:dyDescent="0.25">
      <c r="B2304" s="192"/>
    </row>
    <row r="2305" spans="2:2" x14ac:dyDescent="0.25">
      <c r="B2305" s="192"/>
    </row>
    <row r="2306" spans="2:2" x14ac:dyDescent="0.25">
      <c r="B2306" s="192"/>
    </row>
    <row r="2307" spans="2:2" x14ac:dyDescent="0.25">
      <c r="B2307" s="192"/>
    </row>
    <row r="2308" spans="2:2" x14ac:dyDescent="0.25">
      <c r="B2308" s="192"/>
    </row>
    <row r="2309" spans="2:2" x14ac:dyDescent="0.25">
      <c r="B2309" s="192"/>
    </row>
    <row r="2310" spans="2:2" x14ac:dyDescent="0.25">
      <c r="B2310" s="192"/>
    </row>
    <row r="2311" spans="2:2" x14ac:dyDescent="0.25">
      <c r="B2311" s="192"/>
    </row>
    <row r="2312" spans="2:2" x14ac:dyDescent="0.25">
      <c r="B2312" s="192"/>
    </row>
    <row r="2313" spans="2:2" x14ac:dyDescent="0.25">
      <c r="B2313" s="192"/>
    </row>
    <row r="2314" spans="2:2" x14ac:dyDescent="0.25">
      <c r="B2314" s="192"/>
    </row>
    <row r="2315" spans="2:2" x14ac:dyDescent="0.25">
      <c r="B2315" s="192"/>
    </row>
    <row r="2316" spans="2:2" x14ac:dyDescent="0.25">
      <c r="B2316" s="192"/>
    </row>
    <row r="2317" spans="2:2" x14ac:dyDescent="0.25">
      <c r="B2317" s="192"/>
    </row>
    <row r="2318" spans="2:2" x14ac:dyDescent="0.25">
      <c r="B2318" s="192"/>
    </row>
    <row r="2319" spans="2:2" x14ac:dyDescent="0.25">
      <c r="B2319" s="192"/>
    </row>
    <row r="2320" spans="2:2" x14ac:dyDescent="0.25">
      <c r="B2320" s="192"/>
    </row>
    <row r="2321" spans="2:2" x14ac:dyDescent="0.25">
      <c r="B2321" s="192"/>
    </row>
    <row r="2322" spans="2:2" x14ac:dyDescent="0.25">
      <c r="B2322" s="192"/>
    </row>
    <row r="2323" spans="2:2" x14ac:dyDescent="0.25">
      <c r="B2323" s="192"/>
    </row>
    <row r="2324" spans="2:2" x14ac:dyDescent="0.25">
      <c r="B2324" s="192"/>
    </row>
    <row r="2325" spans="2:2" x14ac:dyDescent="0.25">
      <c r="B2325" s="192"/>
    </row>
    <row r="2326" spans="2:2" x14ac:dyDescent="0.25">
      <c r="B2326" s="192"/>
    </row>
    <row r="2327" spans="2:2" x14ac:dyDescent="0.25">
      <c r="B2327" s="192"/>
    </row>
    <row r="2328" spans="2:2" x14ac:dyDescent="0.25">
      <c r="B2328" s="192"/>
    </row>
    <row r="2329" spans="2:2" x14ac:dyDescent="0.25">
      <c r="B2329" s="192"/>
    </row>
    <row r="2330" spans="2:2" x14ac:dyDescent="0.25">
      <c r="B2330" s="192"/>
    </row>
    <row r="2331" spans="2:2" x14ac:dyDescent="0.25">
      <c r="B2331" s="192"/>
    </row>
    <row r="2332" spans="2:2" x14ac:dyDescent="0.25">
      <c r="B2332" s="192"/>
    </row>
    <row r="2333" spans="2:2" x14ac:dyDescent="0.25">
      <c r="B2333" s="192"/>
    </row>
    <row r="2334" spans="2:2" x14ac:dyDescent="0.25">
      <c r="B2334" s="192"/>
    </row>
    <row r="2335" spans="2:2" x14ac:dyDescent="0.25">
      <c r="B2335" s="192"/>
    </row>
    <row r="2336" spans="2:2" x14ac:dyDescent="0.25">
      <c r="B2336" s="192"/>
    </row>
    <row r="2337" spans="2:2" x14ac:dyDescent="0.25">
      <c r="B2337" s="192"/>
    </row>
    <row r="2338" spans="2:2" x14ac:dyDescent="0.25">
      <c r="B2338" s="192"/>
    </row>
    <row r="2339" spans="2:2" x14ac:dyDescent="0.25">
      <c r="B2339" s="192"/>
    </row>
    <row r="2340" spans="2:2" x14ac:dyDescent="0.25">
      <c r="B2340" s="192"/>
    </row>
    <row r="2341" spans="2:2" x14ac:dyDescent="0.25">
      <c r="B2341" s="192"/>
    </row>
    <row r="2342" spans="2:2" x14ac:dyDescent="0.25">
      <c r="B2342" s="192"/>
    </row>
    <row r="2343" spans="2:2" x14ac:dyDescent="0.25">
      <c r="B2343" s="192"/>
    </row>
    <row r="2344" spans="2:2" x14ac:dyDescent="0.25">
      <c r="B2344" s="192"/>
    </row>
    <row r="2345" spans="2:2" x14ac:dyDescent="0.25">
      <c r="B2345" s="192"/>
    </row>
    <row r="2346" spans="2:2" x14ac:dyDescent="0.25">
      <c r="B2346" s="192"/>
    </row>
    <row r="2347" spans="2:2" x14ac:dyDescent="0.25">
      <c r="B2347" s="192"/>
    </row>
    <row r="2348" spans="2:2" x14ac:dyDescent="0.25">
      <c r="B2348" s="192"/>
    </row>
    <row r="2349" spans="2:2" x14ac:dyDescent="0.25">
      <c r="B2349" s="192"/>
    </row>
    <row r="2350" spans="2:2" x14ac:dyDescent="0.25">
      <c r="B2350" s="192"/>
    </row>
    <row r="2351" spans="2:2" x14ac:dyDescent="0.25">
      <c r="B2351" s="192"/>
    </row>
    <row r="2352" spans="2:2" x14ac:dyDescent="0.25">
      <c r="B2352" s="192"/>
    </row>
    <row r="2353" spans="2:2" x14ac:dyDescent="0.25">
      <c r="B2353" s="192"/>
    </row>
    <row r="2354" spans="2:2" x14ac:dyDescent="0.25">
      <c r="B2354" s="192"/>
    </row>
    <row r="2355" spans="2:2" x14ac:dyDescent="0.25">
      <c r="B2355" s="192"/>
    </row>
    <row r="2356" spans="2:2" x14ac:dyDescent="0.25">
      <c r="B2356" s="192"/>
    </row>
    <row r="2357" spans="2:2" x14ac:dyDescent="0.25">
      <c r="B2357" s="192"/>
    </row>
    <row r="2358" spans="2:2" x14ac:dyDescent="0.25">
      <c r="B2358" s="192"/>
    </row>
    <row r="2359" spans="2:2" x14ac:dyDescent="0.25">
      <c r="B2359" s="192"/>
    </row>
    <row r="2360" spans="2:2" x14ac:dyDescent="0.25">
      <c r="B2360" s="192"/>
    </row>
    <row r="2361" spans="2:2" x14ac:dyDescent="0.25">
      <c r="B2361" s="192"/>
    </row>
    <row r="2362" spans="2:2" x14ac:dyDescent="0.25">
      <c r="B2362" s="192"/>
    </row>
    <row r="2363" spans="2:2" x14ac:dyDescent="0.25">
      <c r="B2363" s="192"/>
    </row>
    <row r="2364" spans="2:2" x14ac:dyDescent="0.25">
      <c r="B2364" s="192"/>
    </row>
    <row r="2365" spans="2:2" x14ac:dyDescent="0.25">
      <c r="B2365" s="192"/>
    </row>
    <row r="2366" spans="2:2" x14ac:dyDescent="0.25">
      <c r="B2366" s="192"/>
    </row>
    <row r="2367" spans="2:2" x14ac:dyDescent="0.25">
      <c r="B2367" s="192"/>
    </row>
    <row r="2368" spans="2:2" x14ac:dyDescent="0.25">
      <c r="B2368" s="192"/>
    </row>
    <row r="2369" spans="2:2" x14ac:dyDescent="0.25">
      <c r="B2369" s="192"/>
    </row>
    <row r="2370" spans="2:2" x14ac:dyDescent="0.25">
      <c r="B2370" s="192"/>
    </row>
    <row r="2371" spans="2:2" x14ac:dyDescent="0.25">
      <c r="B2371" s="192"/>
    </row>
    <row r="2372" spans="2:2" x14ac:dyDescent="0.25">
      <c r="B2372" s="192"/>
    </row>
    <row r="2373" spans="2:2" x14ac:dyDescent="0.25">
      <c r="B2373" s="192"/>
    </row>
    <row r="2374" spans="2:2" x14ac:dyDescent="0.25">
      <c r="B2374" s="192"/>
    </row>
    <row r="2375" spans="2:2" x14ac:dyDescent="0.25">
      <c r="B2375" s="192"/>
    </row>
    <row r="2376" spans="2:2" x14ac:dyDescent="0.25">
      <c r="B2376" s="192"/>
    </row>
    <row r="2377" spans="2:2" x14ac:dyDescent="0.25">
      <c r="B2377" s="192"/>
    </row>
    <row r="2378" spans="2:2" x14ac:dyDescent="0.25">
      <c r="B2378" s="192"/>
    </row>
    <row r="2379" spans="2:2" x14ac:dyDescent="0.25">
      <c r="B2379" s="192"/>
    </row>
    <row r="2380" spans="2:2" x14ac:dyDescent="0.25">
      <c r="B2380" s="192"/>
    </row>
    <row r="2381" spans="2:2" x14ac:dyDescent="0.25">
      <c r="B2381" s="192"/>
    </row>
    <row r="2382" spans="2:2" x14ac:dyDescent="0.25">
      <c r="B2382" s="192"/>
    </row>
    <row r="2383" spans="2:2" x14ac:dyDescent="0.25">
      <c r="B2383" s="192"/>
    </row>
    <row r="2384" spans="2:2" x14ac:dyDescent="0.25">
      <c r="B2384" s="192"/>
    </row>
    <row r="2385" spans="2:2" x14ac:dyDescent="0.25">
      <c r="B2385" s="192"/>
    </row>
    <row r="2386" spans="2:2" x14ac:dyDescent="0.25">
      <c r="B2386" s="192"/>
    </row>
    <row r="2387" spans="2:2" x14ac:dyDescent="0.25">
      <c r="B2387" s="192"/>
    </row>
    <row r="2388" spans="2:2" x14ac:dyDescent="0.25">
      <c r="B2388" s="192"/>
    </row>
    <row r="2389" spans="2:2" x14ac:dyDescent="0.25">
      <c r="B2389" s="192"/>
    </row>
    <row r="2390" spans="2:2" x14ac:dyDescent="0.25">
      <c r="B2390" s="192"/>
    </row>
    <row r="2391" spans="2:2" x14ac:dyDescent="0.25">
      <c r="B2391" s="192"/>
    </row>
    <row r="2392" spans="2:2" x14ac:dyDescent="0.25">
      <c r="B2392" s="192"/>
    </row>
    <row r="2393" spans="2:2" x14ac:dyDescent="0.25">
      <c r="B2393" s="192"/>
    </row>
    <row r="2394" spans="2:2" x14ac:dyDescent="0.25">
      <c r="B2394" s="192"/>
    </row>
    <row r="2395" spans="2:2" x14ac:dyDescent="0.25">
      <c r="B2395" s="192"/>
    </row>
    <row r="2396" spans="2:2" x14ac:dyDescent="0.25">
      <c r="B2396" s="192"/>
    </row>
    <row r="2397" spans="2:2" x14ac:dyDescent="0.25">
      <c r="B2397" s="192"/>
    </row>
    <row r="2398" spans="2:2" x14ac:dyDescent="0.25">
      <c r="B2398" s="192"/>
    </row>
    <row r="2399" spans="2:2" x14ac:dyDescent="0.25">
      <c r="B2399" s="192"/>
    </row>
    <row r="2400" spans="2:2" x14ac:dyDescent="0.25">
      <c r="B2400" s="192"/>
    </row>
    <row r="2401" spans="2:2" x14ac:dyDescent="0.25">
      <c r="B2401" s="192"/>
    </row>
    <row r="2402" spans="2:2" x14ac:dyDescent="0.25">
      <c r="B2402" s="192"/>
    </row>
    <row r="2403" spans="2:2" x14ac:dyDescent="0.25">
      <c r="B2403" s="192"/>
    </row>
    <row r="2404" spans="2:2" x14ac:dyDescent="0.25">
      <c r="B2404" s="192"/>
    </row>
    <row r="2405" spans="2:2" x14ac:dyDescent="0.25">
      <c r="B2405" s="192"/>
    </row>
    <row r="2406" spans="2:2" x14ac:dyDescent="0.25">
      <c r="B2406" s="192"/>
    </row>
    <row r="2407" spans="2:2" x14ac:dyDescent="0.25">
      <c r="B2407" s="192"/>
    </row>
    <row r="2408" spans="2:2" x14ac:dyDescent="0.25">
      <c r="B2408" s="192"/>
    </row>
    <row r="2409" spans="2:2" x14ac:dyDescent="0.25">
      <c r="B2409" s="192"/>
    </row>
    <row r="2410" spans="2:2" x14ac:dyDescent="0.25">
      <c r="B2410" s="192"/>
    </row>
    <row r="2411" spans="2:2" x14ac:dyDescent="0.25">
      <c r="B2411" s="192"/>
    </row>
    <row r="2412" spans="2:2" x14ac:dyDescent="0.25">
      <c r="B2412" s="192"/>
    </row>
    <row r="2413" spans="2:2" x14ac:dyDescent="0.25">
      <c r="B2413" s="192"/>
    </row>
    <row r="2414" spans="2:2" x14ac:dyDescent="0.25">
      <c r="B2414" s="192"/>
    </row>
    <row r="2415" spans="2:2" x14ac:dyDescent="0.25">
      <c r="B2415" s="192"/>
    </row>
    <row r="2416" spans="2:2" x14ac:dyDescent="0.25">
      <c r="B2416" s="192"/>
    </row>
    <row r="2417" spans="2:2" x14ac:dyDescent="0.25">
      <c r="B2417" s="192"/>
    </row>
    <row r="2418" spans="2:2" x14ac:dyDescent="0.25">
      <c r="B2418" s="192"/>
    </row>
    <row r="2419" spans="2:2" x14ac:dyDescent="0.25">
      <c r="B2419" s="192"/>
    </row>
    <row r="2420" spans="2:2" x14ac:dyDescent="0.25">
      <c r="B2420" s="192"/>
    </row>
    <row r="2421" spans="2:2" x14ac:dyDescent="0.25">
      <c r="B2421" s="192"/>
    </row>
    <row r="2422" spans="2:2" x14ac:dyDescent="0.25">
      <c r="B2422" s="192"/>
    </row>
    <row r="2423" spans="2:2" x14ac:dyDescent="0.25">
      <c r="B2423" s="192"/>
    </row>
    <row r="2424" spans="2:2" x14ac:dyDescent="0.25">
      <c r="B2424" s="192"/>
    </row>
    <row r="2425" spans="2:2" x14ac:dyDescent="0.25">
      <c r="B2425" s="192"/>
    </row>
    <row r="2426" spans="2:2" x14ac:dyDescent="0.25">
      <c r="B2426" s="192"/>
    </row>
    <row r="2427" spans="2:2" x14ac:dyDescent="0.25">
      <c r="B2427" s="192"/>
    </row>
    <row r="2428" spans="2:2" x14ac:dyDescent="0.25">
      <c r="B2428" s="192"/>
    </row>
    <row r="2429" spans="2:2" x14ac:dyDescent="0.25">
      <c r="B2429" s="192"/>
    </row>
    <row r="2430" spans="2:2" x14ac:dyDescent="0.25">
      <c r="B2430" s="192"/>
    </row>
    <row r="2431" spans="2:2" x14ac:dyDescent="0.25">
      <c r="B2431" s="192"/>
    </row>
    <row r="2432" spans="2:2" x14ac:dyDescent="0.25">
      <c r="B2432" s="192"/>
    </row>
    <row r="2433" spans="2:2" x14ac:dyDescent="0.25">
      <c r="B2433" s="192"/>
    </row>
    <row r="2434" spans="2:2" x14ac:dyDescent="0.25">
      <c r="B2434" s="192"/>
    </row>
    <row r="2435" spans="2:2" x14ac:dyDescent="0.25">
      <c r="B2435" s="192"/>
    </row>
    <row r="2436" spans="2:2" x14ac:dyDescent="0.25">
      <c r="B2436" s="192"/>
    </row>
    <row r="2437" spans="2:2" x14ac:dyDescent="0.25">
      <c r="B2437" s="192"/>
    </row>
    <row r="2438" spans="2:2" x14ac:dyDescent="0.25">
      <c r="B2438" s="192"/>
    </row>
    <row r="2439" spans="2:2" x14ac:dyDescent="0.25">
      <c r="B2439" s="192"/>
    </row>
    <row r="2440" spans="2:2" x14ac:dyDescent="0.25">
      <c r="B2440" s="192"/>
    </row>
    <row r="2441" spans="2:2" x14ac:dyDescent="0.25">
      <c r="B2441" s="192"/>
    </row>
    <row r="2442" spans="2:2" x14ac:dyDescent="0.25">
      <c r="B2442" s="192"/>
    </row>
    <row r="2443" spans="2:2" x14ac:dyDescent="0.25">
      <c r="B2443" s="192"/>
    </row>
    <row r="2444" spans="2:2" x14ac:dyDescent="0.25">
      <c r="B2444" s="192"/>
    </row>
    <row r="2445" spans="2:2" x14ac:dyDescent="0.25">
      <c r="B2445" s="192"/>
    </row>
    <row r="2446" spans="2:2" x14ac:dyDescent="0.25">
      <c r="B2446" s="192"/>
    </row>
    <row r="2447" spans="2:2" x14ac:dyDescent="0.25">
      <c r="B2447" s="192"/>
    </row>
    <row r="2448" spans="2:2" x14ac:dyDescent="0.25">
      <c r="B2448" s="192"/>
    </row>
    <row r="2449" spans="2:2" x14ac:dyDescent="0.25">
      <c r="B2449" s="192"/>
    </row>
    <row r="2450" spans="2:2" x14ac:dyDescent="0.25">
      <c r="B2450" s="192"/>
    </row>
    <row r="2451" spans="2:2" x14ac:dyDescent="0.25">
      <c r="B2451" s="192"/>
    </row>
    <row r="2452" spans="2:2" x14ac:dyDescent="0.25">
      <c r="B2452" s="192"/>
    </row>
    <row r="2453" spans="2:2" x14ac:dyDescent="0.25">
      <c r="B2453" s="192"/>
    </row>
    <row r="2454" spans="2:2" x14ac:dyDescent="0.25">
      <c r="B2454" s="192"/>
    </row>
    <row r="2455" spans="2:2" x14ac:dyDescent="0.25">
      <c r="B2455" s="192"/>
    </row>
    <row r="2456" spans="2:2" x14ac:dyDescent="0.25">
      <c r="B2456" s="192"/>
    </row>
    <row r="2457" spans="2:2" x14ac:dyDescent="0.25">
      <c r="B2457" s="192"/>
    </row>
    <row r="2458" spans="2:2" x14ac:dyDescent="0.25">
      <c r="B2458" s="192"/>
    </row>
    <row r="2459" spans="2:2" x14ac:dyDescent="0.25">
      <c r="B2459" s="192"/>
    </row>
    <row r="2460" spans="2:2" x14ac:dyDescent="0.25">
      <c r="B2460" s="192"/>
    </row>
    <row r="2461" spans="2:2" x14ac:dyDescent="0.25">
      <c r="B2461" s="192"/>
    </row>
    <row r="2462" spans="2:2" x14ac:dyDescent="0.25">
      <c r="B2462" s="192"/>
    </row>
    <row r="2463" spans="2:2" x14ac:dyDescent="0.25">
      <c r="B2463" s="192"/>
    </row>
    <row r="2464" spans="2:2" x14ac:dyDescent="0.25">
      <c r="B2464" s="192"/>
    </row>
    <row r="2465" spans="2:2" x14ac:dyDescent="0.25">
      <c r="B2465" s="192"/>
    </row>
    <row r="2466" spans="2:2" x14ac:dyDescent="0.25">
      <c r="B2466" s="192"/>
    </row>
    <row r="2467" spans="2:2" x14ac:dyDescent="0.25">
      <c r="B2467" s="192"/>
    </row>
    <row r="2468" spans="2:2" x14ac:dyDescent="0.25">
      <c r="B2468" s="192"/>
    </row>
    <row r="2469" spans="2:2" x14ac:dyDescent="0.25">
      <c r="B2469" s="192"/>
    </row>
    <row r="2470" spans="2:2" x14ac:dyDescent="0.25">
      <c r="B2470" s="192"/>
    </row>
    <row r="2471" spans="2:2" x14ac:dyDescent="0.25">
      <c r="B2471" s="192"/>
    </row>
    <row r="2472" spans="2:2" x14ac:dyDescent="0.25">
      <c r="B2472" s="192"/>
    </row>
    <row r="2473" spans="2:2" x14ac:dyDescent="0.25">
      <c r="B2473" s="192"/>
    </row>
    <row r="2474" spans="2:2" x14ac:dyDescent="0.25">
      <c r="B2474" s="192"/>
    </row>
    <row r="2475" spans="2:2" x14ac:dyDescent="0.25">
      <c r="B2475" s="192"/>
    </row>
    <row r="2476" spans="2:2" x14ac:dyDescent="0.25">
      <c r="B2476" s="192"/>
    </row>
    <row r="2477" spans="2:2" x14ac:dyDescent="0.25">
      <c r="B2477" s="192"/>
    </row>
    <row r="2478" spans="2:2" x14ac:dyDescent="0.25">
      <c r="B2478" s="192"/>
    </row>
    <row r="2479" spans="2:2" x14ac:dyDescent="0.25">
      <c r="B2479" s="192"/>
    </row>
    <row r="2480" spans="2:2" x14ac:dyDescent="0.25">
      <c r="B2480" s="192"/>
    </row>
    <row r="2481" spans="2:2" x14ac:dyDescent="0.25">
      <c r="B2481" s="192"/>
    </row>
    <row r="2482" spans="2:2" x14ac:dyDescent="0.25">
      <c r="B2482" s="192"/>
    </row>
    <row r="2483" spans="2:2" x14ac:dyDescent="0.25">
      <c r="B2483" s="192"/>
    </row>
    <row r="2484" spans="2:2" x14ac:dyDescent="0.25">
      <c r="B2484" s="192"/>
    </row>
    <row r="2485" spans="2:2" x14ac:dyDescent="0.25">
      <c r="B2485" s="192"/>
    </row>
    <row r="2486" spans="2:2" x14ac:dyDescent="0.25">
      <c r="B2486" s="192"/>
    </row>
    <row r="2487" spans="2:2" x14ac:dyDescent="0.25">
      <c r="B2487" s="192"/>
    </row>
    <row r="2488" spans="2:2" x14ac:dyDescent="0.25">
      <c r="B2488" s="192"/>
    </row>
    <row r="2489" spans="2:2" x14ac:dyDescent="0.25">
      <c r="B2489" s="192"/>
    </row>
    <row r="2490" spans="2:2" x14ac:dyDescent="0.25">
      <c r="B2490" s="192"/>
    </row>
    <row r="2491" spans="2:2" x14ac:dyDescent="0.25">
      <c r="B2491" s="192"/>
    </row>
    <row r="2492" spans="2:2" x14ac:dyDescent="0.25">
      <c r="B2492" s="192"/>
    </row>
    <row r="2493" spans="2:2" x14ac:dyDescent="0.25">
      <c r="B2493" s="192"/>
    </row>
    <row r="2494" spans="2:2" x14ac:dyDescent="0.25">
      <c r="B2494" s="192"/>
    </row>
    <row r="2495" spans="2:2" x14ac:dyDescent="0.25">
      <c r="B2495" s="192"/>
    </row>
    <row r="2496" spans="2:2" x14ac:dyDescent="0.25">
      <c r="B2496" s="192"/>
    </row>
    <row r="2497" spans="2:2" x14ac:dyDescent="0.25">
      <c r="B2497" s="192"/>
    </row>
    <row r="2498" spans="2:2" x14ac:dyDescent="0.25">
      <c r="B2498" s="192"/>
    </row>
    <row r="2499" spans="2:2" x14ac:dyDescent="0.25">
      <c r="B2499" s="192"/>
    </row>
    <row r="2500" spans="2:2" x14ac:dyDescent="0.25">
      <c r="B2500" s="192"/>
    </row>
    <row r="2501" spans="2:2" x14ac:dyDescent="0.25">
      <c r="B2501" s="192"/>
    </row>
    <row r="2502" spans="2:2" x14ac:dyDescent="0.25">
      <c r="B2502" s="192"/>
    </row>
    <row r="2503" spans="2:2" x14ac:dyDescent="0.25">
      <c r="B2503" s="192"/>
    </row>
    <row r="2504" spans="2:2" x14ac:dyDescent="0.25">
      <c r="B2504" s="192"/>
    </row>
    <row r="2505" spans="2:2" x14ac:dyDescent="0.25">
      <c r="B2505" s="192"/>
    </row>
    <row r="2506" spans="2:2" x14ac:dyDescent="0.25">
      <c r="B2506" s="192"/>
    </row>
    <row r="2507" spans="2:2" x14ac:dyDescent="0.25">
      <c r="B2507" s="192"/>
    </row>
    <row r="2508" spans="2:2" x14ac:dyDescent="0.25">
      <c r="B2508" s="192"/>
    </row>
    <row r="2509" spans="2:2" x14ac:dyDescent="0.25">
      <c r="B2509" s="192"/>
    </row>
    <row r="2510" spans="2:2" x14ac:dyDescent="0.25">
      <c r="B2510" s="192"/>
    </row>
    <row r="2511" spans="2:2" x14ac:dyDescent="0.25">
      <c r="B2511" s="192"/>
    </row>
    <row r="2512" spans="2:2" x14ac:dyDescent="0.25">
      <c r="B2512" s="192"/>
    </row>
    <row r="2513" spans="2:2" x14ac:dyDescent="0.25">
      <c r="B2513" s="192"/>
    </row>
    <row r="2514" spans="2:2" x14ac:dyDescent="0.25">
      <c r="B2514" s="192"/>
    </row>
    <row r="2515" spans="2:2" x14ac:dyDescent="0.25">
      <c r="B2515" s="192"/>
    </row>
    <row r="2516" spans="2:2" x14ac:dyDescent="0.25">
      <c r="B2516" s="192"/>
    </row>
    <row r="2517" spans="2:2" x14ac:dyDescent="0.25">
      <c r="B2517" s="192"/>
    </row>
    <row r="2518" spans="2:2" x14ac:dyDescent="0.25">
      <c r="B2518" s="192"/>
    </row>
    <row r="2519" spans="2:2" x14ac:dyDescent="0.25">
      <c r="B2519" s="192"/>
    </row>
    <row r="2520" spans="2:2" x14ac:dyDescent="0.25">
      <c r="B2520" s="192"/>
    </row>
    <row r="2521" spans="2:2" x14ac:dyDescent="0.25">
      <c r="B2521" s="192"/>
    </row>
    <row r="2522" spans="2:2" x14ac:dyDescent="0.25">
      <c r="B2522" s="192"/>
    </row>
    <row r="2523" spans="2:2" x14ac:dyDescent="0.25">
      <c r="B2523" s="192"/>
    </row>
    <row r="2524" spans="2:2" x14ac:dyDescent="0.25">
      <c r="B2524" s="192"/>
    </row>
    <row r="2525" spans="2:2" x14ac:dyDescent="0.25">
      <c r="B2525" s="192"/>
    </row>
    <row r="2526" spans="2:2" x14ac:dyDescent="0.25">
      <c r="B2526" s="192"/>
    </row>
    <row r="2527" spans="2:2" x14ac:dyDescent="0.25">
      <c r="B2527" s="192"/>
    </row>
    <row r="2528" spans="2:2" x14ac:dyDescent="0.25">
      <c r="B2528" s="192"/>
    </row>
    <row r="2529" spans="2:2" x14ac:dyDescent="0.25">
      <c r="B2529" s="192"/>
    </row>
    <row r="2530" spans="2:2" x14ac:dyDescent="0.25">
      <c r="B2530" s="192"/>
    </row>
    <row r="2531" spans="2:2" x14ac:dyDescent="0.25">
      <c r="B2531" s="192"/>
    </row>
    <row r="2532" spans="2:2" x14ac:dyDescent="0.25">
      <c r="B2532" s="192"/>
    </row>
    <row r="2533" spans="2:2" x14ac:dyDescent="0.25">
      <c r="B2533" s="192"/>
    </row>
    <row r="2534" spans="2:2" x14ac:dyDescent="0.25">
      <c r="B2534" s="192"/>
    </row>
    <row r="2535" spans="2:2" x14ac:dyDescent="0.25">
      <c r="B2535" s="192"/>
    </row>
    <row r="2536" spans="2:2" x14ac:dyDescent="0.25">
      <c r="B2536" s="192"/>
    </row>
    <row r="2537" spans="2:2" x14ac:dyDescent="0.25">
      <c r="B2537" s="192"/>
    </row>
    <row r="2538" spans="2:2" x14ac:dyDescent="0.25">
      <c r="B2538" s="192"/>
    </row>
    <row r="2539" spans="2:2" x14ac:dyDescent="0.25">
      <c r="B2539" s="192"/>
    </row>
    <row r="2540" spans="2:2" x14ac:dyDescent="0.25">
      <c r="B2540" s="192"/>
    </row>
    <row r="2541" spans="2:2" x14ac:dyDescent="0.25">
      <c r="B2541" s="192"/>
    </row>
    <row r="2542" spans="2:2" x14ac:dyDescent="0.25">
      <c r="B2542" s="192"/>
    </row>
    <row r="2543" spans="2:2" x14ac:dyDescent="0.25">
      <c r="B2543" s="192"/>
    </row>
    <row r="2544" spans="2:2" x14ac:dyDescent="0.25">
      <c r="B2544" s="192"/>
    </row>
    <row r="2545" spans="2:2" x14ac:dyDescent="0.25">
      <c r="B2545" s="192"/>
    </row>
    <row r="2546" spans="2:2" x14ac:dyDescent="0.25">
      <c r="B2546" s="192"/>
    </row>
    <row r="2547" spans="2:2" x14ac:dyDescent="0.25">
      <c r="B2547" s="192"/>
    </row>
    <row r="2548" spans="2:2" x14ac:dyDescent="0.25">
      <c r="B2548" s="192"/>
    </row>
    <row r="2549" spans="2:2" x14ac:dyDescent="0.25">
      <c r="B2549" s="192"/>
    </row>
    <row r="2550" spans="2:2" x14ac:dyDescent="0.25">
      <c r="B2550" s="192"/>
    </row>
    <row r="2551" spans="2:2" x14ac:dyDescent="0.25">
      <c r="B2551" s="192"/>
    </row>
    <row r="2552" spans="2:2" x14ac:dyDescent="0.25">
      <c r="B2552" s="192"/>
    </row>
    <row r="2553" spans="2:2" x14ac:dyDescent="0.25">
      <c r="B2553" s="192"/>
    </row>
    <row r="2554" spans="2:2" x14ac:dyDescent="0.25">
      <c r="B2554" s="192"/>
    </row>
    <row r="2555" spans="2:2" x14ac:dyDescent="0.25">
      <c r="B2555" s="192"/>
    </row>
    <row r="2556" spans="2:2" x14ac:dyDescent="0.25">
      <c r="B2556" s="192"/>
    </row>
    <row r="2557" spans="2:2" x14ac:dyDescent="0.25">
      <c r="B2557" s="192"/>
    </row>
    <row r="2558" spans="2:2" x14ac:dyDescent="0.25">
      <c r="B2558" s="192"/>
    </row>
    <row r="2559" spans="2:2" x14ac:dyDescent="0.25">
      <c r="B2559" s="192"/>
    </row>
    <row r="2560" spans="2:2" x14ac:dyDescent="0.25">
      <c r="B2560" s="192"/>
    </row>
    <row r="2561" spans="2:2" x14ac:dyDescent="0.25">
      <c r="B2561" s="192"/>
    </row>
    <row r="2562" spans="2:2" x14ac:dyDescent="0.25">
      <c r="B2562" s="192"/>
    </row>
    <row r="2563" spans="2:2" x14ac:dyDescent="0.25">
      <c r="B2563" s="192"/>
    </row>
    <row r="2564" spans="2:2" x14ac:dyDescent="0.25">
      <c r="B2564" s="192"/>
    </row>
    <row r="2565" spans="2:2" x14ac:dyDescent="0.25">
      <c r="B2565" s="192"/>
    </row>
    <row r="2566" spans="2:2" x14ac:dyDescent="0.25">
      <c r="B2566" s="192"/>
    </row>
    <row r="2567" spans="2:2" x14ac:dyDescent="0.25">
      <c r="B2567" s="192"/>
    </row>
    <row r="2568" spans="2:2" x14ac:dyDescent="0.25">
      <c r="B2568" s="192"/>
    </row>
    <row r="2569" spans="2:2" x14ac:dyDescent="0.25">
      <c r="B2569" s="192"/>
    </row>
    <row r="2570" spans="2:2" x14ac:dyDescent="0.25">
      <c r="B2570" s="192"/>
    </row>
    <row r="2571" spans="2:2" x14ac:dyDescent="0.25">
      <c r="B2571" s="192"/>
    </row>
    <row r="2572" spans="2:2" x14ac:dyDescent="0.25">
      <c r="B2572" s="192"/>
    </row>
    <row r="2573" spans="2:2" x14ac:dyDescent="0.25">
      <c r="B2573" s="192"/>
    </row>
    <row r="2574" spans="2:2" x14ac:dyDescent="0.25">
      <c r="B2574" s="192"/>
    </row>
    <row r="2575" spans="2:2" x14ac:dyDescent="0.25">
      <c r="B2575" s="192"/>
    </row>
    <row r="2576" spans="2:2" x14ac:dyDescent="0.25">
      <c r="B2576" s="192"/>
    </row>
    <row r="2577" spans="2:2" x14ac:dyDescent="0.25">
      <c r="B2577" s="192"/>
    </row>
    <row r="2578" spans="2:2" x14ac:dyDescent="0.25">
      <c r="B2578" s="192"/>
    </row>
    <row r="2579" spans="2:2" x14ac:dyDescent="0.25">
      <c r="B2579" s="192"/>
    </row>
    <row r="2580" spans="2:2" x14ac:dyDescent="0.25">
      <c r="B2580" s="192"/>
    </row>
    <row r="2581" spans="2:2" x14ac:dyDescent="0.25">
      <c r="B2581" s="192"/>
    </row>
    <row r="2582" spans="2:2" x14ac:dyDescent="0.25">
      <c r="B2582" s="192"/>
    </row>
    <row r="2583" spans="2:2" x14ac:dyDescent="0.25">
      <c r="B2583" s="192"/>
    </row>
    <row r="2584" spans="2:2" x14ac:dyDescent="0.25">
      <c r="B2584" s="192"/>
    </row>
    <row r="2585" spans="2:2" x14ac:dyDescent="0.25">
      <c r="B2585" s="192"/>
    </row>
    <row r="2586" spans="2:2" x14ac:dyDescent="0.25">
      <c r="B2586" s="192"/>
    </row>
    <row r="2587" spans="2:2" x14ac:dyDescent="0.25">
      <c r="B2587" s="192"/>
    </row>
    <row r="2588" spans="2:2" x14ac:dyDescent="0.25">
      <c r="B2588" s="192"/>
    </row>
    <row r="2589" spans="2:2" x14ac:dyDescent="0.25">
      <c r="B2589" s="192"/>
    </row>
    <row r="2590" spans="2:2" x14ac:dyDescent="0.25">
      <c r="B2590" s="192"/>
    </row>
    <row r="2591" spans="2:2" x14ac:dyDescent="0.25">
      <c r="B2591" s="192"/>
    </row>
    <row r="2592" spans="2:2" x14ac:dyDescent="0.25">
      <c r="B2592" s="192"/>
    </row>
    <row r="2593" spans="2:2" x14ac:dyDescent="0.25">
      <c r="B2593" s="192"/>
    </row>
    <row r="2594" spans="2:2" x14ac:dyDescent="0.25">
      <c r="B2594" s="192"/>
    </row>
    <row r="2595" spans="2:2" x14ac:dyDescent="0.25">
      <c r="B2595" s="192"/>
    </row>
    <row r="2596" spans="2:2" x14ac:dyDescent="0.25">
      <c r="B2596" s="192"/>
    </row>
    <row r="2597" spans="2:2" x14ac:dyDescent="0.25">
      <c r="B2597" s="192"/>
    </row>
    <row r="2598" spans="2:2" x14ac:dyDescent="0.25">
      <c r="B2598" s="192"/>
    </row>
    <row r="2599" spans="2:2" x14ac:dyDescent="0.25">
      <c r="B2599" s="192"/>
    </row>
    <row r="2600" spans="2:2" x14ac:dyDescent="0.25">
      <c r="B2600" s="192"/>
    </row>
    <row r="2601" spans="2:2" x14ac:dyDescent="0.25">
      <c r="B2601" s="192"/>
    </row>
    <row r="2602" spans="2:2" x14ac:dyDescent="0.25">
      <c r="B2602" s="192"/>
    </row>
    <row r="2603" spans="2:2" x14ac:dyDescent="0.25">
      <c r="B2603" s="192"/>
    </row>
    <row r="2604" spans="2:2" x14ac:dyDescent="0.25">
      <c r="B2604" s="192"/>
    </row>
    <row r="2605" spans="2:2" x14ac:dyDescent="0.25">
      <c r="B2605" s="192"/>
    </row>
    <row r="2606" spans="2:2" x14ac:dyDescent="0.25">
      <c r="B2606" s="192"/>
    </row>
    <row r="2607" spans="2:2" x14ac:dyDescent="0.25">
      <c r="B2607" s="192"/>
    </row>
    <row r="2608" spans="2:2" x14ac:dyDescent="0.25">
      <c r="B2608" s="192"/>
    </row>
    <row r="2609" spans="2:2" x14ac:dyDescent="0.25">
      <c r="B2609" s="192"/>
    </row>
    <row r="2610" spans="2:2" x14ac:dyDescent="0.25">
      <c r="B2610" s="192"/>
    </row>
    <row r="2611" spans="2:2" x14ac:dyDescent="0.25">
      <c r="B2611" s="192"/>
    </row>
    <row r="2612" spans="2:2" x14ac:dyDescent="0.25">
      <c r="B2612" s="192"/>
    </row>
    <row r="2613" spans="2:2" x14ac:dyDescent="0.25">
      <c r="B2613" s="192"/>
    </row>
    <row r="2614" spans="2:2" x14ac:dyDescent="0.25">
      <c r="B2614" s="192"/>
    </row>
    <row r="2615" spans="2:2" x14ac:dyDescent="0.25">
      <c r="B2615" s="192"/>
    </row>
    <row r="2616" spans="2:2" x14ac:dyDescent="0.25">
      <c r="B2616" s="192"/>
    </row>
    <row r="2617" spans="2:2" x14ac:dyDescent="0.25">
      <c r="B2617" s="192"/>
    </row>
    <row r="2618" spans="2:2" x14ac:dyDescent="0.25">
      <c r="B2618" s="192"/>
    </row>
    <row r="2619" spans="2:2" x14ac:dyDescent="0.25">
      <c r="B2619" s="192"/>
    </row>
    <row r="2620" spans="2:2" x14ac:dyDescent="0.25">
      <c r="B2620" s="192"/>
    </row>
    <row r="2621" spans="2:2" x14ac:dyDescent="0.25">
      <c r="B2621" s="192"/>
    </row>
    <row r="2622" spans="2:2" x14ac:dyDescent="0.25">
      <c r="B2622" s="192"/>
    </row>
    <row r="2623" spans="2:2" x14ac:dyDescent="0.25">
      <c r="B2623" s="192"/>
    </row>
    <row r="2624" spans="2:2" x14ac:dyDescent="0.25">
      <c r="B2624" s="192"/>
    </row>
    <row r="2625" spans="2:2" x14ac:dyDescent="0.25">
      <c r="B2625" s="192"/>
    </row>
    <row r="2626" spans="2:2" x14ac:dyDescent="0.25">
      <c r="B2626" s="192"/>
    </row>
    <row r="2627" spans="2:2" x14ac:dyDescent="0.25">
      <c r="B2627" s="192"/>
    </row>
    <row r="2628" spans="2:2" x14ac:dyDescent="0.25">
      <c r="B2628" s="192"/>
    </row>
    <row r="2629" spans="2:2" x14ac:dyDescent="0.25">
      <c r="B2629" s="192"/>
    </row>
    <row r="2630" spans="2:2" x14ac:dyDescent="0.25">
      <c r="B2630" s="192"/>
    </row>
    <row r="2631" spans="2:2" x14ac:dyDescent="0.25">
      <c r="B2631" s="192"/>
    </row>
    <row r="2632" spans="2:2" x14ac:dyDescent="0.25">
      <c r="B2632" s="192"/>
    </row>
    <row r="2633" spans="2:2" x14ac:dyDescent="0.25">
      <c r="B2633" s="192"/>
    </row>
    <row r="2634" spans="2:2" x14ac:dyDescent="0.25">
      <c r="B2634" s="192"/>
    </row>
    <row r="2635" spans="2:2" x14ac:dyDescent="0.25">
      <c r="B2635" s="192"/>
    </row>
    <row r="2636" spans="2:2" x14ac:dyDescent="0.25">
      <c r="B2636" s="192"/>
    </row>
    <row r="2637" spans="2:2" x14ac:dyDescent="0.25">
      <c r="B2637" s="192"/>
    </row>
    <row r="2638" spans="2:2" x14ac:dyDescent="0.25">
      <c r="B2638" s="192"/>
    </row>
    <row r="2639" spans="2:2" x14ac:dyDescent="0.25">
      <c r="B2639" s="192"/>
    </row>
    <row r="2640" spans="2:2" x14ac:dyDescent="0.25">
      <c r="B2640" s="192"/>
    </row>
    <row r="2641" spans="2:2" x14ac:dyDescent="0.25">
      <c r="B2641" s="192"/>
    </row>
    <row r="2642" spans="2:2" x14ac:dyDescent="0.25">
      <c r="B2642" s="192"/>
    </row>
    <row r="2643" spans="2:2" x14ac:dyDescent="0.25">
      <c r="B2643" s="192"/>
    </row>
    <row r="2644" spans="2:2" x14ac:dyDescent="0.25">
      <c r="B2644" s="192"/>
    </row>
    <row r="2645" spans="2:2" x14ac:dyDescent="0.25">
      <c r="B2645" s="192"/>
    </row>
    <row r="2646" spans="2:2" x14ac:dyDescent="0.25">
      <c r="B2646" s="192"/>
    </row>
    <row r="2647" spans="2:2" x14ac:dyDescent="0.25">
      <c r="B2647" s="192"/>
    </row>
    <row r="2648" spans="2:2" x14ac:dyDescent="0.25">
      <c r="B2648" s="192"/>
    </row>
    <row r="2649" spans="2:2" x14ac:dyDescent="0.25">
      <c r="B2649" s="192"/>
    </row>
    <row r="2650" spans="2:2" x14ac:dyDescent="0.25">
      <c r="B2650" s="192"/>
    </row>
    <row r="2651" spans="2:2" x14ac:dyDescent="0.25">
      <c r="B2651" s="192"/>
    </row>
    <row r="2652" spans="2:2" x14ac:dyDescent="0.25">
      <c r="B2652" s="192"/>
    </row>
    <row r="2653" spans="2:2" x14ac:dyDescent="0.25">
      <c r="B2653" s="192"/>
    </row>
    <row r="2654" spans="2:2" x14ac:dyDescent="0.25">
      <c r="B2654" s="192"/>
    </row>
    <row r="2655" spans="2:2" x14ac:dyDescent="0.25">
      <c r="B2655" s="192"/>
    </row>
    <row r="2656" spans="2:2" x14ac:dyDescent="0.25">
      <c r="B2656" s="192"/>
    </row>
    <row r="2657" spans="2:2" x14ac:dyDescent="0.25">
      <c r="B2657" s="192"/>
    </row>
    <row r="2658" spans="2:2" x14ac:dyDescent="0.25">
      <c r="B2658" s="192"/>
    </row>
    <row r="2659" spans="2:2" x14ac:dyDescent="0.25">
      <c r="B2659" s="192"/>
    </row>
    <row r="2660" spans="2:2" x14ac:dyDescent="0.25">
      <c r="B2660" s="192"/>
    </row>
    <row r="2661" spans="2:2" x14ac:dyDescent="0.25">
      <c r="B2661" s="192"/>
    </row>
    <row r="2662" spans="2:2" x14ac:dyDescent="0.25">
      <c r="B2662" s="192"/>
    </row>
    <row r="2663" spans="2:2" x14ac:dyDescent="0.25">
      <c r="B2663" s="192"/>
    </row>
    <row r="2664" spans="2:2" x14ac:dyDescent="0.25">
      <c r="B2664" s="192"/>
    </row>
    <row r="2665" spans="2:2" x14ac:dyDescent="0.25">
      <c r="B2665" s="192"/>
    </row>
    <row r="2666" spans="2:2" x14ac:dyDescent="0.25">
      <c r="B2666" s="192"/>
    </row>
    <row r="2667" spans="2:2" x14ac:dyDescent="0.25">
      <c r="B2667" s="192"/>
    </row>
    <row r="2668" spans="2:2" x14ac:dyDescent="0.25">
      <c r="B2668" s="192"/>
    </row>
    <row r="2669" spans="2:2" x14ac:dyDescent="0.25">
      <c r="B2669" s="192"/>
    </row>
    <row r="2670" spans="2:2" x14ac:dyDescent="0.25">
      <c r="B2670" s="192"/>
    </row>
    <row r="2671" spans="2:2" x14ac:dyDescent="0.25">
      <c r="B2671" s="192"/>
    </row>
    <row r="2672" spans="2:2" x14ac:dyDescent="0.25">
      <c r="B2672" s="192"/>
    </row>
    <row r="2673" spans="2:2" x14ac:dyDescent="0.25">
      <c r="B2673" s="192"/>
    </row>
    <row r="2674" spans="2:2" x14ac:dyDescent="0.25">
      <c r="B2674" s="192"/>
    </row>
    <row r="2675" spans="2:2" x14ac:dyDescent="0.25">
      <c r="B2675" s="192"/>
    </row>
    <row r="2676" spans="2:2" x14ac:dyDescent="0.25">
      <c r="B2676" s="192"/>
    </row>
    <row r="2677" spans="2:2" x14ac:dyDescent="0.25">
      <c r="B2677" s="192"/>
    </row>
    <row r="2678" spans="2:2" x14ac:dyDescent="0.25">
      <c r="B2678" s="192"/>
    </row>
    <row r="2679" spans="2:2" x14ac:dyDescent="0.25">
      <c r="B2679" s="192"/>
    </row>
    <row r="2680" spans="2:2" x14ac:dyDescent="0.25">
      <c r="B2680" s="192"/>
    </row>
    <row r="2681" spans="2:2" x14ac:dyDescent="0.25">
      <c r="B2681" s="192"/>
    </row>
    <row r="2682" spans="2:2" x14ac:dyDescent="0.25">
      <c r="B2682" s="192"/>
    </row>
    <row r="2683" spans="2:2" x14ac:dyDescent="0.25">
      <c r="B2683" s="192"/>
    </row>
    <row r="2684" spans="2:2" x14ac:dyDescent="0.25">
      <c r="B2684" s="192"/>
    </row>
    <row r="2685" spans="2:2" x14ac:dyDescent="0.25">
      <c r="B2685" s="192"/>
    </row>
    <row r="2686" spans="2:2" x14ac:dyDescent="0.25">
      <c r="B2686" s="192"/>
    </row>
    <row r="2687" spans="2:2" x14ac:dyDescent="0.25">
      <c r="B2687" s="192"/>
    </row>
    <row r="2688" spans="2:2" x14ac:dyDescent="0.25">
      <c r="B2688" s="192"/>
    </row>
    <row r="2689" spans="2:2" x14ac:dyDescent="0.25">
      <c r="B2689" s="192"/>
    </row>
    <row r="2690" spans="2:2" x14ac:dyDescent="0.25">
      <c r="B2690" s="192"/>
    </row>
    <row r="2691" spans="2:2" x14ac:dyDescent="0.25">
      <c r="B2691" s="192"/>
    </row>
    <row r="2692" spans="2:2" x14ac:dyDescent="0.25">
      <c r="B2692" s="192"/>
    </row>
    <row r="2693" spans="2:2" x14ac:dyDescent="0.25">
      <c r="B2693" s="192"/>
    </row>
    <row r="2694" spans="2:2" x14ac:dyDescent="0.25">
      <c r="B2694" s="192"/>
    </row>
    <row r="2695" spans="2:2" x14ac:dyDescent="0.25">
      <c r="B2695" s="192"/>
    </row>
    <row r="2696" spans="2:2" x14ac:dyDescent="0.25">
      <c r="B2696" s="192"/>
    </row>
    <row r="2697" spans="2:2" x14ac:dyDescent="0.25">
      <c r="B2697" s="192"/>
    </row>
    <row r="2698" spans="2:2" x14ac:dyDescent="0.25">
      <c r="B2698" s="192"/>
    </row>
    <row r="2699" spans="2:2" x14ac:dyDescent="0.25">
      <c r="B2699" s="192"/>
    </row>
    <row r="2700" spans="2:2" x14ac:dyDescent="0.25">
      <c r="B2700" s="192"/>
    </row>
    <row r="2701" spans="2:2" x14ac:dyDescent="0.25">
      <c r="B2701" s="192"/>
    </row>
    <row r="2702" spans="2:2" x14ac:dyDescent="0.25">
      <c r="B2702" s="192"/>
    </row>
    <row r="2703" spans="2:2" x14ac:dyDescent="0.25">
      <c r="B2703" s="192"/>
    </row>
    <row r="2704" spans="2:2" x14ac:dyDescent="0.25">
      <c r="B2704" s="192"/>
    </row>
    <row r="2705" spans="2:2" x14ac:dyDescent="0.25">
      <c r="B2705" s="192"/>
    </row>
    <row r="2706" spans="2:2" x14ac:dyDescent="0.25">
      <c r="B2706" s="192"/>
    </row>
    <row r="2707" spans="2:2" x14ac:dyDescent="0.25">
      <c r="B2707" s="192"/>
    </row>
    <row r="2708" spans="2:2" x14ac:dyDescent="0.25">
      <c r="B2708" s="192"/>
    </row>
    <row r="2709" spans="2:2" x14ac:dyDescent="0.25">
      <c r="B2709" s="192"/>
    </row>
    <row r="2710" spans="2:2" x14ac:dyDescent="0.25">
      <c r="B2710" s="192"/>
    </row>
    <row r="2711" spans="2:2" x14ac:dyDescent="0.25">
      <c r="B2711" s="192"/>
    </row>
    <row r="2712" spans="2:2" x14ac:dyDescent="0.25">
      <c r="B2712" s="192"/>
    </row>
    <row r="2713" spans="2:2" x14ac:dyDescent="0.25">
      <c r="B2713" s="192"/>
    </row>
    <row r="2714" spans="2:2" x14ac:dyDescent="0.25">
      <c r="B2714" s="192"/>
    </row>
    <row r="2715" spans="2:2" x14ac:dyDescent="0.25">
      <c r="B2715" s="192"/>
    </row>
    <row r="2716" spans="2:2" x14ac:dyDescent="0.25">
      <c r="B2716" s="192"/>
    </row>
    <row r="2717" spans="2:2" x14ac:dyDescent="0.25">
      <c r="B2717" s="192"/>
    </row>
    <row r="2718" spans="2:2" x14ac:dyDescent="0.25">
      <c r="B2718" s="192"/>
    </row>
    <row r="2719" spans="2:2" x14ac:dyDescent="0.25">
      <c r="B2719" s="192"/>
    </row>
    <row r="2720" spans="2:2" x14ac:dyDescent="0.25">
      <c r="B2720" s="192"/>
    </row>
    <row r="2721" spans="2:2" x14ac:dyDescent="0.25">
      <c r="B2721" s="192"/>
    </row>
    <row r="2722" spans="2:2" x14ac:dyDescent="0.25">
      <c r="B2722" s="192"/>
    </row>
    <row r="2723" spans="2:2" x14ac:dyDescent="0.25">
      <c r="B2723" s="192"/>
    </row>
    <row r="2724" spans="2:2" x14ac:dyDescent="0.25">
      <c r="B2724" s="192"/>
    </row>
    <row r="2725" spans="2:2" x14ac:dyDescent="0.25">
      <c r="B2725" s="192"/>
    </row>
    <row r="2726" spans="2:2" x14ac:dyDescent="0.25">
      <c r="B2726" s="192"/>
    </row>
    <row r="2727" spans="2:2" x14ac:dyDescent="0.25">
      <c r="B2727" s="192"/>
    </row>
    <row r="2728" spans="2:2" x14ac:dyDescent="0.25">
      <c r="B2728" s="192"/>
    </row>
    <row r="2729" spans="2:2" x14ac:dyDescent="0.25">
      <c r="B2729" s="192"/>
    </row>
    <row r="2730" spans="2:2" x14ac:dyDescent="0.25">
      <c r="B2730" s="192"/>
    </row>
    <row r="2731" spans="2:2" x14ac:dyDescent="0.25">
      <c r="B2731" s="192"/>
    </row>
    <row r="2732" spans="2:2" x14ac:dyDescent="0.25">
      <c r="B2732" s="192"/>
    </row>
    <row r="2733" spans="2:2" x14ac:dyDescent="0.25">
      <c r="B2733" s="192"/>
    </row>
    <row r="2734" spans="2:2" x14ac:dyDescent="0.25">
      <c r="B2734" s="192"/>
    </row>
    <row r="2735" spans="2:2" x14ac:dyDescent="0.25">
      <c r="B2735" s="192"/>
    </row>
    <row r="2736" spans="2:2" x14ac:dyDescent="0.25">
      <c r="B2736" s="192"/>
    </row>
    <row r="2737" spans="2:2" x14ac:dyDescent="0.25">
      <c r="B2737" s="192"/>
    </row>
    <row r="2738" spans="2:2" x14ac:dyDescent="0.25">
      <c r="B2738" s="192"/>
    </row>
    <row r="2739" spans="2:2" x14ac:dyDescent="0.25">
      <c r="B2739" s="192"/>
    </row>
    <row r="2740" spans="2:2" x14ac:dyDescent="0.25">
      <c r="B2740" s="192"/>
    </row>
    <row r="2741" spans="2:2" x14ac:dyDescent="0.25">
      <c r="B2741" s="192"/>
    </row>
    <row r="2742" spans="2:2" x14ac:dyDescent="0.25">
      <c r="B2742" s="192"/>
    </row>
    <row r="2743" spans="2:2" x14ac:dyDescent="0.25">
      <c r="B2743" s="192"/>
    </row>
    <row r="2744" spans="2:2" x14ac:dyDescent="0.25">
      <c r="B2744" s="192"/>
    </row>
    <row r="2745" spans="2:2" x14ac:dyDescent="0.25">
      <c r="B2745" s="192"/>
    </row>
    <row r="2746" spans="2:2" x14ac:dyDescent="0.25">
      <c r="B2746" s="192"/>
    </row>
    <row r="2747" spans="2:2" x14ac:dyDescent="0.25">
      <c r="B2747" s="192"/>
    </row>
    <row r="2748" spans="2:2" x14ac:dyDescent="0.25">
      <c r="B2748" s="192"/>
    </row>
    <row r="2749" spans="2:2" x14ac:dyDescent="0.25">
      <c r="B2749" s="192"/>
    </row>
    <row r="2750" spans="2:2" x14ac:dyDescent="0.25">
      <c r="B2750" s="192"/>
    </row>
    <row r="2751" spans="2:2" x14ac:dyDescent="0.25">
      <c r="B2751" s="192"/>
    </row>
    <row r="2752" spans="2:2" x14ac:dyDescent="0.25">
      <c r="B2752" s="192"/>
    </row>
    <row r="2753" spans="2:2" x14ac:dyDescent="0.25">
      <c r="B2753" s="192"/>
    </row>
    <row r="2754" spans="2:2" x14ac:dyDescent="0.25">
      <c r="B2754" s="192"/>
    </row>
    <row r="2755" spans="2:2" x14ac:dyDescent="0.25">
      <c r="B2755" s="192"/>
    </row>
    <row r="2756" spans="2:2" x14ac:dyDescent="0.25">
      <c r="B2756" s="192"/>
    </row>
    <row r="2757" spans="2:2" x14ac:dyDescent="0.25">
      <c r="B2757" s="192"/>
    </row>
    <row r="2758" spans="2:2" x14ac:dyDescent="0.25">
      <c r="B2758" s="192"/>
    </row>
    <row r="2759" spans="2:2" x14ac:dyDescent="0.25">
      <c r="B2759" s="192"/>
    </row>
    <row r="2760" spans="2:2" x14ac:dyDescent="0.25">
      <c r="B2760" s="192"/>
    </row>
    <row r="2761" spans="2:2" x14ac:dyDescent="0.25">
      <c r="B2761" s="192"/>
    </row>
    <row r="2762" spans="2:2" x14ac:dyDescent="0.25">
      <c r="B2762" s="192"/>
    </row>
    <row r="2763" spans="2:2" x14ac:dyDescent="0.25">
      <c r="B2763" s="192"/>
    </row>
    <row r="2764" spans="2:2" x14ac:dyDescent="0.25">
      <c r="B2764" s="192"/>
    </row>
    <row r="2765" spans="2:2" x14ac:dyDescent="0.25">
      <c r="B2765" s="192"/>
    </row>
    <row r="2766" spans="2:2" x14ac:dyDescent="0.25">
      <c r="B2766" s="192"/>
    </row>
    <row r="2767" spans="2:2" x14ac:dyDescent="0.25">
      <c r="B2767" s="192"/>
    </row>
    <row r="2768" spans="2:2" x14ac:dyDescent="0.25">
      <c r="B2768" s="192"/>
    </row>
    <row r="2769" spans="2:2" x14ac:dyDescent="0.25">
      <c r="B2769" s="192"/>
    </row>
    <row r="2770" spans="2:2" x14ac:dyDescent="0.25">
      <c r="B2770" s="192"/>
    </row>
    <row r="2771" spans="2:2" x14ac:dyDescent="0.25">
      <c r="B2771" s="192"/>
    </row>
    <row r="2772" spans="2:2" x14ac:dyDescent="0.25">
      <c r="B2772" s="192"/>
    </row>
    <row r="2773" spans="2:2" x14ac:dyDescent="0.25">
      <c r="B2773" s="192"/>
    </row>
    <row r="2774" spans="2:2" x14ac:dyDescent="0.25">
      <c r="B2774" s="192"/>
    </row>
    <row r="2775" spans="2:2" x14ac:dyDescent="0.25">
      <c r="B2775" s="192"/>
    </row>
    <row r="2776" spans="2:2" x14ac:dyDescent="0.25">
      <c r="B2776" s="192"/>
    </row>
    <row r="2777" spans="2:2" x14ac:dyDescent="0.25">
      <c r="B2777" s="192"/>
    </row>
    <row r="2778" spans="2:2" x14ac:dyDescent="0.25">
      <c r="B2778" s="192"/>
    </row>
    <row r="2779" spans="2:2" x14ac:dyDescent="0.25">
      <c r="B2779" s="192"/>
    </row>
    <row r="2780" spans="2:2" x14ac:dyDescent="0.25">
      <c r="B2780" s="192"/>
    </row>
    <row r="2781" spans="2:2" x14ac:dyDescent="0.25">
      <c r="B2781" s="192"/>
    </row>
    <row r="2782" spans="2:2" x14ac:dyDescent="0.25">
      <c r="B2782" s="192"/>
    </row>
    <row r="2783" spans="2:2" x14ac:dyDescent="0.25">
      <c r="B2783" s="192"/>
    </row>
    <row r="2784" spans="2:2" x14ac:dyDescent="0.25">
      <c r="B2784" s="192"/>
    </row>
    <row r="2785" spans="2:2" x14ac:dyDescent="0.25">
      <c r="B2785" s="192"/>
    </row>
    <row r="2786" spans="2:2" x14ac:dyDescent="0.25">
      <c r="B2786" s="192"/>
    </row>
    <row r="2787" spans="2:2" x14ac:dyDescent="0.25">
      <c r="B2787" s="192"/>
    </row>
    <row r="2788" spans="2:2" x14ac:dyDescent="0.25">
      <c r="B2788" s="192"/>
    </row>
    <row r="2789" spans="2:2" x14ac:dyDescent="0.25">
      <c r="B2789" s="192"/>
    </row>
    <row r="2790" spans="2:2" x14ac:dyDescent="0.25">
      <c r="B2790" s="192"/>
    </row>
    <row r="2791" spans="2:2" x14ac:dyDescent="0.25">
      <c r="B2791" s="192"/>
    </row>
    <row r="2792" spans="2:2" x14ac:dyDescent="0.25">
      <c r="B2792" s="192"/>
    </row>
    <row r="2793" spans="2:2" x14ac:dyDescent="0.25">
      <c r="B2793" s="192"/>
    </row>
    <row r="2794" spans="2:2" x14ac:dyDescent="0.25">
      <c r="B2794" s="192"/>
    </row>
    <row r="2795" spans="2:2" x14ac:dyDescent="0.25">
      <c r="B2795" s="192"/>
    </row>
    <row r="2796" spans="2:2" x14ac:dyDescent="0.25">
      <c r="B2796" s="192"/>
    </row>
    <row r="2797" spans="2:2" x14ac:dyDescent="0.25">
      <c r="B2797" s="192"/>
    </row>
    <row r="2798" spans="2:2" x14ac:dyDescent="0.25">
      <c r="B2798" s="192"/>
    </row>
    <row r="2799" spans="2:2" x14ac:dyDescent="0.25">
      <c r="B2799" s="192"/>
    </row>
    <row r="2800" spans="2:2" x14ac:dyDescent="0.25">
      <c r="B2800" s="192"/>
    </row>
    <row r="2801" spans="2:2" x14ac:dyDescent="0.25">
      <c r="B2801" s="192"/>
    </row>
    <row r="2802" spans="2:2" x14ac:dyDescent="0.25">
      <c r="B2802" s="192"/>
    </row>
    <row r="2803" spans="2:2" x14ac:dyDescent="0.25">
      <c r="B2803" s="192"/>
    </row>
    <row r="2804" spans="2:2" x14ac:dyDescent="0.25">
      <c r="B2804" s="192"/>
    </row>
    <row r="2805" spans="2:2" x14ac:dyDescent="0.25">
      <c r="B2805" s="192"/>
    </row>
    <row r="2806" spans="2:2" x14ac:dyDescent="0.25">
      <c r="B2806" s="192"/>
    </row>
    <row r="2807" spans="2:2" x14ac:dyDescent="0.25">
      <c r="B2807" s="192"/>
    </row>
    <row r="2808" spans="2:2" x14ac:dyDescent="0.25">
      <c r="B2808" s="192"/>
    </row>
    <row r="2809" spans="2:2" x14ac:dyDescent="0.25">
      <c r="B2809" s="192"/>
    </row>
    <row r="2810" spans="2:2" x14ac:dyDescent="0.25">
      <c r="B2810" s="192"/>
    </row>
    <row r="2811" spans="2:2" x14ac:dyDescent="0.25">
      <c r="B2811" s="192"/>
    </row>
    <row r="2812" spans="2:2" x14ac:dyDescent="0.25">
      <c r="B2812" s="192"/>
    </row>
    <row r="2813" spans="2:2" x14ac:dyDescent="0.25">
      <c r="B2813" s="192"/>
    </row>
    <row r="2814" spans="2:2" x14ac:dyDescent="0.25">
      <c r="B2814" s="192"/>
    </row>
    <row r="2815" spans="2:2" x14ac:dyDescent="0.25">
      <c r="B2815" s="192"/>
    </row>
    <row r="2816" spans="2:2" x14ac:dyDescent="0.25">
      <c r="B2816" s="192"/>
    </row>
    <row r="2817" spans="2:2" x14ac:dyDescent="0.25">
      <c r="B2817" s="192"/>
    </row>
    <row r="2818" spans="2:2" x14ac:dyDescent="0.25">
      <c r="B2818" s="192"/>
    </row>
    <row r="2819" spans="2:2" x14ac:dyDescent="0.25">
      <c r="B2819" s="192"/>
    </row>
    <row r="2820" spans="2:2" x14ac:dyDescent="0.25">
      <c r="B2820" s="192"/>
    </row>
    <row r="2821" spans="2:2" x14ac:dyDescent="0.25">
      <c r="B2821" s="192"/>
    </row>
    <row r="2822" spans="2:2" x14ac:dyDescent="0.25">
      <c r="B2822" s="192"/>
    </row>
    <row r="2823" spans="2:2" x14ac:dyDescent="0.25">
      <c r="B2823" s="192"/>
    </row>
    <row r="2824" spans="2:2" x14ac:dyDescent="0.25">
      <c r="B2824" s="192"/>
    </row>
    <row r="2825" spans="2:2" x14ac:dyDescent="0.25">
      <c r="B2825" s="192"/>
    </row>
    <row r="2826" spans="2:2" x14ac:dyDescent="0.25">
      <c r="B2826" s="192"/>
    </row>
    <row r="2827" spans="2:2" x14ac:dyDescent="0.25">
      <c r="B2827" s="192"/>
    </row>
    <row r="2828" spans="2:2" x14ac:dyDescent="0.25">
      <c r="B2828" s="192"/>
    </row>
    <row r="2829" spans="2:2" x14ac:dyDescent="0.25">
      <c r="B2829" s="192"/>
    </row>
    <row r="2830" spans="2:2" x14ac:dyDescent="0.25">
      <c r="B2830" s="192"/>
    </row>
    <row r="2831" spans="2:2" x14ac:dyDescent="0.25">
      <c r="B2831" s="192"/>
    </row>
    <row r="2832" spans="2:2" x14ac:dyDescent="0.25">
      <c r="B2832" s="192"/>
    </row>
    <row r="2833" spans="2:2" x14ac:dyDescent="0.25">
      <c r="B2833" s="192"/>
    </row>
    <row r="2834" spans="2:2" x14ac:dyDescent="0.25">
      <c r="B2834" s="192"/>
    </row>
    <row r="2835" spans="2:2" x14ac:dyDescent="0.25">
      <c r="B2835" s="192"/>
    </row>
    <row r="2836" spans="2:2" x14ac:dyDescent="0.25">
      <c r="B2836" s="192"/>
    </row>
    <row r="2837" spans="2:2" x14ac:dyDescent="0.25">
      <c r="B2837" s="192"/>
    </row>
    <row r="2838" spans="2:2" x14ac:dyDescent="0.25">
      <c r="B2838" s="192"/>
    </row>
    <row r="2839" spans="2:2" x14ac:dyDescent="0.25">
      <c r="B2839" s="192"/>
    </row>
    <row r="2840" spans="2:2" x14ac:dyDescent="0.25">
      <c r="B2840" s="192"/>
    </row>
    <row r="2841" spans="2:2" x14ac:dyDescent="0.25">
      <c r="B2841" s="192"/>
    </row>
    <row r="2842" spans="2:2" x14ac:dyDescent="0.25">
      <c r="B2842" s="192"/>
    </row>
    <row r="2843" spans="2:2" x14ac:dyDescent="0.25">
      <c r="B2843" s="192"/>
    </row>
    <row r="2844" spans="2:2" x14ac:dyDescent="0.25">
      <c r="B2844" s="192"/>
    </row>
    <row r="2845" spans="2:2" x14ac:dyDescent="0.25">
      <c r="B2845" s="192"/>
    </row>
    <row r="2846" spans="2:2" x14ac:dyDescent="0.25">
      <c r="B2846" s="192"/>
    </row>
    <row r="2847" spans="2:2" x14ac:dyDescent="0.25">
      <c r="B2847" s="192"/>
    </row>
    <row r="2848" spans="2:2" x14ac:dyDescent="0.25">
      <c r="B2848" s="192"/>
    </row>
    <row r="2849" spans="2:2" x14ac:dyDescent="0.25">
      <c r="B2849" s="192"/>
    </row>
    <row r="2850" spans="2:2" x14ac:dyDescent="0.25">
      <c r="B2850" s="192"/>
    </row>
    <row r="2851" spans="2:2" x14ac:dyDescent="0.25">
      <c r="B2851" s="192"/>
    </row>
    <row r="2852" spans="2:2" x14ac:dyDescent="0.25">
      <c r="B2852" s="192"/>
    </row>
    <row r="2853" spans="2:2" x14ac:dyDescent="0.25">
      <c r="B2853" s="192"/>
    </row>
    <row r="2854" spans="2:2" x14ac:dyDescent="0.25">
      <c r="B2854" s="192"/>
    </row>
    <row r="2855" spans="2:2" x14ac:dyDescent="0.25">
      <c r="B2855" s="192"/>
    </row>
    <row r="2856" spans="2:2" x14ac:dyDescent="0.25">
      <c r="B2856" s="192"/>
    </row>
    <row r="2857" spans="2:2" x14ac:dyDescent="0.25">
      <c r="B2857" s="192"/>
    </row>
    <row r="2858" spans="2:2" x14ac:dyDescent="0.25">
      <c r="B2858" s="192"/>
    </row>
    <row r="2859" spans="2:2" x14ac:dyDescent="0.25">
      <c r="B2859" s="192"/>
    </row>
    <row r="2860" spans="2:2" x14ac:dyDescent="0.25">
      <c r="B2860" s="192"/>
    </row>
    <row r="2861" spans="2:2" x14ac:dyDescent="0.25">
      <c r="B2861" s="192"/>
    </row>
    <row r="2862" spans="2:2" x14ac:dyDescent="0.25">
      <c r="B2862" s="192"/>
    </row>
    <row r="2863" spans="2:2" x14ac:dyDescent="0.25">
      <c r="B2863" s="192"/>
    </row>
    <row r="2864" spans="2:2" x14ac:dyDescent="0.25">
      <c r="B2864" s="192"/>
    </row>
    <row r="2865" spans="2:2" x14ac:dyDescent="0.25">
      <c r="B2865" s="192"/>
    </row>
    <row r="2866" spans="2:2" x14ac:dyDescent="0.25">
      <c r="B2866" s="192"/>
    </row>
    <row r="2867" spans="2:2" x14ac:dyDescent="0.25">
      <c r="B2867" s="192"/>
    </row>
    <row r="2868" spans="2:2" x14ac:dyDescent="0.25">
      <c r="B2868" s="192"/>
    </row>
    <row r="2869" spans="2:2" x14ac:dyDescent="0.25">
      <c r="B2869" s="192"/>
    </row>
    <row r="2870" spans="2:2" x14ac:dyDescent="0.25">
      <c r="B2870" s="192"/>
    </row>
    <row r="2871" spans="2:2" x14ac:dyDescent="0.25">
      <c r="B2871" s="192"/>
    </row>
    <row r="2872" spans="2:2" x14ac:dyDescent="0.25">
      <c r="B2872" s="192"/>
    </row>
    <row r="2873" spans="2:2" x14ac:dyDescent="0.25">
      <c r="B2873" s="192"/>
    </row>
    <row r="2874" spans="2:2" x14ac:dyDescent="0.25">
      <c r="B2874" s="192"/>
    </row>
    <row r="2875" spans="2:2" x14ac:dyDescent="0.25">
      <c r="B2875" s="192"/>
    </row>
    <row r="2876" spans="2:2" x14ac:dyDescent="0.25">
      <c r="B2876" s="192"/>
    </row>
    <row r="2877" spans="2:2" x14ac:dyDescent="0.25">
      <c r="B2877" s="192"/>
    </row>
    <row r="2878" spans="2:2" x14ac:dyDescent="0.25">
      <c r="B2878" s="192"/>
    </row>
    <row r="2879" spans="2:2" x14ac:dyDescent="0.25">
      <c r="B2879" s="192"/>
    </row>
    <row r="2880" spans="2:2" x14ac:dyDescent="0.25">
      <c r="B2880" s="192"/>
    </row>
    <row r="2881" spans="2:2" x14ac:dyDescent="0.25">
      <c r="B2881" s="192"/>
    </row>
    <row r="2882" spans="2:2" x14ac:dyDescent="0.25">
      <c r="B2882" s="192"/>
    </row>
    <row r="2883" spans="2:2" x14ac:dyDescent="0.25">
      <c r="B2883" s="192"/>
    </row>
    <row r="2884" spans="2:2" x14ac:dyDescent="0.25">
      <c r="B2884" s="192"/>
    </row>
    <row r="2885" spans="2:2" x14ac:dyDescent="0.25">
      <c r="B2885" s="192"/>
    </row>
    <row r="2886" spans="2:2" x14ac:dyDescent="0.25">
      <c r="B2886" s="192"/>
    </row>
    <row r="2887" spans="2:2" x14ac:dyDescent="0.25">
      <c r="B2887" s="192"/>
    </row>
    <row r="2888" spans="2:2" x14ac:dyDescent="0.25">
      <c r="B2888" s="192"/>
    </row>
    <row r="2889" spans="2:2" x14ac:dyDescent="0.25">
      <c r="B2889" s="192"/>
    </row>
    <row r="2890" spans="2:2" x14ac:dyDescent="0.25">
      <c r="B2890" s="192"/>
    </row>
    <row r="2891" spans="2:2" x14ac:dyDescent="0.25">
      <c r="B2891" s="192"/>
    </row>
    <row r="2892" spans="2:2" x14ac:dyDescent="0.25">
      <c r="B2892" s="192"/>
    </row>
    <row r="2893" spans="2:2" x14ac:dyDescent="0.25">
      <c r="B2893" s="192"/>
    </row>
    <row r="2894" spans="2:2" x14ac:dyDescent="0.25">
      <c r="B2894" s="192"/>
    </row>
    <row r="2895" spans="2:2" x14ac:dyDescent="0.25">
      <c r="B2895" s="192"/>
    </row>
    <row r="2896" spans="2:2" x14ac:dyDescent="0.25">
      <c r="B2896" s="192"/>
    </row>
    <row r="2897" spans="2:2" x14ac:dyDescent="0.25">
      <c r="B2897" s="192"/>
    </row>
    <row r="2898" spans="2:2" x14ac:dyDescent="0.25">
      <c r="B2898" s="192"/>
    </row>
    <row r="2899" spans="2:2" x14ac:dyDescent="0.25">
      <c r="B2899" s="192"/>
    </row>
    <row r="2900" spans="2:2" x14ac:dyDescent="0.25">
      <c r="B2900" s="192"/>
    </row>
    <row r="2901" spans="2:2" x14ac:dyDescent="0.25">
      <c r="B2901" s="192"/>
    </row>
    <row r="2902" spans="2:2" x14ac:dyDescent="0.25">
      <c r="B2902" s="192"/>
    </row>
    <row r="2903" spans="2:2" x14ac:dyDescent="0.25">
      <c r="B2903" s="192"/>
    </row>
    <row r="2904" spans="2:2" x14ac:dyDescent="0.25">
      <c r="B2904" s="192"/>
    </row>
    <row r="2905" spans="2:2" x14ac:dyDescent="0.25">
      <c r="B2905" s="192"/>
    </row>
    <row r="2906" spans="2:2" x14ac:dyDescent="0.25">
      <c r="B2906" s="192"/>
    </row>
    <row r="2907" spans="2:2" x14ac:dyDescent="0.25">
      <c r="B2907" s="192"/>
    </row>
    <row r="2908" spans="2:2" x14ac:dyDescent="0.25">
      <c r="B2908" s="192"/>
    </row>
    <row r="2909" spans="2:2" x14ac:dyDescent="0.25">
      <c r="B2909" s="192"/>
    </row>
    <row r="2910" spans="2:2" x14ac:dyDescent="0.25">
      <c r="B2910" s="192"/>
    </row>
    <row r="2911" spans="2:2" x14ac:dyDescent="0.25">
      <c r="B2911" s="192"/>
    </row>
    <row r="2912" spans="2:2" x14ac:dyDescent="0.25">
      <c r="B2912" s="192"/>
    </row>
    <row r="2913" spans="2:2" x14ac:dyDescent="0.25">
      <c r="B2913" s="192"/>
    </row>
    <row r="2914" spans="2:2" x14ac:dyDescent="0.25">
      <c r="B2914" s="192"/>
    </row>
    <row r="2915" spans="2:2" x14ac:dyDescent="0.25">
      <c r="B2915" s="192"/>
    </row>
    <row r="2916" spans="2:2" x14ac:dyDescent="0.25">
      <c r="B2916" s="192"/>
    </row>
    <row r="2917" spans="2:2" x14ac:dyDescent="0.25">
      <c r="B2917" s="192"/>
    </row>
    <row r="2918" spans="2:2" x14ac:dyDescent="0.25">
      <c r="B2918" s="192"/>
    </row>
    <row r="2919" spans="2:2" x14ac:dyDescent="0.25">
      <c r="B2919" s="192"/>
    </row>
    <row r="2920" spans="2:2" x14ac:dyDescent="0.25">
      <c r="B2920" s="192"/>
    </row>
    <row r="2921" spans="2:2" x14ac:dyDescent="0.25">
      <c r="B2921" s="192"/>
    </row>
    <row r="2922" spans="2:2" x14ac:dyDescent="0.25">
      <c r="B2922" s="192"/>
    </row>
    <row r="2923" spans="2:2" x14ac:dyDescent="0.25">
      <c r="B2923" s="192"/>
    </row>
    <row r="2924" spans="2:2" x14ac:dyDescent="0.25">
      <c r="B2924" s="192"/>
    </row>
    <row r="2925" spans="2:2" x14ac:dyDescent="0.25">
      <c r="B2925" s="192"/>
    </row>
    <row r="2926" spans="2:2" x14ac:dyDescent="0.25">
      <c r="B2926" s="192"/>
    </row>
    <row r="2927" spans="2:2" x14ac:dyDescent="0.25">
      <c r="B2927" s="192"/>
    </row>
    <row r="2928" spans="2:2" x14ac:dyDescent="0.25">
      <c r="B2928" s="192"/>
    </row>
    <row r="2929" spans="2:2" x14ac:dyDescent="0.25">
      <c r="B2929" s="192"/>
    </row>
    <row r="2930" spans="2:2" x14ac:dyDescent="0.25">
      <c r="B2930" s="192"/>
    </row>
    <row r="2931" spans="2:2" x14ac:dyDescent="0.25">
      <c r="B2931" s="192"/>
    </row>
    <row r="2932" spans="2:2" x14ac:dyDescent="0.25">
      <c r="B2932" s="192"/>
    </row>
    <row r="2933" spans="2:2" x14ac:dyDescent="0.25">
      <c r="B2933" s="192"/>
    </row>
    <row r="2934" spans="2:2" x14ac:dyDescent="0.25">
      <c r="B2934" s="192"/>
    </row>
    <row r="2935" spans="2:2" x14ac:dyDescent="0.25">
      <c r="B2935" s="192"/>
    </row>
    <row r="2936" spans="2:2" x14ac:dyDescent="0.25">
      <c r="B2936" s="192"/>
    </row>
    <row r="2937" spans="2:2" x14ac:dyDescent="0.25">
      <c r="B2937" s="192"/>
    </row>
    <row r="2938" spans="2:2" x14ac:dyDescent="0.25">
      <c r="B2938" s="192"/>
    </row>
    <row r="2939" spans="2:2" x14ac:dyDescent="0.25">
      <c r="B2939" s="192"/>
    </row>
    <row r="2940" spans="2:2" x14ac:dyDescent="0.25">
      <c r="B2940" s="192"/>
    </row>
    <row r="2941" spans="2:2" x14ac:dyDescent="0.25">
      <c r="B2941" s="192"/>
    </row>
    <row r="2942" spans="2:2" x14ac:dyDescent="0.25">
      <c r="B2942" s="192"/>
    </row>
    <row r="2943" spans="2:2" x14ac:dyDescent="0.25">
      <c r="B2943" s="192"/>
    </row>
    <row r="2944" spans="2:2" x14ac:dyDescent="0.25">
      <c r="B2944" s="192"/>
    </row>
    <row r="2945" spans="2:2" x14ac:dyDescent="0.25">
      <c r="B2945" s="192"/>
    </row>
    <row r="2946" spans="2:2" x14ac:dyDescent="0.25">
      <c r="B2946" s="192"/>
    </row>
    <row r="2947" spans="2:2" x14ac:dyDescent="0.25">
      <c r="B2947" s="192"/>
    </row>
    <row r="2948" spans="2:2" x14ac:dyDescent="0.25">
      <c r="B2948" s="192"/>
    </row>
    <row r="2949" spans="2:2" x14ac:dyDescent="0.25">
      <c r="B2949" s="192"/>
    </row>
    <row r="2950" spans="2:2" x14ac:dyDescent="0.25">
      <c r="B2950" s="192"/>
    </row>
    <row r="2951" spans="2:2" x14ac:dyDescent="0.25">
      <c r="B2951" s="192"/>
    </row>
    <row r="2952" spans="2:2" x14ac:dyDescent="0.25">
      <c r="B2952" s="192"/>
    </row>
    <row r="2953" spans="2:2" x14ac:dyDescent="0.25">
      <c r="B2953" s="192"/>
    </row>
    <row r="2954" spans="2:2" x14ac:dyDescent="0.25">
      <c r="B2954" s="192"/>
    </row>
    <row r="2955" spans="2:2" x14ac:dyDescent="0.25">
      <c r="B2955" s="192"/>
    </row>
    <row r="2956" spans="2:2" x14ac:dyDescent="0.25">
      <c r="B2956" s="192"/>
    </row>
    <row r="2957" spans="2:2" x14ac:dyDescent="0.25">
      <c r="B2957" s="192"/>
    </row>
    <row r="2958" spans="2:2" x14ac:dyDescent="0.25">
      <c r="B2958" s="192"/>
    </row>
    <row r="2959" spans="2:2" x14ac:dyDescent="0.25">
      <c r="B2959" s="192"/>
    </row>
    <row r="2960" spans="2:2" x14ac:dyDescent="0.25">
      <c r="B2960" s="192"/>
    </row>
    <row r="2961" spans="2:2" x14ac:dyDescent="0.25">
      <c r="B2961" s="192"/>
    </row>
    <row r="2962" spans="2:2" x14ac:dyDescent="0.25">
      <c r="B2962" s="192"/>
    </row>
    <row r="2963" spans="2:2" x14ac:dyDescent="0.25">
      <c r="B2963" s="192"/>
    </row>
    <row r="2964" spans="2:2" x14ac:dyDescent="0.25">
      <c r="B2964" s="192"/>
    </row>
    <row r="2965" spans="2:2" x14ac:dyDescent="0.25">
      <c r="B2965" s="192"/>
    </row>
    <row r="2966" spans="2:2" x14ac:dyDescent="0.25">
      <c r="B2966" s="192"/>
    </row>
    <row r="2967" spans="2:2" x14ac:dyDescent="0.25">
      <c r="B2967" s="192"/>
    </row>
    <row r="2968" spans="2:2" x14ac:dyDescent="0.25">
      <c r="B2968" s="192"/>
    </row>
    <row r="2969" spans="2:2" x14ac:dyDescent="0.25">
      <c r="B2969" s="192"/>
    </row>
    <row r="2970" spans="2:2" x14ac:dyDescent="0.25">
      <c r="B2970" s="192"/>
    </row>
    <row r="2971" spans="2:2" x14ac:dyDescent="0.25">
      <c r="B2971" s="192"/>
    </row>
    <row r="2972" spans="2:2" x14ac:dyDescent="0.25">
      <c r="B2972" s="192"/>
    </row>
    <row r="2973" spans="2:2" x14ac:dyDescent="0.25">
      <c r="B2973" s="192"/>
    </row>
    <row r="2974" spans="2:2" x14ac:dyDescent="0.25">
      <c r="B2974" s="192"/>
    </row>
    <row r="2975" spans="2:2" x14ac:dyDescent="0.25">
      <c r="B2975" s="192"/>
    </row>
    <row r="2976" spans="2:2" x14ac:dyDescent="0.25">
      <c r="B2976" s="192"/>
    </row>
    <row r="2977" spans="2:2" x14ac:dyDescent="0.25">
      <c r="B2977" s="192"/>
    </row>
    <row r="2978" spans="2:2" x14ac:dyDescent="0.25">
      <c r="B2978" s="192"/>
    </row>
    <row r="2979" spans="2:2" x14ac:dyDescent="0.25">
      <c r="B2979" s="192"/>
    </row>
    <row r="2980" spans="2:2" x14ac:dyDescent="0.25">
      <c r="B2980" s="192"/>
    </row>
    <row r="2981" spans="2:2" x14ac:dyDescent="0.25">
      <c r="B2981" s="192"/>
    </row>
    <row r="2982" spans="2:2" x14ac:dyDescent="0.25">
      <c r="B2982" s="192"/>
    </row>
    <row r="2983" spans="2:2" x14ac:dyDescent="0.25">
      <c r="B2983" s="192"/>
    </row>
    <row r="2984" spans="2:2" x14ac:dyDescent="0.25">
      <c r="B2984" s="192"/>
    </row>
    <row r="2985" spans="2:2" x14ac:dyDescent="0.25">
      <c r="B2985" s="192"/>
    </row>
    <row r="2986" spans="2:2" x14ac:dyDescent="0.25">
      <c r="B2986" s="192"/>
    </row>
    <row r="2987" spans="2:2" x14ac:dyDescent="0.25">
      <c r="B2987" s="192"/>
    </row>
    <row r="2988" spans="2:2" x14ac:dyDescent="0.25">
      <c r="B2988" s="192"/>
    </row>
    <row r="2989" spans="2:2" x14ac:dyDescent="0.25">
      <c r="B2989" s="192"/>
    </row>
    <row r="2990" spans="2:2" x14ac:dyDescent="0.25">
      <c r="B2990" s="192"/>
    </row>
    <row r="2991" spans="2:2" x14ac:dyDescent="0.25">
      <c r="B2991" s="192"/>
    </row>
    <row r="2992" spans="2:2" x14ac:dyDescent="0.25">
      <c r="B2992" s="192"/>
    </row>
    <row r="2993" spans="2:2" x14ac:dyDescent="0.25">
      <c r="B2993" s="192"/>
    </row>
    <row r="2994" spans="2:2" x14ac:dyDescent="0.25">
      <c r="B2994" s="192"/>
    </row>
    <row r="2995" spans="2:2" x14ac:dyDescent="0.25">
      <c r="B2995" s="192"/>
    </row>
    <row r="2996" spans="2:2" x14ac:dyDescent="0.25">
      <c r="B2996" s="192"/>
    </row>
    <row r="2997" spans="2:2" x14ac:dyDescent="0.25">
      <c r="B2997" s="192"/>
    </row>
    <row r="2998" spans="2:2" x14ac:dyDescent="0.25">
      <c r="B2998" s="192"/>
    </row>
    <row r="2999" spans="2:2" x14ac:dyDescent="0.25">
      <c r="B2999" s="192"/>
    </row>
    <row r="3000" spans="2:2" x14ac:dyDescent="0.25">
      <c r="B3000" s="192"/>
    </row>
    <row r="3001" spans="2:2" x14ac:dyDescent="0.25">
      <c r="B3001" s="192"/>
    </row>
    <row r="3002" spans="2:2" x14ac:dyDescent="0.25">
      <c r="B3002" s="192"/>
    </row>
    <row r="3003" spans="2:2" x14ac:dyDescent="0.25">
      <c r="B3003" s="192"/>
    </row>
    <row r="3004" spans="2:2" x14ac:dyDescent="0.25">
      <c r="B3004" s="192"/>
    </row>
    <row r="3005" spans="2:2" x14ac:dyDescent="0.25">
      <c r="B3005" s="192"/>
    </row>
    <row r="3006" spans="2:2" x14ac:dyDescent="0.25">
      <c r="B3006" s="192"/>
    </row>
    <row r="3007" spans="2:2" x14ac:dyDescent="0.25">
      <c r="B3007" s="192"/>
    </row>
    <row r="3008" spans="2:2" x14ac:dyDescent="0.25">
      <c r="B3008" s="192"/>
    </row>
    <row r="3009" spans="2:2" x14ac:dyDescent="0.25">
      <c r="B3009" s="192"/>
    </row>
    <row r="3010" spans="2:2" x14ac:dyDescent="0.25">
      <c r="B3010" s="192"/>
    </row>
    <row r="3011" spans="2:2" x14ac:dyDescent="0.25">
      <c r="B3011" s="192"/>
    </row>
    <row r="3012" spans="2:2" x14ac:dyDescent="0.25">
      <c r="B3012" s="192"/>
    </row>
    <row r="3013" spans="2:2" x14ac:dyDescent="0.25">
      <c r="B3013" s="192"/>
    </row>
    <row r="3014" spans="2:2" x14ac:dyDescent="0.25">
      <c r="B3014" s="192"/>
    </row>
    <row r="3015" spans="2:2" x14ac:dyDescent="0.25">
      <c r="B3015" s="192"/>
    </row>
    <row r="3016" spans="2:2" x14ac:dyDescent="0.25">
      <c r="B3016" s="192"/>
    </row>
    <row r="3017" spans="2:2" x14ac:dyDescent="0.25">
      <c r="B3017" s="192"/>
    </row>
    <row r="3018" spans="2:2" x14ac:dyDescent="0.25">
      <c r="B3018" s="192"/>
    </row>
    <row r="3019" spans="2:2" x14ac:dyDescent="0.25">
      <c r="B3019" s="192"/>
    </row>
    <row r="3020" spans="2:2" x14ac:dyDescent="0.25">
      <c r="B3020" s="192"/>
    </row>
    <row r="3021" spans="2:2" x14ac:dyDescent="0.25">
      <c r="B3021" s="192"/>
    </row>
    <row r="3022" spans="2:2" x14ac:dyDescent="0.25">
      <c r="B3022" s="192"/>
    </row>
    <row r="3023" spans="2:2" x14ac:dyDescent="0.25">
      <c r="B3023" s="192"/>
    </row>
    <row r="3024" spans="2:2" x14ac:dyDescent="0.25">
      <c r="B3024" s="192"/>
    </row>
    <row r="3025" spans="2:2" x14ac:dyDescent="0.25">
      <c r="B3025" s="192"/>
    </row>
    <row r="3026" spans="2:2" x14ac:dyDescent="0.25">
      <c r="B3026" s="192"/>
    </row>
    <row r="3027" spans="2:2" x14ac:dyDescent="0.25">
      <c r="B3027" s="192"/>
    </row>
    <row r="3028" spans="2:2" x14ac:dyDescent="0.25">
      <c r="B3028" s="192"/>
    </row>
    <row r="3029" spans="2:2" x14ac:dyDescent="0.25">
      <c r="B3029" s="192"/>
    </row>
    <row r="3030" spans="2:2" x14ac:dyDescent="0.25">
      <c r="B3030" s="192"/>
    </row>
    <row r="3031" spans="2:2" x14ac:dyDescent="0.25">
      <c r="B3031" s="192"/>
    </row>
    <row r="3032" spans="2:2" x14ac:dyDescent="0.25">
      <c r="B3032" s="192"/>
    </row>
    <row r="3033" spans="2:2" x14ac:dyDescent="0.25">
      <c r="B3033" s="192"/>
    </row>
    <row r="3034" spans="2:2" x14ac:dyDescent="0.25">
      <c r="B3034" s="192"/>
    </row>
    <row r="3035" spans="2:2" x14ac:dyDescent="0.25">
      <c r="B3035" s="192"/>
    </row>
    <row r="3036" spans="2:2" x14ac:dyDescent="0.25">
      <c r="B3036" s="192"/>
    </row>
    <row r="3037" spans="2:2" x14ac:dyDescent="0.25">
      <c r="B3037" s="192"/>
    </row>
    <row r="3038" spans="2:2" x14ac:dyDescent="0.25">
      <c r="B3038" s="192"/>
    </row>
    <row r="3039" spans="2:2" x14ac:dyDescent="0.25">
      <c r="B3039" s="192"/>
    </row>
    <row r="3040" spans="2:2" x14ac:dyDescent="0.25">
      <c r="B3040" s="192"/>
    </row>
    <row r="3041" spans="2:2" x14ac:dyDescent="0.25">
      <c r="B3041" s="192"/>
    </row>
    <row r="3042" spans="2:2" x14ac:dyDescent="0.25">
      <c r="B3042" s="192"/>
    </row>
    <row r="3043" spans="2:2" x14ac:dyDescent="0.25">
      <c r="B3043" s="192"/>
    </row>
    <row r="3044" spans="2:2" x14ac:dyDescent="0.25">
      <c r="B3044" s="192"/>
    </row>
    <row r="3045" spans="2:2" x14ac:dyDescent="0.25">
      <c r="B3045" s="192"/>
    </row>
    <row r="3046" spans="2:2" x14ac:dyDescent="0.25">
      <c r="B3046" s="192"/>
    </row>
    <row r="3047" spans="2:2" x14ac:dyDescent="0.25">
      <c r="B3047" s="192"/>
    </row>
    <row r="3048" spans="2:2" x14ac:dyDescent="0.25">
      <c r="B3048" s="192"/>
    </row>
    <row r="3049" spans="2:2" x14ac:dyDescent="0.25">
      <c r="B3049" s="192"/>
    </row>
    <row r="3050" spans="2:2" x14ac:dyDescent="0.25">
      <c r="B3050" s="192"/>
    </row>
    <row r="3051" spans="2:2" x14ac:dyDescent="0.25">
      <c r="B3051" s="192"/>
    </row>
    <row r="3052" spans="2:2" x14ac:dyDescent="0.25">
      <c r="B3052" s="192"/>
    </row>
    <row r="3053" spans="2:2" x14ac:dyDescent="0.25">
      <c r="B3053" s="192"/>
    </row>
    <row r="3054" spans="2:2" x14ac:dyDescent="0.25">
      <c r="B3054" s="192"/>
    </row>
    <row r="3055" spans="2:2" x14ac:dyDescent="0.25">
      <c r="B3055" s="192"/>
    </row>
    <row r="3056" spans="2:2" x14ac:dyDescent="0.25">
      <c r="B3056" s="192"/>
    </row>
    <row r="3057" spans="2:2" x14ac:dyDescent="0.25">
      <c r="B3057" s="192"/>
    </row>
    <row r="3058" spans="2:2" x14ac:dyDescent="0.25">
      <c r="B3058" s="192"/>
    </row>
    <row r="3059" spans="2:2" x14ac:dyDescent="0.25">
      <c r="B3059" s="192"/>
    </row>
    <row r="3060" spans="2:2" x14ac:dyDescent="0.25">
      <c r="B3060" s="192"/>
    </row>
    <row r="3061" spans="2:2" x14ac:dyDescent="0.25">
      <c r="B3061" s="192"/>
    </row>
    <row r="3062" spans="2:2" x14ac:dyDescent="0.25">
      <c r="B3062" s="192"/>
    </row>
    <row r="3063" spans="2:2" x14ac:dyDescent="0.25">
      <c r="B3063" s="192"/>
    </row>
    <row r="3064" spans="2:2" x14ac:dyDescent="0.25">
      <c r="B3064" s="192"/>
    </row>
    <row r="3065" spans="2:2" x14ac:dyDescent="0.25">
      <c r="B3065" s="192"/>
    </row>
    <row r="3066" spans="2:2" x14ac:dyDescent="0.25">
      <c r="B3066" s="192"/>
    </row>
    <row r="3067" spans="2:2" x14ac:dyDescent="0.25">
      <c r="B3067" s="192"/>
    </row>
    <row r="3068" spans="2:2" x14ac:dyDescent="0.25">
      <c r="B3068" s="192"/>
    </row>
    <row r="3069" spans="2:2" x14ac:dyDescent="0.25">
      <c r="B3069" s="192"/>
    </row>
    <row r="3070" spans="2:2" x14ac:dyDescent="0.25">
      <c r="B3070" s="192"/>
    </row>
    <row r="3071" spans="2:2" x14ac:dyDescent="0.25">
      <c r="B3071" s="192"/>
    </row>
    <row r="3072" spans="2:2" x14ac:dyDescent="0.25">
      <c r="B3072" s="192"/>
    </row>
    <row r="3073" spans="2:2" x14ac:dyDescent="0.25">
      <c r="B3073" s="192"/>
    </row>
    <row r="3074" spans="2:2" x14ac:dyDescent="0.25">
      <c r="B3074" s="192"/>
    </row>
    <row r="3075" spans="2:2" x14ac:dyDescent="0.25">
      <c r="B3075" s="192"/>
    </row>
    <row r="3076" spans="2:2" x14ac:dyDescent="0.25">
      <c r="B3076" s="192"/>
    </row>
    <row r="3077" spans="2:2" x14ac:dyDescent="0.25">
      <c r="B3077" s="192"/>
    </row>
    <row r="3078" spans="2:2" x14ac:dyDescent="0.25">
      <c r="B3078" s="192"/>
    </row>
    <row r="3079" spans="2:2" x14ac:dyDescent="0.25">
      <c r="B3079" s="192"/>
    </row>
    <row r="3080" spans="2:2" x14ac:dyDescent="0.25">
      <c r="B3080" s="192"/>
    </row>
    <row r="3081" spans="2:2" x14ac:dyDescent="0.25">
      <c r="B3081" s="192"/>
    </row>
    <row r="3082" spans="2:2" x14ac:dyDescent="0.25">
      <c r="B3082" s="192"/>
    </row>
    <row r="3083" spans="2:2" x14ac:dyDescent="0.25">
      <c r="B3083" s="192"/>
    </row>
    <row r="3084" spans="2:2" x14ac:dyDescent="0.25">
      <c r="B3084" s="192"/>
    </row>
    <row r="3085" spans="2:2" x14ac:dyDescent="0.25">
      <c r="B3085" s="192"/>
    </row>
    <row r="3086" spans="2:2" x14ac:dyDescent="0.25">
      <c r="B3086" s="192"/>
    </row>
    <row r="3087" spans="2:2" x14ac:dyDescent="0.25">
      <c r="B3087" s="192"/>
    </row>
    <row r="3088" spans="2:2" x14ac:dyDescent="0.25">
      <c r="B3088" s="192"/>
    </row>
    <row r="3089" spans="2:2" x14ac:dyDescent="0.25">
      <c r="B3089" s="192"/>
    </row>
    <row r="3090" spans="2:2" x14ac:dyDescent="0.25">
      <c r="B3090" s="192"/>
    </row>
    <row r="3091" spans="2:2" x14ac:dyDescent="0.25">
      <c r="B3091" s="192"/>
    </row>
    <row r="3092" spans="2:2" x14ac:dyDescent="0.25">
      <c r="B3092" s="192"/>
    </row>
    <row r="3093" spans="2:2" x14ac:dyDescent="0.25">
      <c r="B3093" s="192"/>
    </row>
    <row r="3094" spans="2:2" x14ac:dyDescent="0.25">
      <c r="B3094" s="192"/>
    </row>
    <row r="3095" spans="2:2" x14ac:dyDescent="0.25">
      <c r="B3095" s="192"/>
    </row>
    <row r="3096" spans="2:2" x14ac:dyDescent="0.25">
      <c r="B3096" s="192"/>
    </row>
    <row r="3097" spans="2:2" x14ac:dyDescent="0.25">
      <c r="B3097" s="192"/>
    </row>
    <row r="3098" spans="2:2" x14ac:dyDescent="0.25">
      <c r="B3098" s="192"/>
    </row>
    <row r="3099" spans="2:2" x14ac:dyDescent="0.25">
      <c r="B3099" s="192"/>
    </row>
    <row r="3100" spans="2:2" x14ac:dyDescent="0.25">
      <c r="B3100" s="192"/>
    </row>
    <row r="3101" spans="2:2" x14ac:dyDescent="0.25">
      <c r="B3101" s="192"/>
    </row>
    <row r="3102" spans="2:2" x14ac:dyDescent="0.25">
      <c r="B3102" s="192"/>
    </row>
    <row r="3103" spans="2:2" x14ac:dyDescent="0.25">
      <c r="B3103" s="192"/>
    </row>
    <row r="3104" spans="2:2" x14ac:dyDescent="0.25">
      <c r="B3104" s="192"/>
    </row>
    <row r="3105" spans="2:2" x14ac:dyDescent="0.25">
      <c r="B3105" s="192"/>
    </row>
    <row r="3106" spans="2:2" x14ac:dyDescent="0.25">
      <c r="B3106" s="192"/>
    </row>
    <row r="3107" spans="2:2" x14ac:dyDescent="0.25">
      <c r="B3107" s="192"/>
    </row>
    <row r="3108" spans="2:2" x14ac:dyDescent="0.25">
      <c r="B3108" s="192"/>
    </row>
    <row r="3109" spans="2:2" x14ac:dyDescent="0.25">
      <c r="B3109" s="192"/>
    </row>
    <row r="3110" spans="2:2" x14ac:dyDescent="0.25">
      <c r="B3110" s="192"/>
    </row>
    <row r="3111" spans="2:2" x14ac:dyDescent="0.25">
      <c r="B3111" s="192"/>
    </row>
    <row r="3112" spans="2:2" x14ac:dyDescent="0.25">
      <c r="B3112" s="192"/>
    </row>
    <row r="3113" spans="2:2" x14ac:dyDescent="0.25">
      <c r="B3113" s="192"/>
    </row>
    <row r="3114" spans="2:2" x14ac:dyDescent="0.25">
      <c r="B3114" s="192"/>
    </row>
    <row r="3115" spans="2:2" x14ac:dyDescent="0.25">
      <c r="B3115" s="192"/>
    </row>
    <row r="3116" spans="2:2" x14ac:dyDescent="0.25">
      <c r="B3116" s="192"/>
    </row>
    <row r="3117" spans="2:2" x14ac:dyDescent="0.25">
      <c r="B3117" s="192"/>
    </row>
    <row r="3118" spans="2:2" x14ac:dyDescent="0.25">
      <c r="B3118" s="192"/>
    </row>
    <row r="3119" spans="2:2" x14ac:dyDescent="0.25">
      <c r="B3119" s="192"/>
    </row>
    <row r="3120" spans="2:2" x14ac:dyDescent="0.25">
      <c r="B3120" s="192"/>
    </row>
    <row r="3121" spans="2:2" x14ac:dyDescent="0.25">
      <c r="B3121" s="192"/>
    </row>
    <row r="3122" spans="2:2" x14ac:dyDescent="0.25">
      <c r="B3122" s="192"/>
    </row>
    <row r="3123" spans="2:2" x14ac:dyDescent="0.25">
      <c r="B3123" s="192"/>
    </row>
    <row r="3124" spans="2:2" x14ac:dyDescent="0.25">
      <c r="B3124" s="192"/>
    </row>
    <row r="3125" spans="2:2" x14ac:dyDescent="0.25">
      <c r="B3125" s="192"/>
    </row>
    <row r="3126" spans="2:2" x14ac:dyDescent="0.25">
      <c r="B3126" s="192"/>
    </row>
    <row r="3127" spans="2:2" x14ac:dyDescent="0.25">
      <c r="B3127" s="192"/>
    </row>
    <row r="3128" spans="2:2" x14ac:dyDescent="0.25">
      <c r="B3128" s="192"/>
    </row>
    <row r="3129" spans="2:2" x14ac:dyDescent="0.25">
      <c r="B3129" s="192"/>
    </row>
    <row r="3130" spans="2:2" x14ac:dyDescent="0.25">
      <c r="B3130" s="192"/>
    </row>
    <row r="3131" spans="2:2" x14ac:dyDescent="0.25">
      <c r="B3131" s="192"/>
    </row>
    <row r="3132" spans="2:2" x14ac:dyDescent="0.25">
      <c r="B3132" s="192"/>
    </row>
    <row r="3133" spans="2:2" x14ac:dyDescent="0.25">
      <c r="B3133" s="192"/>
    </row>
    <row r="3134" spans="2:2" x14ac:dyDescent="0.25">
      <c r="B3134" s="192"/>
    </row>
    <row r="3135" spans="2:2" x14ac:dyDescent="0.25">
      <c r="B3135" s="192"/>
    </row>
    <row r="3136" spans="2:2" x14ac:dyDescent="0.25">
      <c r="B3136" s="192"/>
    </row>
    <row r="3137" spans="2:2" x14ac:dyDescent="0.25">
      <c r="B3137" s="192"/>
    </row>
    <row r="3138" spans="2:2" x14ac:dyDescent="0.25">
      <c r="B3138" s="192"/>
    </row>
    <row r="3139" spans="2:2" x14ac:dyDescent="0.25">
      <c r="B3139" s="192"/>
    </row>
    <row r="3140" spans="2:2" x14ac:dyDescent="0.25">
      <c r="B3140" s="192"/>
    </row>
    <row r="3141" spans="2:2" x14ac:dyDescent="0.25">
      <c r="B3141" s="192"/>
    </row>
    <row r="3142" spans="2:2" x14ac:dyDescent="0.25">
      <c r="B3142" s="192"/>
    </row>
    <row r="3143" spans="2:2" x14ac:dyDescent="0.25">
      <c r="B3143" s="192"/>
    </row>
    <row r="3144" spans="2:2" x14ac:dyDescent="0.25">
      <c r="B3144" s="192"/>
    </row>
    <row r="3145" spans="2:2" x14ac:dyDescent="0.25">
      <c r="B3145" s="192"/>
    </row>
    <row r="3146" spans="2:2" x14ac:dyDescent="0.25">
      <c r="B3146" s="192"/>
    </row>
    <row r="3147" spans="2:2" x14ac:dyDescent="0.25">
      <c r="B3147" s="192"/>
    </row>
    <row r="3148" spans="2:2" x14ac:dyDescent="0.25">
      <c r="B3148" s="192"/>
    </row>
    <row r="3149" spans="2:2" x14ac:dyDescent="0.25">
      <c r="B3149" s="192"/>
    </row>
    <row r="3150" spans="2:2" x14ac:dyDescent="0.25">
      <c r="B3150" s="192"/>
    </row>
    <row r="3151" spans="2:2" x14ac:dyDescent="0.25">
      <c r="B3151" s="192"/>
    </row>
    <row r="3152" spans="2:2" x14ac:dyDescent="0.25">
      <c r="B3152" s="192"/>
    </row>
    <row r="3153" spans="2:2" x14ac:dyDescent="0.25">
      <c r="B3153" s="192"/>
    </row>
    <row r="3154" spans="2:2" x14ac:dyDescent="0.25">
      <c r="B3154" s="192"/>
    </row>
    <row r="3155" spans="2:2" x14ac:dyDescent="0.25">
      <c r="B3155" s="192"/>
    </row>
    <row r="3156" spans="2:2" x14ac:dyDescent="0.25">
      <c r="B3156" s="192"/>
    </row>
    <row r="3157" spans="2:2" x14ac:dyDescent="0.25">
      <c r="B3157" s="192"/>
    </row>
    <row r="3158" spans="2:2" x14ac:dyDescent="0.25">
      <c r="B3158" s="192"/>
    </row>
    <row r="3159" spans="2:2" x14ac:dyDescent="0.25">
      <c r="B3159" s="192"/>
    </row>
    <row r="3160" spans="2:2" x14ac:dyDescent="0.25">
      <c r="B3160" s="192"/>
    </row>
    <row r="3161" spans="2:2" x14ac:dyDescent="0.25">
      <c r="B3161" s="192"/>
    </row>
    <row r="3162" spans="2:2" x14ac:dyDescent="0.25">
      <c r="B3162" s="192"/>
    </row>
    <row r="3163" spans="2:2" x14ac:dyDescent="0.25">
      <c r="B3163" s="192"/>
    </row>
    <row r="3164" spans="2:2" x14ac:dyDescent="0.25">
      <c r="B3164" s="192"/>
    </row>
    <row r="3165" spans="2:2" x14ac:dyDescent="0.25">
      <c r="B3165" s="192"/>
    </row>
    <row r="3166" spans="2:2" x14ac:dyDescent="0.25">
      <c r="B3166" s="192"/>
    </row>
    <row r="3167" spans="2:2" x14ac:dyDescent="0.25">
      <c r="B3167" s="192"/>
    </row>
    <row r="3168" spans="2:2" x14ac:dyDescent="0.25">
      <c r="B3168" s="192"/>
    </row>
    <row r="3169" spans="2:2" x14ac:dyDescent="0.25">
      <c r="B3169" s="192"/>
    </row>
    <row r="3170" spans="2:2" x14ac:dyDescent="0.25">
      <c r="B3170" s="192"/>
    </row>
    <row r="3171" spans="2:2" x14ac:dyDescent="0.25">
      <c r="B3171" s="192"/>
    </row>
    <row r="3172" spans="2:2" x14ac:dyDescent="0.25">
      <c r="B3172" s="192"/>
    </row>
    <row r="3173" spans="2:2" x14ac:dyDescent="0.25">
      <c r="B3173" s="192"/>
    </row>
    <row r="3174" spans="2:2" x14ac:dyDescent="0.25">
      <c r="B3174" s="192"/>
    </row>
    <row r="3175" spans="2:2" x14ac:dyDescent="0.25">
      <c r="B3175" s="192"/>
    </row>
    <row r="3176" spans="2:2" x14ac:dyDescent="0.25">
      <c r="B3176" s="192"/>
    </row>
    <row r="3177" spans="2:2" x14ac:dyDescent="0.25">
      <c r="B3177" s="192"/>
    </row>
    <row r="3178" spans="2:2" x14ac:dyDescent="0.25">
      <c r="B3178" s="192"/>
    </row>
    <row r="3179" spans="2:2" x14ac:dyDescent="0.25">
      <c r="B3179" s="192"/>
    </row>
    <row r="3180" spans="2:2" x14ac:dyDescent="0.25">
      <c r="B3180" s="192"/>
    </row>
    <row r="3181" spans="2:2" x14ac:dyDescent="0.25">
      <c r="B3181" s="192"/>
    </row>
    <row r="3182" spans="2:2" x14ac:dyDescent="0.25">
      <c r="B3182" s="192"/>
    </row>
    <row r="3183" spans="2:2" x14ac:dyDescent="0.25">
      <c r="B3183" s="192"/>
    </row>
    <row r="3184" spans="2:2" x14ac:dyDescent="0.25">
      <c r="B3184" s="192"/>
    </row>
    <row r="3185" spans="2:2" x14ac:dyDescent="0.25">
      <c r="B3185" s="192"/>
    </row>
    <row r="3186" spans="2:2" x14ac:dyDescent="0.25">
      <c r="B3186" s="192"/>
    </row>
    <row r="3187" spans="2:2" x14ac:dyDescent="0.25">
      <c r="B3187" s="192"/>
    </row>
    <row r="3188" spans="2:2" x14ac:dyDescent="0.25">
      <c r="B3188" s="192"/>
    </row>
    <row r="3189" spans="2:2" x14ac:dyDescent="0.25">
      <c r="B3189" s="192"/>
    </row>
    <row r="3190" spans="2:2" x14ac:dyDescent="0.25">
      <c r="B3190" s="192"/>
    </row>
    <row r="3191" spans="2:2" x14ac:dyDescent="0.25">
      <c r="B3191" s="192"/>
    </row>
    <row r="3192" spans="2:2" x14ac:dyDescent="0.25">
      <c r="B3192" s="192"/>
    </row>
    <row r="3193" spans="2:2" x14ac:dyDescent="0.25">
      <c r="B3193" s="192"/>
    </row>
    <row r="3194" spans="2:2" x14ac:dyDescent="0.25">
      <c r="B3194" s="192"/>
    </row>
    <row r="3195" spans="2:2" x14ac:dyDescent="0.25">
      <c r="B3195" s="192"/>
    </row>
    <row r="3196" spans="2:2" x14ac:dyDescent="0.25">
      <c r="B3196" s="192"/>
    </row>
    <row r="3197" spans="2:2" x14ac:dyDescent="0.25">
      <c r="B3197" s="192"/>
    </row>
    <row r="3198" spans="2:2" x14ac:dyDescent="0.25">
      <c r="B3198" s="192"/>
    </row>
    <row r="3199" spans="2:2" x14ac:dyDescent="0.25">
      <c r="B3199" s="192"/>
    </row>
    <row r="3200" spans="2:2" x14ac:dyDescent="0.25">
      <c r="B3200" s="192"/>
    </row>
    <row r="3201" spans="2:2" x14ac:dyDescent="0.25">
      <c r="B3201" s="192"/>
    </row>
    <row r="3202" spans="2:2" x14ac:dyDescent="0.25">
      <c r="B3202" s="192"/>
    </row>
    <row r="3203" spans="2:2" x14ac:dyDescent="0.25">
      <c r="B3203" s="192"/>
    </row>
    <row r="3204" spans="2:2" x14ac:dyDescent="0.25">
      <c r="B3204" s="192"/>
    </row>
    <row r="3205" spans="2:2" x14ac:dyDescent="0.25">
      <c r="B3205" s="192"/>
    </row>
    <row r="3206" spans="2:2" x14ac:dyDescent="0.25">
      <c r="B3206" s="192"/>
    </row>
    <row r="3207" spans="2:2" x14ac:dyDescent="0.25">
      <c r="B3207" s="192"/>
    </row>
    <row r="3208" spans="2:2" x14ac:dyDescent="0.25">
      <c r="B3208" s="192"/>
    </row>
    <row r="3209" spans="2:2" x14ac:dyDescent="0.25">
      <c r="B3209" s="192"/>
    </row>
    <row r="3210" spans="2:2" x14ac:dyDescent="0.25">
      <c r="B3210" s="192"/>
    </row>
    <row r="3211" spans="2:2" x14ac:dyDescent="0.25">
      <c r="B3211" s="192"/>
    </row>
    <row r="3212" spans="2:2" x14ac:dyDescent="0.25">
      <c r="B3212" s="192"/>
    </row>
    <row r="3213" spans="2:2" x14ac:dyDescent="0.25">
      <c r="B3213" s="192"/>
    </row>
    <row r="3214" spans="2:2" x14ac:dyDescent="0.25">
      <c r="B3214" s="192"/>
    </row>
    <row r="3215" spans="2:2" x14ac:dyDescent="0.25">
      <c r="B3215" s="192"/>
    </row>
    <row r="3216" spans="2:2" x14ac:dyDescent="0.25">
      <c r="B3216" s="192"/>
    </row>
    <row r="3217" spans="2:2" x14ac:dyDescent="0.25">
      <c r="B3217" s="192"/>
    </row>
    <row r="3218" spans="2:2" x14ac:dyDescent="0.25">
      <c r="B3218" s="192"/>
    </row>
    <row r="3219" spans="2:2" x14ac:dyDescent="0.25">
      <c r="B3219" s="192"/>
    </row>
    <row r="3220" spans="2:2" x14ac:dyDescent="0.25">
      <c r="B3220" s="192"/>
    </row>
    <row r="3221" spans="2:2" x14ac:dyDescent="0.25">
      <c r="B3221" s="192"/>
    </row>
    <row r="3222" spans="2:2" x14ac:dyDescent="0.25">
      <c r="B3222" s="192"/>
    </row>
    <row r="3223" spans="2:2" x14ac:dyDescent="0.25">
      <c r="B3223" s="192"/>
    </row>
    <row r="3224" spans="2:2" x14ac:dyDescent="0.25">
      <c r="B3224" s="192"/>
    </row>
    <row r="3225" spans="2:2" x14ac:dyDescent="0.25">
      <c r="B3225" s="192"/>
    </row>
    <row r="3226" spans="2:2" x14ac:dyDescent="0.25">
      <c r="B3226" s="192"/>
    </row>
    <row r="3227" spans="2:2" x14ac:dyDescent="0.25">
      <c r="B3227" s="192"/>
    </row>
    <row r="3228" spans="2:2" x14ac:dyDescent="0.25">
      <c r="B3228" s="192"/>
    </row>
    <row r="3229" spans="2:2" x14ac:dyDescent="0.25">
      <c r="B3229" s="192"/>
    </row>
    <row r="3230" spans="2:2" x14ac:dyDescent="0.25">
      <c r="B3230" s="192"/>
    </row>
    <row r="3231" spans="2:2" x14ac:dyDescent="0.25">
      <c r="B3231" s="192"/>
    </row>
    <row r="3232" spans="2:2" x14ac:dyDescent="0.25">
      <c r="B3232" s="192"/>
    </row>
    <row r="3233" spans="2:2" x14ac:dyDescent="0.25">
      <c r="B3233" s="192"/>
    </row>
    <row r="3234" spans="2:2" x14ac:dyDescent="0.25">
      <c r="B3234" s="192"/>
    </row>
    <row r="3235" spans="2:2" x14ac:dyDescent="0.25">
      <c r="B3235" s="192"/>
    </row>
    <row r="3236" spans="2:2" x14ac:dyDescent="0.25">
      <c r="B3236" s="192"/>
    </row>
    <row r="3237" spans="2:2" x14ac:dyDescent="0.25">
      <c r="B3237" s="192"/>
    </row>
    <row r="3238" spans="2:2" x14ac:dyDescent="0.25">
      <c r="B3238" s="192"/>
    </row>
    <row r="3239" spans="2:2" x14ac:dyDescent="0.25">
      <c r="B3239" s="192"/>
    </row>
    <row r="3240" spans="2:2" x14ac:dyDescent="0.25">
      <c r="B3240" s="192"/>
    </row>
    <row r="3241" spans="2:2" x14ac:dyDescent="0.25">
      <c r="B3241" s="192"/>
    </row>
    <row r="3242" spans="2:2" x14ac:dyDescent="0.25">
      <c r="B3242" s="192"/>
    </row>
    <row r="3243" spans="2:2" x14ac:dyDescent="0.25">
      <c r="B3243" s="192"/>
    </row>
    <row r="3244" spans="2:2" x14ac:dyDescent="0.25">
      <c r="B3244" s="192"/>
    </row>
    <row r="3245" spans="2:2" x14ac:dyDescent="0.25">
      <c r="B3245" s="192"/>
    </row>
    <row r="3246" spans="2:2" x14ac:dyDescent="0.25">
      <c r="B3246" s="192"/>
    </row>
    <row r="3247" spans="2:2" x14ac:dyDescent="0.25">
      <c r="B3247" s="192"/>
    </row>
    <row r="3248" spans="2:2" x14ac:dyDescent="0.25">
      <c r="B3248" s="192"/>
    </row>
    <row r="3249" spans="2:2" x14ac:dyDescent="0.25">
      <c r="B3249" s="192"/>
    </row>
    <row r="3250" spans="2:2" x14ac:dyDescent="0.25">
      <c r="B3250" s="192"/>
    </row>
    <row r="3251" spans="2:2" x14ac:dyDescent="0.25">
      <c r="B3251" s="192"/>
    </row>
    <row r="3252" spans="2:2" x14ac:dyDescent="0.25">
      <c r="B3252" s="192"/>
    </row>
    <row r="3253" spans="2:2" x14ac:dyDescent="0.25">
      <c r="B3253" s="192"/>
    </row>
    <row r="3254" spans="2:2" x14ac:dyDescent="0.25">
      <c r="B3254" s="192"/>
    </row>
    <row r="3255" spans="2:2" x14ac:dyDescent="0.25">
      <c r="B3255" s="192"/>
    </row>
    <row r="3256" spans="2:2" x14ac:dyDescent="0.25">
      <c r="B3256" s="192"/>
    </row>
    <row r="3257" spans="2:2" x14ac:dyDescent="0.25">
      <c r="B3257" s="192"/>
    </row>
    <row r="3258" spans="2:2" x14ac:dyDescent="0.25">
      <c r="B3258" s="192"/>
    </row>
    <row r="3259" spans="2:2" x14ac:dyDescent="0.25">
      <c r="B3259" s="192"/>
    </row>
    <row r="3260" spans="2:2" x14ac:dyDescent="0.25">
      <c r="B3260" s="192"/>
    </row>
    <row r="3261" spans="2:2" x14ac:dyDescent="0.25">
      <c r="B3261" s="192"/>
    </row>
    <row r="3262" spans="2:2" x14ac:dyDescent="0.25">
      <c r="B3262" s="192"/>
    </row>
    <row r="3263" spans="2:2" x14ac:dyDescent="0.25">
      <c r="B3263" s="192"/>
    </row>
    <row r="3264" spans="2:2" x14ac:dyDescent="0.25">
      <c r="B3264" s="192"/>
    </row>
    <row r="3265" spans="2:2" x14ac:dyDescent="0.25">
      <c r="B3265" s="192"/>
    </row>
    <row r="3266" spans="2:2" x14ac:dyDescent="0.25">
      <c r="B3266" s="192"/>
    </row>
    <row r="3267" spans="2:2" x14ac:dyDescent="0.25">
      <c r="B3267" s="192"/>
    </row>
    <row r="3268" spans="2:2" x14ac:dyDescent="0.25">
      <c r="B3268" s="192"/>
    </row>
    <row r="3269" spans="2:2" x14ac:dyDescent="0.25">
      <c r="B3269" s="192"/>
    </row>
    <row r="3270" spans="2:2" x14ac:dyDescent="0.25">
      <c r="B3270" s="192"/>
    </row>
    <row r="3271" spans="2:2" x14ac:dyDescent="0.25">
      <c r="B3271" s="192"/>
    </row>
    <row r="3272" spans="2:2" x14ac:dyDescent="0.25">
      <c r="B3272" s="192"/>
    </row>
    <row r="3273" spans="2:2" x14ac:dyDescent="0.25">
      <c r="B3273" s="192"/>
    </row>
    <row r="3274" spans="2:2" x14ac:dyDescent="0.25">
      <c r="B3274" s="192"/>
    </row>
    <row r="3275" spans="2:2" x14ac:dyDescent="0.25">
      <c r="B3275" s="192"/>
    </row>
    <row r="3276" spans="2:2" x14ac:dyDescent="0.25">
      <c r="B3276" s="192"/>
    </row>
    <row r="3277" spans="2:2" x14ac:dyDescent="0.25">
      <c r="B3277" s="192"/>
    </row>
    <row r="3278" spans="2:2" x14ac:dyDescent="0.25">
      <c r="B3278" s="192"/>
    </row>
    <row r="3279" spans="2:2" x14ac:dyDescent="0.25">
      <c r="B3279" s="192"/>
    </row>
    <row r="3280" spans="2:2" x14ac:dyDescent="0.25">
      <c r="B3280" s="192"/>
    </row>
    <row r="3281" spans="2:2" x14ac:dyDescent="0.25">
      <c r="B3281" s="192"/>
    </row>
    <row r="3282" spans="2:2" x14ac:dyDescent="0.25">
      <c r="B3282" s="192"/>
    </row>
    <row r="3283" spans="2:2" x14ac:dyDescent="0.25">
      <c r="B3283" s="192"/>
    </row>
    <row r="3284" spans="2:2" x14ac:dyDescent="0.25">
      <c r="B3284" s="192"/>
    </row>
    <row r="3285" spans="2:2" x14ac:dyDescent="0.25">
      <c r="B3285" s="192"/>
    </row>
    <row r="3286" spans="2:2" x14ac:dyDescent="0.25">
      <c r="B3286" s="192"/>
    </row>
    <row r="3287" spans="2:2" x14ac:dyDescent="0.25">
      <c r="B3287" s="192"/>
    </row>
    <row r="3288" spans="2:2" x14ac:dyDescent="0.25">
      <c r="B3288" s="192"/>
    </row>
    <row r="3289" spans="2:2" x14ac:dyDescent="0.25">
      <c r="B3289" s="192"/>
    </row>
    <row r="3290" spans="2:2" x14ac:dyDescent="0.25">
      <c r="B3290" s="192"/>
    </row>
    <row r="3291" spans="2:2" x14ac:dyDescent="0.25">
      <c r="B3291" s="192"/>
    </row>
    <row r="3292" spans="2:2" x14ac:dyDescent="0.25">
      <c r="B3292" s="192"/>
    </row>
    <row r="3293" spans="2:2" x14ac:dyDescent="0.25">
      <c r="B3293" s="192"/>
    </row>
    <row r="3294" spans="2:2" x14ac:dyDescent="0.25">
      <c r="B3294" s="192"/>
    </row>
    <row r="3295" spans="2:2" x14ac:dyDescent="0.25">
      <c r="B3295" s="192"/>
    </row>
    <row r="3296" spans="2:2" x14ac:dyDescent="0.25">
      <c r="B3296" s="192"/>
    </row>
    <row r="3297" spans="2:2" x14ac:dyDescent="0.25">
      <c r="B3297" s="192"/>
    </row>
    <row r="3298" spans="2:2" x14ac:dyDescent="0.25">
      <c r="B3298" s="192"/>
    </row>
    <row r="3299" spans="2:2" x14ac:dyDescent="0.25">
      <c r="B3299" s="192"/>
    </row>
    <row r="3300" spans="2:2" x14ac:dyDescent="0.25">
      <c r="B3300" s="192"/>
    </row>
    <row r="3301" spans="2:2" x14ac:dyDescent="0.25">
      <c r="B3301" s="192"/>
    </row>
    <row r="3302" spans="2:2" x14ac:dyDescent="0.25">
      <c r="B3302" s="192"/>
    </row>
    <row r="3303" spans="2:2" x14ac:dyDescent="0.25">
      <c r="B3303" s="192"/>
    </row>
    <row r="3304" spans="2:2" x14ac:dyDescent="0.25">
      <c r="B3304" s="192"/>
    </row>
    <row r="3305" spans="2:2" x14ac:dyDescent="0.25">
      <c r="B3305" s="192"/>
    </row>
    <row r="3306" spans="2:2" x14ac:dyDescent="0.25">
      <c r="B3306" s="192"/>
    </row>
    <row r="3307" spans="2:2" x14ac:dyDescent="0.25">
      <c r="B3307" s="192"/>
    </row>
    <row r="3308" spans="2:2" x14ac:dyDescent="0.25">
      <c r="B3308" s="192"/>
    </row>
    <row r="3309" spans="2:2" x14ac:dyDescent="0.25">
      <c r="B3309" s="192"/>
    </row>
    <row r="3310" spans="2:2" x14ac:dyDescent="0.25">
      <c r="B3310" s="192"/>
    </row>
    <row r="3311" spans="2:2" x14ac:dyDescent="0.25">
      <c r="B3311" s="192"/>
    </row>
    <row r="3312" spans="2:2" x14ac:dyDescent="0.25">
      <c r="B3312" s="192"/>
    </row>
    <row r="3313" spans="2:2" x14ac:dyDescent="0.25">
      <c r="B3313" s="192"/>
    </row>
    <row r="3314" spans="2:2" x14ac:dyDescent="0.25">
      <c r="B3314" s="192"/>
    </row>
    <row r="3315" spans="2:2" x14ac:dyDescent="0.25">
      <c r="B3315" s="192"/>
    </row>
    <row r="3316" spans="2:2" x14ac:dyDescent="0.25">
      <c r="B3316" s="192"/>
    </row>
    <row r="3317" spans="2:2" x14ac:dyDescent="0.25">
      <c r="B3317" s="192"/>
    </row>
    <row r="3318" spans="2:2" x14ac:dyDescent="0.25">
      <c r="B3318" s="192"/>
    </row>
    <row r="3319" spans="2:2" x14ac:dyDescent="0.25">
      <c r="B3319" s="192"/>
    </row>
    <row r="3320" spans="2:2" x14ac:dyDescent="0.25">
      <c r="B3320" s="192"/>
    </row>
    <row r="3321" spans="2:2" x14ac:dyDescent="0.25">
      <c r="B3321" s="192"/>
    </row>
    <row r="3322" spans="2:2" x14ac:dyDescent="0.25">
      <c r="B3322" s="192"/>
    </row>
    <row r="3323" spans="2:2" x14ac:dyDescent="0.25">
      <c r="B3323" s="192"/>
    </row>
    <row r="3324" spans="2:2" x14ac:dyDescent="0.25">
      <c r="B3324" s="192"/>
    </row>
    <row r="3325" spans="2:2" x14ac:dyDescent="0.25">
      <c r="B3325" s="192"/>
    </row>
    <row r="3326" spans="2:2" x14ac:dyDescent="0.25">
      <c r="B3326" s="192"/>
    </row>
    <row r="3327" spans="2:2" x14ac:dyDescent="0.25">
      <c r="B3327" s="192"/>
    </row>
    <row r="3328" spans="2:2" x14ac:dyDescent="0.25">
      <c r="B3328" s="192"/>
    </row>
    <row r="3329" spans="2:2" x14ac:dyDescent="0.25">
      <c r="B3329" s="192"/>
    </row>
    <row r="3330" spans="2:2" x14ac:dyDescent="0.25">
      <c r="B3330" s="192"/>
    </row>
    <row r="3331" spans="2:2" x14ac:dyDescent="0.25">
      <c r="B3331" s="192"/>
    </row>
    <row r="3332" spans="2:2" x14ac:dyDescent="0.25">
      <c r="B3332" s="192"/>
    </row>
    <row r="3333" spans="2:2" x14ac:dyDescent="0.25">
      <c r="B3333" s="192"/>
    </row>
    <row r="3334" spans="2:2" x14ac:dyDescent="0.25">
      <c r="B3334" s="192"/>
    </row>
    <row r="3335" spans="2:2" x14ac:dyDescent="0.25">
      <c r="B3335" s="192"/>
    </row>
    <row r="3336" spans="2:2" x14ac:dyDescent="0.25">
      <c r="B3336" s="192"/>
    </row>
    <row r="3337" spans="2:2" x14ac:dyDescent="0.25">
      <c r="B3337" s="192"/>
    </row>
    <row r="3338" spans="2:2" x14ac:dyDescent="0.25">
      <c r="B3338" s="192"/>
    </row>
    <row r="3339" spans="2:2" x14ac:dyDescent="0.25">
      <c r="B3339" s="192"/>
    </row>
    <row r="3340" spans="2:2" x14ac:dyDescent="0.25">
      <c r="B3340" s="192"/>
    </row>
    <row r="3341" spans="2:2" x14ac:dyDescent="0.25">
      <c r="B3341" s="192"/>
    </row>
    <row r="3342" spans="2:2" x14ac:dyDescent="0.25">
      <c r="B3342" s="192"/>
    </row>
    <row r="3343" spans="2:2" x14ac:dyDescent="0.25">
      <c r="B3343" s="192"/>
    </row>
    <row r="3344" spans="2:2" x14ac:dyDescent="0.25">
      <c r="B3344" s="192"/>
    </row>
    <row r="3345" spans="2:2" x14ac:dyDescent="0.25">
      <c r="B3345" s="192"/>
    </row>
    <row r="3346" spans="2:2" x14ac:dyDescent="0.25">
      <c r="B3346" s="192"/>
    </row>
    <row r="3347" spans="2:2" x14ac:dyDescent="0.25">
      <c r="B3347" s="192"/>
    </row>
    <row r="3348" spans="2:2" x14ac:dyDescent="0.25">
      <c r="B3348" s="192"/>
    </row>
    <row r="3349" spans="2:2" x14ac:dyDescent="0.25">
      <c r="B3349" s="192"/>
    </row>
    <row r="3350" spans="2:2" x14ac:dyDescent="0.25">
      <c r="B3350" s="192"/>
    </row>
    <row r="3351" spans="2:2" x14ac:dyDescent="0.25">
      <c r="B3351" s="192"/>
    </row>
    <row r="3352" spans="2:2" x14ac:dyDescent="0.25">
      <c r="B3352" s="192"/>
    </row>
    <row r="3353" spans="2:2" x14ac:dyDescent="0.25">
      <c r="B3353" s="192"/>
    </row>
    <row r="3354" spans="2:2" x14ac:dyDescent="0.25">
      <c r="B3354" s="192"/>
    </row>
    <row r="3355" spans="2:2" x14ac:dyDescent="0.25">
      <c r="B3355" s="192"/>
    </row>
    <row r="3356" spans="2:2" x14ac:dyDescent="0.25">
      <c r="B3356" s="192"/>
    </row>
    <row r="3357" spans="2:2" x14ac:dyDescent="0.25">
      <c r="B3357" s="192"/>
    </row>
    <row r="3358" spans="2:2" x14ac:dyDescent="0.25">
      <c r="B3358" s="192"/>
    </row>
    <row r="3359" spans="2:2" x14ac:dyDescent="0.25">
      <c r="B3359" s="192"/>
    </row>
    <row r="3360" spans="2:2" x14ac:dyDescent="0.25">
      <c r="B3360" s="192"/>
    </row>
    <row r="3361" spans="2:2" x14ac:dyDescent="0.25">
      <c r="B3361" s="192"/>
    </row>
    <row r="3362" spans="2:2" x14ac:dyDescent="0.25">
      <c r="B3362" s="192"/>
    </row>
    <row r="3363" spans="2:2" x14ac:dyDescent="0.25">
      <c r="B3363" s="192"/>
    </row>
    <row r="3364" spans="2:2" x14ac:dyDescent="0.25">
      <c r="B3364" s="192"/>
    </row>
    <row r="3365" spans="2:2" x14ac:dyDescent="0.25">
      <c r="B3365" s="192"/>
    </row>
    <row r="3366" spans="2:2" x14ac:dyDescent="0.25">
      <c r="B3366" s="192"/>
    </row>
    <row r="3367" spans="2:2" x14ac:dyDescent="0.25">
      <c r="B3367" s="192"/>
    </row>
    <row r="3368" spans="2:2" x14ac:dyDescent="0.25">
      <c r="B3368" s="192"/>
    </row>
    <row r="3369" spans="2:2" x14ac:dyDescent="0.25">
      <c r="B3369" s="192"/>
    </row>
    <row r="3370" spans="2:2" x14ac:dyDescent="0.25">
      <c r="B3370" s="192"/>
    </row>
    <row r="3371" spans="2:2" x14ac:dyDescent="0.25">
      <c r="B3371" s="192"/>
    </row>
    <row r="3372" spans="2:2" x14ac:dyDescent="0.25">
      <c r="B3372" s="192"/>
    </row>
    <row r="3373" spans="2:2" x14ac:dyDescent="0.25">
      <c r="B3373" s="192"/>
    </row>
    <row r="3374" spans="2:2" x14ac:dyDescent="0.25">
      <c r="B3374" s="192"/>
    </row>
    <row r="3375" spans="2:2" x14ac:dyDescent="0.25">
      <c r="B3375" s="192"/>
    </row>
    <row r="3376" spans="2:2" x14ac:dyDescent="0.25">
      <c r="B3376" s="192"/>
    </row>
    <row r="3377" spans="2:2" x14ac:dyDescent="0.25">
      <c r="B3377" s="192"/>
    </row>
    <row r="3378" spans="2:2" x14ac:dyDescent="0.25">
      <c r="B3378" s="192"/>
    </row>
    <row r="3379" spans="2:2" x14ac:dyDescent="0.25">
      <c r="B3379" s="192"/>
    </row>
    <row r="3380" spans="2:2" x14ac:dyDescent="0.25">
      <c r="B3380" s="192"/>
    </row>
    <row r="3381" spans="2:2" x14ac:dyDescent="0.25">
      <c r="B3381" s="192"/>
    </row>
    <row r="3382" spans="2:2" x14ac:dyDescent="0.25">
      <c r="B3382" s="192"/>
    </row>
    <row r="3383" spans="2:2" x14ac:dyDescent="0.25">
      <c r="B3383" s="192"/>
    </row>
    <row r="3384" spans="2:2" x14ac:dyDescent="0.25">
      <c r="B3384" s="192"/>
    </row>
    <row r="3385" spans="2:2" x14ac:dyDescent="0.25">
      <c r="B3385" s="192"/>
    </row>
    <row r="3386" spans="2:2" x14ac:dyDescent="0.25">
      <c r="B3386" s="192"/>
    </row>
    <row r="3387" spans="2:2" x14ac:dyDescent="0.25">
      <c r="B3387" s="192"/>
    </row>
    <row r="3388" spans="2:2" x14ac:dyDescent="0.25">
      <c r="B3388" s="192"/>
    </row>
    <row r="3389" spans="2:2" x14ac:dyDescent="0.25">
      <c r="B3389" s="192"/>
    </row>
    <row r="3390" spans="2:2" x14ac:dyDescent="0.25">
      <c r="B3390" s="192"/>
    </row>
    <row r="3391" spans="2:2" x14ac:dyDescent="0.25">
      <c r="B3391" s="192"/>
    </row>
    <row r="3392" spans="2:2" x14ac:dyDescent="0.25">
      <c r="B3392" s="192"/>
    </row>
    <row r="3393" spans="2:2" x14ac:dyDescent="0.25">
      <c r="B3393" s="192"/>
    </row>
    <row r="3394" spans="2:2" x14ac:dyDescent="0.25">
      <c r="B3394" s="192"/>
    </row>
    <row r="3395" spans="2:2" x14ac:dyDescent="0.25">
      <c r="B3395" s="192"/>
    </row>
    <row r="3396" spans="2:2" x14ac:dyDescent="0.25">
      <c r="B3396" s="192"/>
    </row>
    <row r="3397" spans="2:2" x14ac:dyDescent="0.25">
      <c r="B3397" s="192"/>
    </row>
    <row r="3398" spans="2:2" x14ac:dyDescent="0.25">
      <c r="B3398" s="192"/>
    </row>
    <row r="3399" spans="2:2" x14ac:dyDescent="0.25">
      <c r="B3399" s="192"/>
    </row>
    <row r="3400" spans="2:2" x14ac:dyDescent="0.25">
      <c r="B3400" s="192"/>
    </row>
    <row r="3401" spans="2:2" x14ac:dyDescent="0.25">
      <c r="B3401" s="192"/>
    </row>
    <row r="3402" spans="2:2" x14ac:dyDescent="0.25">
      <c r="B3402" s="192"/>
    </row>
    <row r="3403" spans="2:2" x14ac:dyDescent="0.25">
      <c r="B3403" s="192"/>
    </row>
    <row r="3404" spans="2:2" x14ac:dyDescent="0.25">
      <c r="B3404" s="192"/>
    </row>
    <row r="3405" spans="2:2" x14ac:dyDescent="0.25">
      <c r="B3405" s="192"/>
    </row>
    <row r="3406" spans="2:2" x14ac:dyDescent="0.25">
      <c r="B3406" s="192"/>
    </row>
    <row r="3407" spans="2:2" x14ac:dyDescent="0.25">
      <c r="B3407" s="192"/>
    </row>
    <row r="3408" spans="2:2" x14ac:dyDescent="0.25">
      <c r="B3408" s="192"/>
    </row>
    <row r="3409" spans="2:2" x14ac:dyDescent="0.25">
      <c r="B3409" s="192"/>
    </row>
    <row r="3410" spans="2:2" x14ac:dyDescent="0.25">
      <c r="B3410" s="192"/>
    </row>
    <row r="3411" spans="2:2" x14ac:dyDescent="0.25">
      <c r="B3411" s="192"/>
    </row>
    <row r="3412" spans="2:2" x14ac:dyDescent="0.25">
      <c r="B3412" s="192"/>
    </row>
    <row r="3413" spans="2:2" x14ac:dyDescent="0.25">
      <c r="B3413" s="192"/>
    </row>
    <row r="3414" spans="2:2" x14ac:dyDescent="0.25">
      <c r="B3414" s="192"/>
    </row>
    <row r="3415" spans="2:2" x14ac:dyDescent="0.25">
      <c r="B3415" s="192"/>
    </row>
    <row r="3416" spans="2:2" x14ac:dyDescent="0.25">
      <c r="B3416" s="192"/>
    </row>
    <row r="3417" spans="2:2" x14ac:dyDescent="0.25">
      <c r="B3417" s="192"/>
    </row>
    <row r="3418" spans="2:2" x14ac:dyDescent="0.25">
      <c r="B3418" s="192"/>
    </row>
    <row r="3419" spans="2:2" x14ac:dyDescent="0.25">
      <c r="B3419" s="192"/>
    </row>
    <row r="3420" spans="2:2" x14ac:dyDescent="0.25">
      <c r="B3420" s="192"/>
    </row>
    <row r="3421" spans="2:2" x14ac:dyDescent="0.25">
      <c r="B3421" s="192"/>
    </row>
    <row r="3422" spans="2:2" x14ac:dyDescent="0.25">
      <c r="B3422" s="192"/>
    </row>
    <row r="3423" spans="2:2" x14ac:dyDescent="0.25">
      <c r="B3423" s="192"/>
    </row>
    <row r="3424" spans="2:2" x14ac:dyDescent="0.25">
      <c r="B3424" s="192"/>
    </row>
    <row r="3425" spans="2:2" x14ac:dyDescent="0.25">
      <c r="B3425" s="192"/>
    </row>
    <row r="3426" spans="2:2" x14ac:dyDescent="0.25">
      <c r="B3426" s="192"/>
    </row>
    <row r="3427" spans="2:2" x14ac:dyDescent="0.25">
      <c r="B3427" s="192"/>
    </row>
    <row r="3428" spans="2:2" x14ac:dyDescent="0.25">
      <c r="B3428" s="192"/>
    </row>
    <row r="3429" spans="2:2" x14ac:dyDescent="0.25">
      <c r="B3429" s="192"/>
    </row>
    <row r="3430" spans="2:2" x14ac:dyDescent="0.25">
      <c r="B3430" s="192"/>
    </row>
    <row r="3431" spans="2:2" x14ac:dyDescent="0.25">
      <c r="B3431" s="192"/>
    </row>
    <row r="3432" spans="2:2" x14ac:dyDescent="0.25">
      <c r="B3432" s="192"/>
    </row>
    <row r="3433" spans="2:2" x14ac:dyDescent="0.25">
      <c r="B3433" s="192"/>
    </row>
    <row r="3434" spans="2:2" x14ac:dyDescent="0.25">
      <c r="B3434" s="192"/>
    </row>
    <row r="3435" spans="2:2" x14ac:dyDescent="0.25">
      <c r="B3435" s="192"/>
    </row>
    <row r="3436" spans="2:2" x14ac:dyDescent="0.25">
      <c r="B3436" s="192"/>
    </row>
    <row r="3437" spans="2:2" x14ac:dyDescent="0.25">
      <c r="B3437" s="192"/>
    </row>
    <row r="3438" spans="2:2" x14ac:dyDescent="0.25">
      <c r="B3438" s="192"/>
    </row>
    <row r="3439" spans="2:2" x14ac:dyDescent="0.25">
      <c r="B3439" s="192"/>
    </row>
    <row r="3440" spans="2:2" x14ac:dyDescent="0.25">
      <c r="B3440" s="192"/>
    </row>
    <row r="3441" spans="2:2" x14ac:dyDescent="0.25">
      <c r="B3441" s="192"/>
    </row>
    <row r="3442" spans="2:2" x14ac:dyDescent="0.25">
      <c r="B3442" s="192"/>
    </row>
    <row r="3443" spans="2:2" x14ac:dyDescent="0.25">
      <c r="B3443" s="192"/>
    </row>
    <row r="3444" spans="2:2" x14ac:dyDescent="0.25">
      <c r="B3444" s="192"/>
    </row>
    <row r="3445" spans="2:2" x14ac:dyDescent="0.25">
      <c r="B3445" s="192"/>
    </row>
    <row r="3446" spans="2:2" x14ac:dyDescent="0.25">
      <c r="B3446" s="192"/>
    </row>
    <row r="3447" spans="2:2" x14ac:dyDescent="0.25">
      <c r="B3447" s="192"/>
    </row>
    <row r="3448" spans="2:2" x14ac:dyDescent="0.25">
      <c r="B3448" s="192"/>
    </row>
    <row r="3449" spans="2:2" x14ac:dyDescent="0.25">
      <c r="B3449" s="192"/>
    </row>
    <row r="3450" spans="2:2" x14ac:dyDescent="0.25">
      <c r="B3450" s="192"/>
    </row>
    <row r="3451" spans="2:2" x14ac:dyDescent="0.25">
      <c r="B3451" s="192"/>
    </row>
    <row r="3452" spans="2:2" x14ac:dyDescent="0.25">
      <c r="B3452" s="192"/>
    </row>
    <row r="3453" spans="2:2" x14ac:dyDescent="0.25">
      <c r="B3453" s="192"/>
    </row>
    <row r="3454" spans="2:2" x14ac:dyDescent="0.25">
      <c r="B3454" s="192"/>
    </row>
    <row r="3455" spans="2:2" x14ac:dyDescent="0.25">
      <c r="B3455" s="192"/>
    </row>
    <row r="3456" spans="2:2" x14ac:dyDescent="0.25">
      <c r="B3456" s="192"/>
    </row>
    <row r="3457" spans="2:2" x14ac:dyDescent="0.25">
      <c r="B3457" s="192"/>
    </row>
    <row r="3458" spans="2:2" x14ac:dyDescent="0.25">
      <c r="B3458" s="192"/>
    </row>
    <row r="3459" spans="2:2" x14ac:dyDescent="0.25">
      <c r="B3459" s="192"/>
    </row>
    <row r="3460" spans="2:2" x14ac:dyDescent="0.25">
      <c r="B3460" s="192"/>
    </row>
    <row r="3461" spans="2:2" x14ac:dyDescent="0.25">
      <c r="B3461" s="192"/>
    </row>
    <row r="3462" spans="2:2" x14ac:dyDescent="0.25">
      <c r="B3462" s="192"/>
    </row>
    <row r="3463" spans="2:2" x14ac:dyDescent="0.25">
      <c r="B3463" s="192"/>
    </row>
    <row r="3464" spans="2:2" x14ac:dyDescent="0.25">
      <c r="B3464" s="192"/>
    </row>
    <row r="3465" spans="2:2" x14ac:dyDescent="0.25">
      <c r="B3465" s="192"/>
    </row>
    <row r="3466" spans="2:2" x14ac:dyDescent="0.25">
      <c r="B3466" s="192"/>
    </row>
    <row r="3467" spans="2:2" x14ac:dyDescent="0.25">
      <c r="B3467" s="192"/>
    </row>
    <row r="3468" spans="2:2" x14ac:dyDescent="0.25">
      <c r="B3468" s="192"/>
    </row>
    <row r="3469" spans="2:2" x14ac:dyDescent="0.25">
      <c r="B3469" s="192"/>
    </row>
    <row r="3470" spans="2:2" x14ac:dyDescent="0.25">
      <c r="B3470" s="192"/>
    </row>
    <row r="3471" spans="2:2" x14ac:dyDescent="0.25">
      <c r="B3471" s="192"/>
    </row>
    <row r="3472" spans="2:2" x14ac:dyDescent="0.25">
      <c r="B3472" s="192"/>
    </row>
    <row r="3473" spans="2:2" x14ac:dyDescent="0.25">
      <c r="B3473" s="192"/>
    </row>
    <row r="3474" spans="2:2" x14ac:dyDescent="0.25">
      <c r="B3474" s="192"/>
    </row>
    <row r="3475" spans="2:2" x14ac:dyDescent="0.25">
      <c r="B3475" s="192"/>
    </row>
    <row r="3476" spans="2:2" x14ac:dyDescent="0.25">
      <c r="B3476" s="192"/>
    </row>
    <row r="3477" spans="2:2" x14ac:dyDescent="0.25">
      <c r="B3477" s="192"/>
    </row>
    <row r="3478" spans="2:2" x14ac:dyDescent="0.25">
      <c r="B3478" s="192"/>
    </row>
    <row r="3479" spans="2:2" x14ac:dyDescent="0.25">
      <c r="B3479" s="192"/>
    </row>
    <row r="3480" spans="2:2" x14ac:dyDescent="0.25">
      <c r="B3480" s="192"/>
    </row>
    <row r="3481" spans="2:2" x14ac:dyDescent="0.25">
      <c r="B3481" s="192"/>
    </row>
    <row r="3482" spans="2:2" x14ac:dyDescent="0.25">
      <c r="B3482" s="192"/>
    </row>
    <row r="3483" spans="2:2" x14ac:dyDescent="0.25">
      <c r="B3483" s="192"/>
    </row>
    <row r="3484" spans="2:2" x14ac:dyDescent="0.25">
      <c r="B3484" s="192"/>
    </row>
    <row r="3485" spans="2:2" x14ac:dyDescent="0.25">
      <c r="B3485" s="192"/>
    </row>
    <row r="3486" spans="2:2" x14ac:dyDescent="0.25">
      <c r="B3486" s="192"/>
    </row>
    <row r="3487" spans="2:2" x14ac:dyDescent="0.25">
      <c r="B3487" s="192"/>
    </row>
    <row r="3488" spans="2:2" x14ac:dyDescent="0.25">
      <c r="B3488" s="192"/>
    </row>
    <row r="3489" spans="2:2" x14ac:dyDescent="0.25">
      <c r="B3489" s="192"/>
    </row>
    <row r="3490" spans="2:2" x14ac:dyDescent="0.25">
      <c r="B3490" s="192"/>
    </row>
    <row r="3491" spans="2:2" x14ac:dyDescent="0.25">
      <c r="B3491" s="192"/>
    </row>
    <row r="3492" spans="2:2" x14ac:dyDescent="0.25">
      <c r="B3492" s="192"/>
    </row>
    <row r="3493" spans="2:2" x14ac:dyDescent="0.25">
      <c r="B3493" s="192"/>
    </row>
    <row r="3494" spans="2:2" x14ac:dyDescent="0.25">
      <c r="B3494" s="192"/>
    </row>
    <row r="3495" spans="2:2" x14ac:dyDescent="0.25">
      <c r="B3495" s="192"/>
    </row>
    <row r="3496" spans="2:2" x14ac:dyDescent="0.25">
      <c r="B3496" s="192"/>
    </row>
    <row r="3497" spans="2:2" x14ac:dyDescent="0.25">
      <c r="B3497" s="192"/>
    </row>
    <row r="3498" spans="2:2" x14ac:dyDescent="0.25">
      <c r="B3498" s="192"/>
    </row>
    <row r="3499" spans="2:2" x14ac:dyDescent="0.25">
      <c r="B3499" s="192"/>
    </row>
    <row r="3500" spans="2:2" x14ac:dyDescent="0.25">
      <c r="B3500" s="192"/>
    </row>
    <row r="3501" spans="2:2" x14ac:dyDescent="0.25">
      <c r="B3501" s="192"/>
    </row>
    <row r="3502" spans="2:2" x14ac:dyDescent="0.25">
      <c r="B3502" s="192"/>
    </row>
    <row r="3503" spans="2:2" x14ac:dyDescent="0.25">
      <c r="B3503" s="192"/>
    </row>
    <row r="3504" spans="2:2" x14ac:dyDescent="0.25">
      <c r="B3504" s="192"/>
    </row>
    <row r="3505" spans="2:2" x14ac:dyDescent="0.25">
      <c r="B3505" s="192"/>
    </row>
    <row r="3506" spans="2:2" x14ac:dyDescent="0.25">
      <c r="B3506" s="192"/>
    </row>
    <row r="3507" spans="2:2" x14ac:dyDescent="0.25">
      <c r="B3507" s="192"/>
    </row>
    <row r="3508" spans="2:2" x14ac:dyDescent="0.25">
      <c r="B3508" s="192"/>
    </row>
    <row r="3509" spans="2:2" x14ac:dyDescent="0.25">
      <c r="B3509" s="192"/>
    </row>
    <row r="3510" spans="2:2" x14ac:dyDescent="0.25">
      <c r="B3510" s="192"/>
    </row>
    <row r="3511" spans="2:2" x14ac:dyDescent="0.25">
      <c r="B3511" s="192"/>
    </row>
    <row r="3512" spans="2:2" x14ac:dyDescent="0.25">
      <c r="B3512" s="192"/>
    </row>
    <row r="3513" spans="2:2" x14ac:dyDescent="0.25">
      <c r="B3513" s="192"/>
    </row>
    <row r="3514" spans="2:2" x14ac:dyDescent="0.25">
      <c r="B3514" s="192"/>
    </row>
    <row r="3515" spans="2:2" x14ac:dyDescent="0.25">
      <c r="B3515" s="192"/>
    </row>
    <row r="3516" spans="2:2" x14ac:dyDescent="0.25">
      <c r="B3516" s="192"/>
    </row>
    <row r="3517" spans="2:2" x14ac:dyDescent="0.25">
      <c r="B3517" s="192"/>
    </row>
    <row r="3518" spans="2:2" x14ac:dyDescent="0.25">
      <c r="B3518" s="192"/>
    </row>
    <row r="3519" spans="2:2" x14ac:dyDescent="0.25">
      <c r="B3519" s="192"/>
    </row>
    <row r="3520" spans="2:2" x14ac:dyDescent="0.25">
      <c r="B3520" s="192"/>
    </row>
    <row r="3521" spans="2:2" x14ac:dyDescent="0.25">
      <c r="B3521" s="192"/>
    </row>
    <row r="3522" spans="2:2" x14ac:dyDescent="0.25">
      <c r="B3522" s="192"/>
    </row>
    <row r="3523" spans="2:2" x14ac:dyDescent="0.25">
      <c r="B3523" s="192"/>
    </row>
    <row r="3524" spans="2:2" x14ac:dyDescent="0.25">
      <c r="B3524" s="192"/>
    </row>
    <row r="3525" spans="2:2" x14ac:dyDescent="0.25">
      <c r="B3525" s="192"/>
    </row>
    <row r="3526" spans="2:2" x14ac:dyDescent="0.25">
      <c r="B3526" s="192"/>
    </row>
    <row r="3527" spans="2:2" x14ac:dyDescent="0.25">
      <c r="B3527" s="192"/>
    </row>
    <row r="3528" spans="2:2" x14ac:dyDescent="0.25">
      <c r="B3528" s="192"/>
    </row>
    <row r="3529" spans="2:2" x14ac:dyDescent="0.25">
      <c r="B3529" s="192"/>
    </row>
    <row r="3530" spans="2:2" x14ac:dyDescent="0.25">
      <c r="B3530" s="192"/>
    </row>
    <row r="3531" spans="2:2" x14ac:dyDescent="0.25">
      <c r="B3531" s="192"/>
    </row>
    <row r="3532" spans="2:2" x14ac:dyDescent="0.25">
      <c r="B3532" s="192"/>
    </row>
    <row r="3533" spans="2:2" x14ac:dyDescent="0.25">
      <c r="B3533" s="192"/>
    </row>
    <row r="3534" spans="2:2" x14ac:dyDescent="0.25">
      <c r="B3534" s="192"/>
    </row>
    <row r="3535" spans="2:2" x14ac:dyDescent="0.25">
      <c r="B3535" s="192"/>
    </row>
    <row r="3536" spans="2:2" x14ac:dyDescent="0.25">
      <c r="B3536" s="192"/>
    </row>
    <row r="3537" spans="2:2" x14ac:dyDescent="0.25">
      <c r="B3537" s="192"/>
    </row>
    <row r="3538" spans="2:2" x14ac:dyDescent="0.25">
      <c r="B3538" s="192"/>
    </row>
    <row r="3539" spans="2:2" x14ac:dyDescent="0.25">
      <c r="B3539" s="192"/>
    </row>
    <row r="3540" spans="2:2" x14ac:dyDescent="0.25">
      <c r="B3540" s="192"/>
    </row>
    <row r="3541" spans="2:2" x14ac:dyDescent="0.25">
      <c r="B3541" s="192"/>
    </row>
    <row r="3542" spans="2:2" x14ac:dyDescent="0.25">
      <c r="B3542" s="192"/>
    </row>
    <row r="3543" spans="2:2" x14ac:dyDescent="0.25">
      <c r="B3543" s="192"/>
    </row>
    <row r="3544" spans="2:2" x14ac:dyDescent="0.25">
      <c r="B3544" s="192"/>
    </row>
    <row r="3545" spans="2:2" x14ac:dyDescent="0.25">
      <c r="B3545" s="192"/>
    </row>
    <row r="3546" spans="2:2" x14ac:dyDescent="0.25">
      <c r="B3546" s="192"/>
    </row>
    <row r="3547" spans="2:2" x14ac:dyDescent="0.25">
      <c r="B3547" s="192"/>
    </row>
    <row r="3548" spans="2:2" x14ac:dyDescent="0.25">
      <c r="B3548" s="192"/>
    </row>
    <row r="3549" spans="2:2" x14ac:dyDescent="0.25">
      <c r="B3549" s="192"/>
    </row>
    <row r="3550" spans="2:2" x14ac:dyDescent="0.25">
      <c r="B3550" s="192"/>
    </row>
    <row r="3551" spans="2:2" x14ac:dyDescent="0.25">
      <c r="B3551" s="192"/>
    </row>
    <row r="3552" spans="2:2" x14ac:dyDescent="0.25">
      <c r="B3552" s="192"/>
    </row>
    <row r="3553" spans="2:2" x14ac:dyDescent="0.25">
      <c r="B3553" s="192"/>
    </row>
    <row r="3554" spans="2:2" x14ac:dyDescent="0.25">
      <c r="B3554" s="192"/>
    </row>
    <row r="3555" spans="2:2" x14ac:dyDescent="0.25">
      <c r="B3555" s="192"/>
    </row>
    <row r="3556" spans="2:2" x14ac:dyDescent="0.25">
      <c r="B3556" s="192"/>
    </row>
    <row r="3557" spans="2:2" x14ac:dyDescent="0.25">
      <c r="B3557" s="192"/>
    </row>
    <row r="3558" spans="2:2" x14ac:dyDescent="0.25">
      <c r="B3558" s="192"/>
    </row>
    <row r="3559" spans="2:2" x14ac:dyDescent="0.25">
      <c r="B3559" s="192"/>
    </row>
    <row r="3560" spans="2:2" x14ac:dyDescent="0.25">
      <c r="B3560" s="192"/>
    </row>
    <row r="3561" spans="2:2" x14ac:dyDescent="0.25">
      <c r="B3561" s="192"/>
    </row>
    <row r="3562" spans="2:2" x14ac:dyDescent="0.25">
      <c r="B3562" s="192"/>
    </row>
    <row r="3563" spans="2:2" x14ac:dyDescent="0.25">
      <c r="B3563" s="192"/>
    </row>
    <row r="3564" spans="2:2" x14ac:dyDescent="0.25">
      <c r="B3564" s="192"/>
    </row>
    <row r="3565" spans="2:2" x14ac:dyDescent="0.25">
      <c r="B3565" s="192"/>
    </row>
    <row r="3566" spans="2:2" x14ac:dyDescent="0.25">
      <c r="B3566" s="192"/>
    </row>
    <row r="3567" spans="2:2" x14ac:dyDescent="0.25">
      <c r="B3567" s="192"/>
    </row>
    <row r="3568" spans="2:2" x14ac:dyDescent="0.25">
      <c r="B3568" s="192"/>
    </row>
    <row r="3569" spans="2:2" x14ac:dyDescent="0.25">
      <c r="B3569" s="192"/>
    </row>
    <row r="3570" spans="2:2" x14ac:dyDescent="0.25">
      <c r="B3570" s="192"/>
    </row>
    <row r="3571" spans="2:2" x14ac:dyDescent="0.25">
      <c r="B3571" s="192"/>
    </row>
    <row r="3572" spans="2:2" x14ac:dyDescent="0.25">
      <c r="B3572" s="192"/>
    </row>
    <row r="3573" spans="2:2" x14ac:dyDescent="0.25">
      <c r="B3573" s="192"/>
    </row>
    <row r="3574" spans="2:2" x14ac:dyDescent="0.25">
      <c r="B3574" s="192"/>
    </row>
    <row r="3575" spans="2:2" x14ac:dyDescent="0.25">
      <c r="B3575" s="192"/>
    </row>
    <row r="3576" spans="2:2" x14ac:dyDescent="0.25">
      <c r="B3576" s="192"/>
    </row>
    <row r="3577" spans="2:2" x14ac:dyDescent="0.25">
      <c r="B3577" s="192"/>
    </row>
    <row r="3578" spans="2:2" x14ac:dyDescent="0.25">
      <c r="B3578" s="192"/>
    </row>
    <row r="3579" spans="2:2" x14ac:dyDescent="0.25">
      <c r="B3579" s="192"/>
    </row>
    <row r="3580" spans="2:2" x14ac:dyDescent="0.25">
      <c r="B3580" s="192"/>
    </row>
    <row r="3581" spans="2:2" x14ac:dyDescent="0.25">
      <c r="B3581" s="192"/>
    </row>
    <row r="3582" spans="2:2" x14ac:dyDescent="0.25">
      <c r="B3582" s="192"/>
    </row>
    <row r="3583" spans="2:2" x14ac:dyDescent="0.25">
      <c r="B3583" s="192"/>
    </row>
    <row r="3584" spans="2:2" x14ac:dyDescent="0.25">
      <c r="B3584" s="192"/>
    </row>
    <row r="3585" spans="2:2" x14ac:dyDescent="0.25">
      <c r="B3585" s="192"/>
    </row>
    <row r="3586" spans="2:2" x14ac:dyDescent="0.25">
      <c r="B3586" s="192"/>
    </row>
    <row r="3587" spans="2:2" x14ac:dyDescent="0.25">
      <c r="B3587" s="192"/>
    </row>
    <row r="3588" spans="2:2" x14ac:dyDescent="0.25">
      <c r="B3588" s="192"/>
    </row>
    <row r="3589" spans="2:2" x14ac:dyDescent="0.25">
      <c r="B3589" s="192"/>
    </row>
    <row r="3590" spans="2:2" x14ac:dyDescent="0.25">
      <c r="B3590" s="192"/>
    </row>
    <row r="3591" spans="2:2" x14ac:dyDescent="0.25">
      <c r="B3591" s="192"/>
    </row>
    <row r="3592" spans="2:2" x14ac:dyDescent="0.25">
      <c r="B3592" s="192"/>
    </row>
    <row r="3593" spans="2:2" x14ac:dyDescent="0.25">
      <c r="B3593" s="192"/>
    </row>
    <row r="3594" spans="2:2" x14ac:dyDescent="0.25">
      <c r="B3594" s="192"/>
    </row>
    <row r="3595" spans="2:2" x14ac:dyDescent="0.25">
      <c r="B3595" s="192"/>
    </row>
    <row r="3596" spans="2:2" x14ac:dyDescent="0.25">
      <c r="B3596" s="192"/>
    </row>
    <row r="3597" spans="2:2" x14ac:dyDescent="0.25">
      <c r="B3597" s="192"/>
    </row>
    <row r="3598" spans="2:2" x14ac:dyDescent="0.25">
      <c r="B3598" s="192"/>
    </row>
    <row r="3599" spans="2:2" x14ac:dyDescent="0.25">
      <c r="B3599" s="192"/>
    </row>
    <row r="3600" spans="2:2" x14ac:dyDescent="0.25">
      <c r="B3600" s="192"/>
    </row>
    <row r="3601" spans="2:2" x14ac:dyDescent="0.25">
      <c r="B3601" s="192"/>
    </row>
    <row r="3602" spans="2:2" x14ac:dyDescent="0.25">
      <c r="B3602" s="192"/>
    </row>
    <row r="3603" spans="2:2" x14ac:dyDescent="0.25">
      <c r="B3603" s="192"/>
    </row>
    <row r="3604" spans="2:2" x14ac:dyDescent="0.25">
      <c r="B3604" s="192"/>
    </row>
    <row r="3605" spans="2:2" x14ac:dyDescent="0.25">
      <c r="B3605" s="192"/>
    </row>
    <row r="3606" spans="2:2" x14ac:dyDescent="0.25">
      <c r="B3606" s="192"/>
    </row>
    <row r="3607" spans="2:2" x14ac:dyDescent="0.25">
      <c r="B3607" s="192"/>
    </row>
    <row r="3608" spans="2:2" x14ac:dyDescent="0.25">
      <c r="B3608" s="192"/>
    </row>
    <row r="3609" spans="2:2" x14ac:dyDescent="0.25">
      <c r="B3609" s="192"/>
    </row>
    <row r="3610" spans="2:2" x14ac:dyDescent="0.25">
      <c r="B3610" s="192"/>
    </row>
    <row r="3611" spans="2:2" x14ac:dyDescent="0.25">
      <c r="B3611" s="192"/>
    </row>
    <row r="3612" spans="2:2" x14ac:dyDescent="0.25">
      <c r="B3612" s="192"/>
    </row>
    <row r="3613" spans="2:2" x14ac:dyDescent="0.25">
      <c r="B3613" s="192"/>
    </row>
    <row r="3614" spans="2:2" x14ac:dyDescent="0.25">
      <c r="B3614" s="192"/>
    </row>
    <row r="3615" spans="2:2" x14ac:dyDescent="0.25">
      <c r="B3615" s="192"/>
    </row>
    <row r="3616" spans="2:2" x14ac:dyDescent="0.25">
      <c r="B3616" s="192"/>
    </row>
    <row r="3617" spans="2:2" x14ac:dyDescent="0.25">
      <c r="B3617" s="192"/>
    </row>
    <row r="3618" spans="2:2" x14ac:dyDescent="0.25">
      <c r="B3618" s="192"/>
    </row>
    <row r="3619" spans="2:2" x14ac:dyDescent="0.25">
      <c r="B3619" s="192"/>
    </row>
    <row r="3620" spans="2:2" x14ac:dyDescent="0.25">
      <c r="B3620" s="192"/>
    </row>
    <row r="3621" spans="2:2" x14ac:dyDescent="0.25">
      <c r="B3621" s="192"/>
    </row>
    <row r="3622" spans="2:2" x14ac:dyDescent="0.25">
      <c r="B3622" s="192"/>
    </row>
    <row r="3623" spans="2:2" x14ac:dyDescent="0.25">
      <c r="B3623" s="192"/>
    </row>
    <row r="3624" spans="2:2" x14ac:dyDescent="0.25">
      <c r="B3624" s="192"/>
    </row>
    <row r="3625" spans="2:2" x14ac:dyDescent="0.25">
      <c r="B3625" s="192"/>
    </row>
    <row r="3626" spans="2:2" x14ac:dyDescent="0.25">
      <c r="B3626" s="192"/>
    </row>
    <row r="3627" spans="2:2" x14ac:dyDescent="0.25">
      <c r="B3627" s="192"/>
    </row>
    <row r="3628" spans="2:2" x14ac:dyDescent="0.25">
      <c r="B3628" s="192"/>
    </row>
    <row r="3629" spans="2:2" x14ac:dyDescent="0.25">
      <c r="B3629" s="192"/>
    </row>
    <row r="3630" spans="2:2" x14ac:dyDescent="0.25">
      <c r="B3630" s="192"/>
    </row>
    <row r="3631" spans="2:2" x14ac:dyDescent="0.25">
      <c r="B3631" s="192"/>
    </row>
    <row r="3632" spans="2:2" x14ac:dyDescent="0.25">
      <c r="B3632" s="192"/>
    </row>
    <row r="3633" spans="2:2" x14ac:dyDescent="0.25">
      <c r="B3633" s="192"/>
    </row>
    <row r="3634" spans="2:2" x14ac:dyDescent="0.25">
      <c r="B3634" s="192"/>
    </row>
    <row r="3635" spans="2:2" x14ac:dyDescent="0.25">
      <c r="B3635" s="192"/>
    </row>
    <row r="3636" spans="2:2" x14ac:dyDescent="0.25">
      <c r="B3636" s="192"/>
    </row>
    <row r="3637" spans="2:2" x14ac:dyDescent="0.25">
      <c r="B3637" s="192"/>
    </row>
    <row r="3638" spans="2:2" x14ac:dyDescent="0.25">
      <c r="B3638" s="192"/>
    </row>
    <row r="3639" spans="2:2" x14ac:dyDescent="0.25">
      <c r="B3639" s="192"/>
    </row>
    <row r="3640" spans="2:2" x14ac:dyDescent="0.25">
      <c r="B3640" s="192"/>
    </row>
    <row r="3641" spans="2:2" x14ac:dyDescent="0.25">
      <c r="B3641" s="192"/>
    </row>
    <row r="3642" spans="2:2" x14ac:dyDescent="0.25">
      <c r="B3642" s="192"/>
    </row>
    <row r="3643" spans="2:2" x14ac:dyDescent="0.25">
      <c r="B3643" s="192"/>
    </row>
    <row r="3644" spans="2:2" x14ac:dyDescent="0.25">
      <c r="B3644" s="192"/>
    </row>
    <row r="3645" spans="2:2" x14ac:dyDescent="0.25">
      <c r="B3645" s="192"/>
    </row>
    <row r="3646" spans="2:2" x14ac:dyDescent="0.25">
      <c r="B3646" s="192"/>
    </row>
    <row r="3647" spans="2:2" x14ac:dyDescent="0.25">
      <c r="B3647" s="192"/>
    </row>
    <row r="3648" spans="2:2" x14ac:dyDescent="0.25">
      <c r="B3648" s="192"/>
    </row>
    <row r="3649" spans="2:2" x14ac:dyDescent="0.25">
      <c r="B3649" s="192"/>
    </row>
    <row r="3650" spans="2:2" x14ac:dyDescent="0.25">
      <c r="B3650" s="192"/>
    </row>
    <row r="3651" spans="2:2" x14ac:dyDescent="0.25">
      <c r="B3651" s="192"/>
    </row>
    <row r="3652" spans="2:2" x14ac:dyDescent="0.25">
      <c r="B3652" s="192"/>
    </row>
    <row r="3653" spans="2:2" x14ac:dyDescent="0.25">
      <c r="B3653" s="192"/>
    </row>
    <row r="3654" spans="2:2" x14ac:dyDescent="0.25">
      <c r="B3654" s="192"/>
    </row>
    <row r="3655" spans="2:2" x14ac:dyDescent="0.25">
      <c r="B3655" s="192"/>
    </row>
    <row r="3656" spans="2:2" x14ac:dyDescent="0.25">
      <c r="B3656" s="192"/>
    </row>
    <row r="3657" spans="2:2" x14ac:dyDescent="0.25">
      <c r="B3657" s="192"/>
    </row>
    <row r="3658" spans="2:2" x14ac:dyDescent="0.25">
      <c r="B3658" s="192"/>
    </row>
    <row r="3659" spans="2:2" x14ac:dyDescent="0.25">
      <c r="B3659" s="192"/>
    </row>
    <row r="3660" spans="2:2" x14ac:dyDescent="0.25">
      <c r="B3660" s="192"/>
    </row>
    <row r="3661" spans="2:2" x14ac:dyDescent="0.25">
      <c r="B3661" s="192"/>
    </row>
    <row r="3662" spans="2:2" x14ac:dyDescent="0.25">
      <c r="B3662" s="192"/>
    </row>
    <row r="3663" spans="2:2" x14ac:dyDescent="0.25">
      <c r="B3663" s="192"/>
    </row>
    <row r="3664" spans="2:2" x14ac:dyDescent="0.25">
      <c r="B3664" s="192"/>
    </row>
    <row r="3665" spans="2:2" x14ac:dyDescent="0.25">
      <c r="B3665" s="192"/>
    </row>
    <row r="3666" spans="2:2" x14ac:dyDescent="0.25">
      <c r="B3666" s="192"/>
    </row>
    <row r="3667" spans="2:2" x14ac:dyDescent="0.25">
      <c r="B3667" s="192"/>
    </row>
    <row r="3668" spans="2:2" x14ac:dyDescent="0.25">
      <c r="B3668" s="192"/>
    </row>
    <row r="3669" spans="2:2" x14ac:dyDescent="0.25">
      <c r="B3669" s="192"/>
    </row>
    <row r="3670" spans="2:2" x14ac:dyDescent="0.25">
      <c r="B3670" s="192"/>
    </row>
    <row r="3671" spans="2:2" x14ac:dyDescent="0.25">
      <c r="B3671" s="192"/>
    </row>
    <row r="3672" spans="2:2" x14ac:dyDescent="0.25">
      <c r="B3672" s="192"/>
    </row>
    <row r="3673" spans="2:2" x14ac:dyDescent="0.25">
      <c r="B3673" s="192"/>
    </row>
    <row r="3674" spans="2:2" x14ac:dyDescent="0.25">
      <c r="B3674" s="192"/>
    </row>
    <row r="3675" spans="2:2" x14ac:dyDescent="0.25">
      <c r="B3675" s="192"/>
    </row>
    <row r="3676" spans="2:2" x14ac:dyDescent="0.25">
      <c r="B3676" s="192"/>
    </row>
    <row r="3677" spans="2:2" x14ac:dyDescent="0.25">
      <c r="B3677" s="192"/>
    </row>
    <row r="3678" spans="2:2" x14ac:dyDescent="0.25">
      <c r="B3678" s="192"/>
    </row>
    <row r="3679" spans="2:2" x14ac:dyDescent="0.25">
      <c r="B3679" s="192"/>
    </row>
    <row r="3680" spans="2:2" x14ac:dyDescent="0.25">
      <c r="B3680" s="192"/>
    </row>
    <row r="3681" spans="2:2" x14ac:dyDescent="0.25">
      <c r="B3681" s="192"/>
    </row>
    <row r="3682" spans="2:2" x14ac:dyDescent="0.25">
      <c r="B3682" s="192"/>
    </row>
    <row r="3683" spans="2:2" x14ac:dyDescent="0.25">
      <c r="B3683" s="192"/>
    </row>
    <row r="3684" spans="2:2" x14ac:dyDescent="0.25">
      <c r="B3684" s="192"/>
    </row>
    <row r="3685" spans="2:2" x14ac:dyDescent="0.25">
      <c r="B3685" s="192"/>
    </row>
    <row r="3686" spans="2:2" x14ac:dyDescent="0.25">
      <c r="B3686" s="192"/>
    </row>
    <row r="3687" spans="2:2" x14ac:dyDescent="0.25">
      <c r="B3687" s="192"/>
    </row>
    <row r="3688" spans="2:2" x14ac:dyDescent="0.25">
      <c r="B3688" s="192"/>
    </row>
    <row r="3689" spans="2:2" x14ac:dyDescent="0.25">
      <c r="B3689" s="192"/>
    </row>
    <row r="3690" spans="2:2" x14ac:dyDescent="0.25">
      <c r="B3690" s="192"/>
    </row>
    <row r="3691" spans="2:2" x14ac:dyDescent="0.25">
      <c r="B3691" s="192"/>
    </row>
    <row r="3692" spans="2:2" x14ac:dyDescent="0.25">
      <c r="B3692" s="192"/>
    </row>
    <row r="3693" spans="2:2" x14ac:dyDescent="0.25">
      <c r="B3693" s="192"/>
    </row>
    <row r="3694" spans="2:2" x14ac:dyDescent="0.25">
      <c r="B3694" s="192"/>
    </row>
    <row r="3695" spans="2:2" x14ac:dyDescent="0.25">
      <c r="B3695" s="192"/>
    </row>
    <row r="3696" spans="2:2" x14ac:dyDescent="0.25">
      <c r="B3696" s="192"/>
    </row>
    <row r="3697" spans="2:2" x14ac:dyDescent="0.25">
      <c r="B3697" s="192"/>
    </row>
    <row r="3698" spans="2:2" x14ac:dyDescent="0.25">
      <c r="B3698" s="192"/>
    </row>
    <row r="3699" spans="2:2" x14ac:dyDescent="0.25">
      <c r="B3699" s="192"/>
    </row>
    <row r="3700" spans="2:2" x14ac:dyDescent="0.25">
      <c r="B3700" s="192"/>
    </row>
    <row r="3701" spans="2:2" x14ac:dyDescent="0.25">
      <c r="B3701" s="192"/>
    </row>
    <row r="3702" spans="2:2" x14ac:dyDescent="0.25">
      <c r="B3702" s="192"/>
    </row>
    <row r="3703" spans="2:2" x14ac:dyDescent="0.25">
      <c r="B3703" s="192"/>
    </row>
    <row r="3704" spans="2:2" x14ac:dyDescent="0.25">
      <c r="B3704" s="192"/>
    </row>
    <row r="3705" spans="2:2" x14ac:dyDescent="0.25">
      <c r="B3705" s="192"/>
    </row>
    <row r="3706" spans="2:2" x14ac:dyDescent="0.25">
      <c r="B3706" s="192"/>
    </row>
    <row r="3707" spans="2:2" x14ac:dyDescent="0.25">
      <c r="B3707" s="192"/>
    </row>
    <row r="3708" spans="2:2" x14ac:dyDescent="0.25">
      <c r="B3708" s="192"/>
    </row>
    <row r="3709" spans="2:2" x14ac:dyDescent="0.25">
      <c r="B3709" s="192"/>
    </row>
    <row r="3710" spans="2:2" x14ac:dyDescent="0.25">
      <c r="B3710" s="192"/>
    </row>
    <row r="3711" spans="2:2" x14ac:dyDescent="0.25">
      <c r="B3711" s="192"/>
    </row>
    <row r="3712" spans="2:2" x14ac:dyDescent="0.25">
      <c r="B3712" s="192"/>
    </row>
    <row r="3713" spans="2:2" x14ac:dyDescent="0.25">
      <c r="B3713" s="192"/>
    </row>
    <row r="3714" spans="2:2" x14ac:dyDescent="0.25">
      <c r="B3714" s="192"/>
    </row>
    <row r="3715" spans="2:2" x14ac:dyDescent="0.25">
      <c r="B3715" s="192"/>
    </row>
    <row r="3716" spans="2:2" x14ac:dyDescent="0.25">
      <c r="B3716" s="192"/>
    </row>
    <row r="3717" spans="2:2" x14ac:dyDescent="0.25">
      <c r="B3717" s="192"/>
    </row>
    <row r="3718" spans="2:2" x14ac:dyDescent="0.25">
      <c r="B3718" s="192"/>
    </row>
    <row r="3719" spans="2:2" x14ac:dyDescent="0.25">
      <c r="B3719" s="192"/>
    </row>
    <row r="3720" spans="2:2" x14ac:dyDescent="0.25">
      <c r="B3720" s="192"/>
    </row>
    <row r="3721" spans="2:2" x14ac:dyDescent="0.25">
      <c r="B3721" s="192"/>
    </row>
    <row r="3722" spans="2:2" x14ac:dyDescent="0.25">
      <c r="B3722" s="192"/>
    </row>
    <row r="3723" spans="2:2" x14ac:dyDescent="0.25">
      <c r="B3723" s="192"/>
    </row>
    <row r="3724" spans="2:2" x14ac:dyDescent="0.25">
      <c r="B3724" s="192"/>
    </row>
    <row r="3725" spans="2:2" x14ac:dyDescent="0.25">
      <c r="B3725" s="192"/>
    </row>
    <row r="3726" spans="2:2" x14ac:dyDescent="0.25">
      <c r="B3726" s="192"/>
    </row>
    <row r="3727" spans="2:2" x14ac:dyDescent="0.25">
      <c r="B3727" s="192"/>
    </row>
    <row r="3728" spans="2:2" x14ac:dyDescent="0.25">
      <c r="B3728" s="192"/>
    </row>
    <row r="3729" spans="2:2" x14ac:dyDescent="0.25">
      <c r="B3729" s="192"/>
    </row>
    <row r="3730" spans="2:2" x14ac:dyDescent="0.25">
      <c r="B3730" s="192"/>
    </row>
    <row r="3731" spans="2:2" x14ac:dyDescent="0.25">
      <c r="B3731" s="192"/>
    </row>
    <row r="3732" spans="2:2" x14ac:dyDescent="0.25">
      <c r="B3732" s="192"/>
    </row>
    <row r="3733" spans="2:2" x14ac:dyDescent="0.25">
      <c r="B3733" s="192"/>
    </row>
    <row r="3734" spans="2:2" x14ac:dyDescent="0.25">
      <c r="B3734" s="192"/>
    </row>
    <row r="3735" spans="2:2" x14ac:dyDescent="0.25">
      <c r="B3735" s="192"/>
    </row>
    <row r="3736" spans="2:2" x14ac:dyDescent="0.25">
      <c r="B3736" s="192"/>
    </row>
    <row r="3737" spans="2:2" x14ac:dyDescent="0.25">
      <c r="B3737" s="192"/>
    </row>
    <row r="3738" spans="2:2" x14ac:dyDescent="0.25">
      <c r="B3738" s="192"/>
    </row>
    <row r="3739" spans="2:2" x14ac:dyDescent="0.25">
      <c r="B3739" s="192"/>
    </row>
    <row r="3740" spans="2:2" x14ac:dyDescent="0.25">
      <c r="B3740" s="192"/>
    </row>
    <row r="3741" spans="2:2" x14ac:dyDescent="0.25">
      <c r="B3741" s="192"/>
    </row>
    <row r="3742" spans="2:2" x14ac:dyDescent="0.25">
      <c r="B3742" s="192"/>
    </row>
    <row r="3743" spans="2:2" x14ac:dyDescent="0.25">
      <c r="B3743" s="192"/>
    </row>
    <row r="3744" spans="2:2" x14ac:dyDescent="0.25">
      <c r="B3744" s="192"/>
    </row>
    <row r="3745" spans="2:2" x14ac:dyDescent="0.25">
      <c r="B3745" s="192"/>
    </row>
    <row r="3746" spans="2:2" x14ac:dyDescent="0.25">
      <c r="B3746" s="192"/>
    </row>
    <row r="3747" spans="2:2" x14ac:dyDescent="0.25">
      <c r="B3747" s="192"/>
    </row>
    <row r="3748" spans="2:2" x14ac:dyDescent="0.25">
      <c r="B3748" s="192"/>
    </row>
    <row r="3749" spans="2:2" x14ac:dyDescent="0.25">
      <c r="B3749" s="192"/>
    </row>
    <row r="3750" spans="2:2" x14ac:dyDescent="0.25">
      <c r="B3750" s="192"/>
    </row>
    <row r="3751" spans="2:2" x14ac:dyDescent="0.25">
      <c r="B3751" s="192"/>
    </row>
    <row r="3752" spans="2:2" x14ac:dyDescent="0.25">
      <c r="B3752" s="192"/>
    </row>
    <row r="3753" spans="2:2" x14ac:dyDescent="0.25">
      <c r="B3753" s="192"/>
    </row>
    <row r="3754" spans="2:2" x14ac:dyDescent="0.25">
      <c r="B3754" s="192"/>
    </row>
    <row r="3755" spans="2:2" x14ac:dyDescent="0.25">
      <c r="B3755" s="192"/>
    </row>
    <row r="3756" spans="2:2" x14ac:dyDescent="0.25">
      <c r="B3756" s="192"/>
    </row>
    <row r="3757" spans="2:2" x14ac:dyDescent="0.25">
      <c r="B3757" s="192"/>
    </row>
    <row r="3758" spans="2:2" x14ac:dyDescent="0.25">
      <c r="B3758" s="192"/>
    </row>
    <row r="3759" spans="2:2" x14ac:dyDescent="0.25">
      <c r="B3759" s="192"/>
    </row>
    <row r="3760" spans="2:2" x14ac:dyDescent="0.25">
      <c r="B3760" s="192"/>
    </row>
    <row r="3761" spans="2:2" x14ac:dyDescent="0.25">
      <c r="B3761" s="192"/>
    </row>
    <row r="3762" spans="2:2" x14ac:dyDescent="0.25">
      <c r="B3762" s="192"/>
    </row>
    <row r="3763" spans="2:2" x14ac:dyDescent="0.25">
      <c r="B3763" s="192"/>
    </row>
    <row r="3764" spans="2:2" x14ac:dyDescent="0.25">
      <c r="B3764" s="192"/>
    </row>
    <row r="3765" spans="2:2" x14ac:dyDescent="0.25">
      <c r="B3765" s="192"/>
    </row>
    <row r="3766" spans="2:2" x14ac:dyDescent="0.25">
      <c r="B3766" s="192"/>
    </row>
    <row r="3767" spans="2:2" x14ac:dyDescent="0.25">
      <c r="B3767" s="192"/>
    </row>
    <row r="3768" spans="2:2" x14ac:dyDescent="0.25">
      <c r="B3768" s="192"/>
    </row>
    <row r="3769" spans="2:2" x14ac:dyDescent="0.25">
      <c r="B3769" s="192"/>
    </row>
    <row r="3770" spans="2:2" x14ac:dyDescent="0.25">
      <c r="B3770" s="192"/>
    </row>
    <row r="3771" spans="2:2" x14ac:dyDescent="0.25">
      <c r="B3771" s="192"/>
    </row>
    <row r="3772" spans="2:2" x14ac:dyDescent="0.25">
      <c r="B3772" s="192"/>
    </row>
    <row r="3773" spans="2:2" x14ac:dyDescent="0.25">
      <c r="B3773" s="192"/>
    </row>
    <row r="3774" spans="2:2" x14ac:dyDescent="0.25">
      <c r="B3774" s="192"/>
    </row>
    <row r="3775" spans="2:2" x14ac:dyDescent="0.25">
      <c r="B3775" s="192"/>
    </row>
    <row r="3776" spans="2:2" x14ac:dyDescent="0.25">
      <c r="B3776" s="192"/>
    </row>
    <row r="3777" spans="2:2" x14ac:dyDescent="0.25">
      <c r="B3777" s="192"/>
    </row>
    <row r="3778" spans="2:2" x14ac:dyDescent="0.25">
      <c r="B3778" s="192"/>
    </row>
    <row r="3779" spans="2:2" x14ac:dyDescent="0.25">
      <c r="B3779" s="192"/>
    </row>
    <row r="3780" spans="2:2" x14ac:dyDescent="0.25">
      <c r="B3780" s="192"/>
    </row>
    <row r="3781" spans="2:2" x14ac:dyDescent="0.25">
      <c r="B3781" s="192"/>
    </row>
    <row r="3782" spans="2:2" x14ac:dyDescent="0.25">
      <c r="B3782" s="192"/>
    </row>
    <row r="3783" spans="2:2" x14ac:dyDescent="0.25">
      <c r="B3783" s="192"/>
    </row>
    <row r="3784" spans="2:2" x14ac:dyDescent="0.25">
      <c r="B3784" s="192"/>
    </row>
    <row r="3785" spans="2:2" x14ac:dyDescent="0.25">
      <c r="B3785" s="192"/>
    </row>
    <row r="3786" spans="2:2" x14ac:dyDescent="0.25">
      <c r="B3786" s="192"/>
    </row>
    <row r="3787" spans="2:2" x14ac:dyDescent="0.25">
      <c r="B3787" s="192"/>
    </row>
    <row r="3788" spans="2:2" x14ac:dyDescent="0.25">
      <c r="B3788" s="192"/>
    </row>
    <row r="3789" spans="2:2" x14ac:dyDescent="0.25">
      <c r="B3789" s="192"/>
    </row>
    <row r="3790" spans="2:2" x14ac:dyDescent="0.25">
      <c r="B3790" s="192"/>
    </row>
    <row r="3791" spans="2:2" x14ac:dyDescent="0.25">
      <c r="B3791" s="192"/>
    </row>
    <row r="3792" spans="2:2" x14ac:dyDescent="0.25">
      <c r="B3792" s="192"/>
    </row>
    <row r="3793" spans="2:2" x14ac:dyDescent="0.25">
      <c r="B3793" s="192"/>
    </row>
    <row r="3794" spans="2:2" x14ac:dyDescent="0.25">
      <c r="B3794" s="192"/>
    </row>
    <row r="3795" spans="2:2" x14ac:dyDescent="0.25">
      <c r="B3795" s="192"/>
    </row>
    <row r="3796" spans="2:2" x14ac:dyDescent="0.25">
      <c r="B3796" s="192"/>
    </row>
    <row r="3797" spans="2:2" x14ac:dyDescent="0.25">
      <c r="B3797" s="192"/>
    </row>
    <row r="3798" spans="2:2" x14ac:dyDescent="0.25">
      <c r="B3798" s="192"/>
    </row>
    <row r="3799" spans="2:2" x14ac:dyDescent="0.25">
      <c r="B3799" s="192"/>
    </row>
    <row r="3800" spans="2:2" x14ac:dyDescent="0.25">
      <c r="B3800" s="192"/>
    </row>
    <row r="3801" spans="2:2" x14ac:dyDescent="0.25">
      <c r="B3801" s="192"/>
    </row>
    <row r="3802" spans="2:2" x14ac:dyDescent="0.25">
      <c r="B3802" s="192"/>
    </row>
    <row r="3803" spans="2:2" x14ac:dyDescent="0.25">
      <c r="B3803" s="192"/>
    </row>
    <row r="3804" spans="2:2" x14ac:dyDescent="0.25">
      <c r="B3804" s="192"/>
    </row>
    <row r="3805" spans="2:2" x14ac:dyDescent="0.25">
      <c r="B3805" s="192"/>
    </row>
    <row r="3806" spans="2:2" x14ac:dyDescent="0.25">
      <c r="B3806" s="192"/>
    </row>
    <row r="3807" spans="2:2" x14ac:dyDescent="0.25">
      <c r="B3807" s="192"/>
    </row>
    <row r="3808" spans="2:2" x14ac:dyDescent="0.25">
      <c r="B3808" s="192"/>
    </row>
    <row r="3809" spans="2:2" x14ac:dyDescent="0.25">
      <c r="B3809" s="192"/>
    </row>
    <row r="3810" spans="2:2" x14ac:dyDescent="0.25">
      <c r="B3810" s="192"/>
    </row>
    <row r="3811" spans="2:2" x14ac:dyDescent="0.25">
      <c r="B3811" s="192"/>
    </row>
    <row r="3812" spans="2:2" x14ac:dyDescent="0.25">
      <c r="B3812" s="192"/>
    </row>
    <row r="3813" spans="2:2" x14ac:dyDescent="0.25">
      <c r="B3813" s="192"/>
    </row>
    <row r="3814" spans="2:2" x14ac:dyDescent="0.25">
      <c r="B3814" s="192"/>
    </row>
    <row r="3815" spans="2:2" x14ac:dyDescent="0.25">
      <c r="B3815" s="192"/>
    </row>
    <row r="3816" spans="2:2" x14ac:dyDescent="0.25">
      <c r="B3816" s="192"/>
    </row>
    <row r="3817" spans="2:2" x14ac:dyDescent="0.25">
      <c r="B3817" s="192"/>
    </row>
    <row r="3818" spans="2:2" x14ac:dyDescent="0.25">
      <c r="B3818" s="192"/>
    </row>
    <row r="3819" spans="2:2" x14ac:dyDescent="0.25">
      <c r="B3819" s="192"/>
    </row>
    <row r="3820" spans="2:2" x14ac:dyDescent="0.25">
      <c r="B3820" s="192"/>
    </row>
    <row r="3821" spans="2:2" x14ac:dyDescent="0.25">
      <c r="B3821" s="192"/>
    </row>
    <row r="3822" spans="2:2" x14ac:dyDescent="0.25">
      <c r="B3822" s="192"/>
    </row>
    <row r="3823" spans="2:2" x14ac:dyDescent="0.25">
      <c r="B3823" s="192"/>
    </row>
    <row r="3824" spans="2:2" x14ac:dyDescent="0.25">
      <c r="B3824" s="192"/>
    </row>
    <row r="3825" spans="2:2" x14ac:dyDescent="0.25">
      <c r="B3825" s="192"/>
    </row>
    <row r="3826" spans="2:2" x14ac:dyDescent="0.25">
      <c r="B3826" s="192"/>
    </row>
    <row r="3827" spans="2:2" x14ac:dyDescent="0.25">
      <c r="B3827" s="192"/>
    </row>
    <row r="3828" spans="2:2" x14ac:dyDescent="0.25">
      <c r="B3828" s="192"/>
    </row>
    <row r="3829" spans="2:2" x14ac:dyDescent="0.25">
      <c r="B3829" s="192"/>
    </row>
    <row r="3830" spans="2:2" x14ac:dyDescent="0.25">
      <c r="B3830" s="192"/>
    </row>
    <row r="3831" spans="2:2" x14ac:dyDescent="0.25">
      <c r="B3831" s="192"/>
    </row>
    <row r="3832" spans="2:2" x14ac:dyDescent="0.25">
      <c r="B3832" s="192"/>
    </row>
    <row r="3833" spans="2:2" x14ac:dyDescent="0.25">
      <c r="B3833" s="192"/>
    </row>
    <row r="3834" spans="2:2" x14ac:dyDescent="0.25">
      <c r="B3834" s="192"/>
    </row>
    <row r="3835" spans="2:2" x14ac:dyDescent="0.25">
      <c r="B3835" s="192"/>
    </row>
    <row r="3836" spans="2:2" x14ac:dyDescent="0.25">
      <c r="B3836" s="192"/>
    </row>
    <row r="3837" spans="2:2" x14ac:dyDescent="0.25">
      <c r="B3837" s="192"/>
    </row>
    <row r="3838" spans="2:2" x14ac:dyDescent="0.25">
      <c r="B3838" s="192"/>
    </row>
    <row r="3839" spans="2:2" x14ac:dyDescent="0.25">
      <c r="B3839" s="192"/>
    </row>
    <row r="3840" spans="2:2" x14ac:dyDescent="0.25">
      <c r="B3840" s="192"/>
    </row>
    <row r="3841" spans="2:2" x14ac:dyDescent="0.25">
      <c r="B3841" s="192"/>
    </row>
    <row r="3842" spans="2:2" x14ac:dyDescent="0.25">
      <c r="B3842" s="192"/>
    </row>
    <row r="3843" spans="2:2" x14ac:dyDescent="0.25">
      <c r="B3843" s="192"/>
    </row>
    <row r="3844" spans="2:2" x14ac:dyDescent="0.25">
      <c r="B3844" s="192"/>
    </row>
    <row r="3845" spans="2:2" x14ac:dyDescent="0.25">
      <c r="B3845" s="192"/>
    </row>
    <row r="3846" spans="2:2" x14ac:dyDescent="0.25">
      <c r="B3846" s="192"/>
    </row>
    <row r="3847" spans="2:2" x14ac:dyDescent="0.25">
      <c r="B3847" s="192"/>
    </row>
    <row r="3848" spans="2:2" x14ac:dyDescent="0.25">
      <c r="B3848" s="192"/>
    </row>
    <row r="3849" spans="2:2" x14ac:dyDescent="0.25">
      <c r="B3849" s="192"/>
    </row>
    <row r="3850" spans="2:2" x14ac:dyDescent="0.25">
      <c r="B3850" s="192"/>
    </row>
    <row r="3851" spans="2:2" x14ac:dyDescent="0.25">
      <c r="B3851" s="192"/>
    </row>
    <row r="3852" spans="2:2" x14ac:dyDescent="0.25">
      <c r="B3852" s="192"/>
    </row>
    <row r="3853" spans="2:2" x14ac:dyDescent="0.25">
      <c r="B3853" s="192"/>
    </row>
    <row r="3854" spans="2:2" x14ac:dyDescent="0.25">
      <c r="B3854" s="192"/>
    </row>
    <row r="3855" spans="2:2" x14ac:dyDescent="0.25">
      <c r="B3855" s="192"/>
    </row>
    <row r="3856" spans="2:2" x14ac:dyDescent="0.25">
      <c r="B3856" s="192"/>
    </row>
    <row r="3857" spans="2:2" x14ac:dyDescent="0.25">
      <c r="B3857" s="192"/>
    </row>
    <row r="3858" spans="2:2" x14ac:dyDescent="0.25">
      <c r="B3858" s="192"/>
    </row>
    <row r="3859" spans="2:2" x14ac:dyDescent="0.25">
      <c r="B3859" s="192"/>
    </row>
    <row r="3860" spans="2:2" x14ac:dyDescent="0.25">
      <c r="B3860" s="192"/>
    </row>
    <row r="3861" spans="2:2" x14ac:dyDescent="0.25">
      <c r="B3861" s="192"/>
    </row>
    <row r="3862" spans="2:2" x14ac:dyDescent="0.25">
      <c r="B3862" s="192"/>
    </row>
    <row r="3863" spans="2:2" x14ac:dyDescent="0.25">
      <c r="B3863" s="192"/>
    </row>
    <row r="3864" spans="2:2" x14ac:dyDescent="0.25">
      <c r="B3864" s="192"/>
    </row>
    <row r="3865" spans="2:2" x14ac:dyDescent="0.25">
      <c r="B3865" s="192"/>
    </row>
    <row r="3866" spans="2:2" x14ac:dyDescent="0.25">
      <c r="B3866" s="192"/>
    </row>
    <row r="3867" spans="2:2" x14ac:dyDescent="0.25">
      <c r="B3867" s="192"/>
    </row>
    <row r="3868" spans="2:2" x14ac:dyDescent="0.25">
      <c r="B3868" s="192"/>
    </row>
    <row r="3869" spans="2:2" x14ac:dyDescent="0.25">
      <c r="B3869" s="192"/>
    </row>
    <row r="3870" spans="2:2" x14ac:dyDescent="0.25">
      <c r="B3870" s="192"/>
    </row>
    <row r="3871" spans="2:2" x14ac:dyDescent="0.25">
      <c r="B3871" s="192"/>
    </row>
    <row r="3872" spans="2:2" x14ac:dyDescent="0.25">
      <c r="B3872" s="192"/>
    </row>
    <row r="3873" spans="2:2" x14ac:dyDescent="0.25">
      <c r="B3873" s="192"/>
    </row>
    <row r="3874" spans="2:2" x14ac:dyDescent="0.25">
      <c r="B3874" s="192"/>
    </row>
    <row r="3875" spans="2:2" x14ac:dyDescent="0.25">
      <c r="B3875" s="192"/>
    </row>
    <row r="3876" spans="2:2" x14ac:dyDescent="0.25">
      <c r="B3876" s="192"/>
    </row>
    <row r="3877" spans="2:2" x14ac:dyDescent="0.25">
      <c r="B3877" s="192"/>
    </row>
    <row r="3878" spans="2:2" x14ac:dyDescent="0.25">
      <c r="B3878" s="192"/>
    </row>
    <row r="3879" spans="2:2" x14ac:dyDescent="0.25">
      <c r="B3879" s="192"/>
    </row>
    <row r="3880" spans="2:2" x14ac:dyDescent="0.25">
      <c r="B3880" s="192"/>
    </row>
    <row r="3881" spans="2:2" x14ac:dyDescent="0.25">
      <c r="B3881" s="192"/>
    </row>
    <row r="3882" spans="2:2" x14ac:dyDescent="0.25">
      <c r="B3882" s="192"/>
    </row>
    <row r="3883" spans="2:2" x14ac:dyDescent="0.25">
      <c r="B3883" s="192"/>
    </row>
    <row r="3884" spans="2:2" x14ac:dyDescent="0.25">
      <c r="B3884" s="192"/>
    </row>
    <row r="3885" spans="2:2" x14ac:dyDescent="0.25">
      <c r="B3885" s="192"/>
    </row>
    <row r="3886" spans="2:2" x14ac:dyDescent="0.25">
      <c r="B3886" s="192"/>
    </row>
    <row r="3887" spans="2:2" x14ac:dyDescent="0.25">
      <c r="B3887" s="192"/>
    </row>
    <row r="3888" spans="2:2" x14ac:dyDescent="0.25">
      <c r="B3888" s="192"/>
    </row>
    <row r="3889" spans="2:2" x14ac:dyDescent="0.25">
      <c r="B3889" s="192"/>
    </row>
    <row r="3890" spans="2:2" x14ac:dyDescent="0.25">
      <c r="B3890" s="192"/>
    </row>
    <row r="3891" spans="2:2" x14ac:dyDescent="0.25">
      <c r="B3891" s="192"/>
    </row>
    <row r="3892" spans="2:2" x14ac:dyDescent="0.25">
      <c r="B3892" s="192"/>
    </row>
    <row r="3893" spans="2:2" x14ac:dyDescent="0.25">
      <c r="B3893" s="192"/>
    </row>
    <row r="3894" spans="2:2" x14ac:dyDescent="0.25">
      <c r="B3894" s="192"/>
    </row>
    <row r="3895" spans="2:2" x14ac:dyDescent="0.25">
      <c r="B3895" s="192"/>
    </row>
    <row r="3896" spans="2:2" x14ac:dyDescent="0.25">
      <c r="B3896" s="192"/>
    </row>
    <row r="3897" spans="2:2" x14ac:dyDescent="0.25">
      <c r="B3897" s="192"/>
    </row>
    <row r="3898" spans="2:2" x14ac:dyDescent="0.25">
      <c r="B3898" s="192"/>
    </row>
    <row r="3899" spans="2:2" x14ac:dyDescent="0.25">
      <c r="B3899" s="192"/>
    </row>
    <row r="3900" spans="2:2" x14ac:dyDescent="0.25">
      <c r="B3900" s="192"/>
    </row>
    <row r="3901" spans="2:2" x14ac:dyDescent="0.25">
      <c r="B3901" s="192"/>
    </row>
    <row r="3902" spans="2:2" x14ac:dyDescent="0.25">
      <c r="B3902" s="192"/>
    </row>
    <row r="3903" spans="2:2" x14ac:dyDescent="0.25">
      <c r="B3903" s="192"/>
    </row>
    <row r="3904" spans="2:2" x14ac:dyDescent="0.25">
      <c r="B3904" s="192"/>
    </row>
    <row r="3905" spans="2:2" x14ac:dyDescent="0.25">
      <c r="B3905" s="192"/>
    </row>
    <row r="3906" spans="2:2" x14ac:dyDescent="0.25">
      <c r="B3906" s="192"/>
    </row>
    <row r="3907" spans="2:2" x14ac:dyDescent="0.25">
      <c r="B3907" s="192"/>
    </row>
    <row r="3908" spans="2:2" x14ac:dyDescent="0.25">
      <c r="B3908" s="192"/>
    </row>
    <row r="3909" spans="2:2" x14ac:dyDescent="0.25">
      <c r="B3909" s="192"/>
    </row>
    <row r="3910" spans="2:2" x14ac:dyDescent="0.25">
      <c r="B3910" s="192"/>
    </row>
    <row r="3911" spans="2:2" x14ac:dyDescent="0.25">
      <c r="B3911" s="192"/>
    </row>
    <row r="3912" spans="2:2" x14ac:dyDescent="0.25">
      <c r="B3912" s="192"/>
    </row>
    <row r="3913" spans="2:2" x14ac:dyDescent="0.25">
      <c r="B3913" s="192"/>
    </row>
    <row r="3914" spans="2:2" x14ac:dyDescent="0.25">
      <c r="B3914" s="192"/>
    </row>
    <row r="3915" spans="2:2" x14ac:dyDescent="0.25">
      <c r="B3915" s="192"/>
    </row>
    <row r="3916" spans="2:2" x14ac:dyDescent="0.25">
      <c r="B3916" s="192"/>
    </row>
    <row r="3917" spans="2:2" x14ac:dyDescent="0.25">
      <c r="B3917" s="192"/>
    </row>
    <row r="3918" spans="2:2" x14ac:dyDescent="0.25">
      <c r="B3918" s="192"/>
    </row>
    <row r="3919" spans="2:2" x14ac:dyDescent="0.25">
      <c r="B3919" s="192"/>
    </row>
    <row r="3920" spans="2:2" x14ac:dyDescent="0.25">
      <c r="B3920" s="192"/>
    </row>
    <row r="3921" spans="2:2" x14ac:dyDescent="0.25">
      <c r="B3921" s="192"/>
    </row>
    <row r="3922" spans="2:2" x14ac:dyDescent="0.25">
      <c r="B3922" s="192"/>
    </row>
    <row r="3923" spans="2:2" x14ac:dyDescent="0.25">
      <c r="B3923" s="192"/>
    </row>
    <row r="3924" spans="2:2" x14ac:dyDescent="0.25">
      <c r="B3924" s="192"/>
    </row>
    <row r="3925" spans="2:2" x14ac:dyDescent="0.25">
      <c r="B3925" s="192"/>
    </row>
    <row r="3926" spans="2:2" x14ac:dyDescent="0.25">
      <c r="B3926" s="192"/>
    </row>
    <row r="3927" spans="2:2" x14ac:dyDescent="0.25">
      <c r="B3927" s="192"/>
    </row>
    <row r="3928" spans="2:2" x14ac:dyDescent="0.25">
      <c r="B3928" s="192"/>
    </row>
    <row r="3929" spans="2:2" x14ac:dyDescent="0.25">
      <c r="B3929" s="192"/>
    </row>
    <row r="3930" spans="2:2" x14ac:dyDescent="0.25">
      <c r="B3930" s="192"/>
    </row>
    <row r="3931" spans="2:2" x14ac:dyDescent="0.25">
      <c r="B3931" s="192"/>
    </row>
    <row r="3932" spans="2:2" x14ac:dyDescent="0.25">
      <c r="B3932" s="192"/>
    </row>
    <row r="3933" spans="2:2" x14ac:dyDescent="0.25">
      <c r="B3933" s="192"/>
    </row>
    <row r="3934" spans="2:2" x14ac:dyDescent="0.25">
      <c r="B3934" s="192"/>
    </row>
    <row r="3935" spans="2:2" x14ac:dyDescent="0.25">
      <c r="B3935" s="192"/>
    </row>
    <row r="3936" spans="2:2" x14ac:dyDescent="0.25">
      <c r="B3936" s="192"/>
    </row>
    <row r="3937" spans="2:2" x14ac:dyDescent="0.25">
      <c r="B3937" s="192"/>
    </row>
    <row r="3938" spans="2:2" x14ac:dyDescent="0.25">
      <c r="B3938" s="192"/>
    </row>
    <row r="3939" spans="2:2" x14ac:dyDescent="0.25">
      <c r="B3939" s="192"/>
    </row>
    <row r="3940" spans="2:2" x14ac:dyDescent="0.25">
      <c r="B3940" s="192"/>
    </row>
    <row r="3941" spans="2:2" x14ac:dyDescent="0.25">
      <c r="B3941" s="192"/>
    </row>
    <row r="3942" spans="2:2" x14ac:dyDescent="0.25">
      <c r="B3942" s="192"/>
    </row>
    <row r="3943" spans="2:2" x14ac:dyDescent="0.25">
      <c r="B3943" s="192"/>
    </row>
    <row r="3944" spans="2:2" x14ac:dyDescent="0.25">
      <c r="B3944" s="192"/>
    </row>
    <row r="3945" spans="2:2" x14ac:dyDescent="0.25">
      <c r="B3945" s="192"/>
    </row>
    <row r="3946" spans="2:2" x14ac:dyDescent="0.25">
      <c r="B3946" s="192"/>
    </row>
    <row r="3947" spans="2:2" x14ac:dyDescent="0.25">
      <c r="B3947" s="192"/>
    </row>
    <row r="3948" spans="2:2" x14ac:dyDescent="0.25">
      <c r="B3948" s="192"/>
    </row>
    <row r="3949" spans="2:2" x14ac:dyDescent="0.25">
      <c r="B3949" s="192"/>
    </row>
    <row r="3950" spans="2:2" x14ac:dyDescent="0.25">
      <c r="B3950" s="192"/>
    </row>
    <row r="3951" spans="2:2" x14ac:dyDescent="0.25">
      <c r="B3951" s="192"/>
    </row>
    <row r="3952" spans="2:2" x14ac:dyDescent="0.25">
      <c r="B3952" s="192"/>
    </row>
    <row r="3953" spans="2:2" x14ac:dyDescent="0.25">
      <c r="B3953" s="192"/>
    </row>
    <row r="3954" spans="2:2" x14ac:dyDescent="0.25">
      <c r="B3954" s="192"/>
    </row>
    <row r="3955" spans="2:2" x14ac:dyDescent="0.25">
      <c r="B3955" s="192"/>
    </row>
    <row r="3956" spans="2:2" x14ac:dyDescent="0.25">
      <c r="B3956" s="192"/>
    </row>
    <row r="3957" spans="2:2" x14ac:dyDescent="0.25">
      <c r="B3957" s="192"/>
    </row>
    <row r="3958" spans="2:2" x14ac:dyDescent="0.25">
      <c r="B3958" s="192"/>
    </row>
    <row r="3959" spans="2:2" x14ac:dyDescent="0.25">
      <c r="B3959" s="192"/>
    </row>
    <row r="3960" spans="2:2" x14ac:dyDescent="0.25">
      <c r="B3960" s="192"/>
    </row>
    <row r="3961" spans="2:2" x14ac:dyDescent="0.25">
      <c r="B3961" s="192"/>
    </row>
    <row r="3962" spans="2:2" x14ac:dyDescent="0.25">
      <c r="B3962" s="192"/>
    </row>
    <row r="3963" spans="2:2" x14ac:dyDescent="0.25">
      <c r="B3963" s="192"/>
    </row>
    <row r="3964" spans="2:2" x14ac:dyDescent="0.25">
      <c r="B3964" s="192"/>
    </row>
    <row r="3965" spans="2:2" x14ac:dyDescent="0.25">
      <c r="B3965" s="192"/>
    </row>
    <row r="3966" spans="2:2" x14ac:dyDescent="0.25">
      <c r="B3966" s="192"/>
    </row>
    <row r="3967" spans="2:2" x14ac:dyDescent="0.25">
      <c r="B3967" s="192"/>
    </row>
    <row r="3968" spans="2:2" x14ac:dyDescent="0.25">
      <c r="B3968" s="192"/>
    </row>
    <row r="3969" spans="2:2" x14ac:dyDescent="0.25">
      <c r="B3969" s="192"/>
    </row>
    <row r="3970" spans="2:2" x14ac:dyDescent="0.25">
      <c r="B3970" s="192"/>
    </row>
    <row r="3971" spans="2:2" x14ac:dyDescent="0.25">
      <c r="B3971" s="192"/>
    </row>
    <row r="3972" spans="2:2" x14ac:dyDescent="0.25">
      <c r="B3972" s="192"/>
    </row>
    <row r="3973" spans="2:2" x14ac:dyDescent="0.25">
      <c r="B3973" s="192"/>
    </row>
    <row r="3974" spans="2:2" x14ac:dyDescent="0.25">
      <c r="B3974" s="192"/>
    </row>
    <row r="3975" spans="2:2" x14ac:dyDescent="0.25">
      <c r="B3975" s="192"/>
    </row>
    <row r="3976" spans="2:2" x14ac:dyDescent="0.25">
      <c r="B3976" s="192"/>
    </row>
    <row r="3977" spans="2:2" x14ac:dyDescent="0.25">
      <c r="B3977" s="192"/>
    </row>
    <row r="3978" spans="2:2" x14ac:dyDescent="0.25">
      <c r="B3978" s="192"/>
    </row>
    <row r="3979" spans="2:2" x14ac:dyDescent="0.25">
      <c r="B3979" s="192"/>
    </row>
    <row r="3980" spans="2:2" x14ac:dyDescent="0.25">
      <c r="B3980" s="192"/>
    </row>
    <row r="3981" spans="2:2" x14ac:dyDescent="0.25">
      <c r="B3981" s="192"/>
    </row>
    <row r="3982" spans="2:2" x14ac:dyDescent="0.25">
      <c r="B3982" s="192"/>
    </row>
    <row r="3983" spans="2:2" x14ac:dyDescent="0.25">
      <c r="B3983" s="192"/>
    </row>
    <row r="3984" spans="2:2" x14ac:dyDescent="0.25">
      <c r="B3984" s="192"/>
    </row>
    <row r="3985" spans="2:2" x14ac:dyDescent="0.25">
      <c r="B3985" s="192"/>
    </row>
    <row r="3986" spans="2:2" x14ac:dyDescent="0.25">
      <c r="B3986" s="192"/>
    </row>
    <row r="3987" spans="2:2" x14ac:dyDescent="0.25">
      <c r="B3987" s="192"/>
    </row>
    <row r="3988" spans="2:2" x14ac:dyDescent="0.25">
      <c r="B3988" s="192"/>
    </row>
    <row r="3989" spans="2:2" x14ac:dyDescent="0.25">
      <c r="B3989" s="192"/>
    </row>
    <row r="3990" spans="2:2" x14ac:dyDescent="0.25">
      <c r="B3990" s="192"/>
    </row>
    <row r="3991" spans="2:2" x14ac:dyDescent="0.25">
      <c r="B3991" s="192"/>
    </row>
    <row r="3992" spans="2:2" x14ac:dyDescent="0.25">
      <c r="B3992" s="192"/>
    </row>
    <row r="3993" spans="2:2" x14ac:dyDescent="0.25">
      <c r="B3993" s="192"/>
    </row>
    <row r="3994" spans="2:2" x14ac:dyDescent="0.25">
      <c r="B3994" s="192"/>
    </row>
    <row r="3995" spans="2:2" x14ac:dyDescent="0.25">
      <c r="B3995" s="192"/>
    </row>
    <row r="3996" spans="2:2" x14ac:dyDescent="0.25">
      <c r="B3996" s="192"/>
    </row>
    <row r="3997" spans="2:2" x14ac:dyDescent="0.25">
      <c r="B3997" s="192"/>
    </row>
    <row r="3998" spans="2:2" x14ac:dyDescent="0.25">
      <c r="B3998" s="192"/>
    </row>
    <row r="3999" spans="2:2" x14ac:dyDescent="0.25">
      <c r="B3999" s="192"/>
    </row>
    <row r="4000" spans="2:2" x14ac:dyDescent="0.25">
      <c r="B4000" s="192"/>
    </row>
    <row r="4001" spans="2:2" x14ac:dyDescent="0.25">
      <c r="B4001" s="192"/>
    </row>
    <row r="4002" spans="2:2" x14ac:dyDescent="0.25">
      <c r="B4002" s="192"/>
    </row>
    <row r="4003" spans="2:2" x14ac:dyDescent="0.25">
      <c r="B4003" s="192"/>
    </row>
    <row r="4004" spans="2:2" x14ac:dyDescent="0.25">
      <c r="B4004" s="192"/>
    </row>
    <row r="4005" spans="2:2" x14ac:dyDescent="0.25">
      <c r="B4005" s="192"/>
    </row>
    <row r="4006" spans="2:2" x14ac:dyDescent="0.25">
      <c r="B4006" s="192"/>
    </row>
    <row r="4007" spans="2:2" x14ac:dyDescent="0.25">
      <c r="B4007" s="192"/>
    </row>
    <row r="4008" spans="2:2" x14ac:dyDescent="0.25">
      <c r="B4008" s="192"/>
    </row>
    <row r="4009" spans="2:2" x14ac:dyDescent="0.25">
      <c r="B4009" s="192"/>
    </row>
    <row r="4010" spans="2:2" x14ac:dyDescent="0.25">
      <c r="B4010" s="192"/>
    </row>
    <row r="4011" spans="2:2" x14ac:dyDescent="0.25">
      <c r="B4011" s="192"/>
    </row>
    <row r="4012" spans="2:2" x14ac:dyDescent="0.25">
      <c r="B4012" s="192"/>
    </row>
    <row r="4013" spans="2:2" x14ac:dyDescent="0.25">
      <c r="B4013" s="192"/>
    </row>
    <row r="4014" spans="2:2" x14ac:dyDescent="0.25">
      <c r="B4014" s="192"/>
    </row>
    <row r="4015" spans="2:2" x14ac:dyDescent="0.25">
      <c r="B4015" s="192"/>
    </row>
    <row r="4016" spans="2:2" x14ac:dyDescent="0.25">
      <c r="B4016" s="192"/>
    </row>
    <row r="4017" spans="2:2" x14ac:dyDescent="0.25">
      <c r="B4017" s="192"/>
    </row>
    <row r="4018" spans="2:2" x14ac:dyDescent="0.25">
      <c r="B4018" s="192"/>
    </row>
    <row r="4019" spans="2:2" x14ac:dyDescent="0.25">
      <c r="B4019" s="192"/>
    </row>
    <row r="4020" spans="2:2" x14ac:dyDescent="0.25">
      <c r="B4020" s="192"/>
    </row>
    <row r="4021" spans="2:2" x14ac:dyDescent="0.25">
      <c r="B4021" s="192"/>
    </row>
    <row r="4022" spans="2:2" x14ac:dyDescent="0.25">
      <c r="B4022" s="192"/>
    </row>
    <row r="4023" spans="2:2" x14ac:dyDescent="0.25">
      <c r="B4023" s="192"/>
    </row>
    <row r="4024" spans="2:2" x14ac:dyDescent="0.25">
      <c r="B4024" s="192"/>
    </row>
    <row r="4025" spans="2:2" x14ac:dyDescent="0.25">
      <c r="B4025" s="192"/>
    </row>
    <row r="4026" spans="2:2" x14ac:dyDescent="0.25">
      <c r="B4026" s="192"/>
    </row>
    <row r="4027" spans="2:2" x14ac:dyDescent="0.25">
      <c r="B4027" s="192"/>
    </row>
    <row r="4028" spans="2:2" x14ac:dyDescent="0.25">
      <c r="B4028" s="192"/>
    </row>
    <row r="4029" spans="2:2" x14ac:dyDescent="0.25">
      <c r="B4029" s="192"/>
    </row>
    <row r="4030" spans="2:2" x14ac:dyDescent="0.25">
      <c r="B4030" s="192"/>
    </row>
    <row r="4031" spans="2:2" x14ac:dyDescent="0.25">
      <c r="B4031" s="192"/>
    </row>
    <row r="4032" spans="2:2" x14ac:dyDescent="0.25">
      <c r="B4032" s="192"/>
    </row>
    <row r="4033" spans="2:2" x14ac:dyDescent="0.25">
      <c r="B4033" s="192"/>
    </row>
    <row r="4034" spans="2:2" x14ac:dyDescent="0.25">
      <c r="B4034" s="192"/>
    </row>
    <row r="4035" spans="2:2" x14ac:dyDescent="0.25">
      <c r="B4035" s="192"/>
    </row>
    <row r="4036" spans="2:2" x14ac:dyDescent="0.25">
      <c r="B4036" s="192"/>
    </row>
    <row r="4037" spans="2:2" x14ac:dyDescent="0.25">
      <c r="B4037" s="192"/>
    </row>
    <row r="4038" spans="2:2" x14ac:dyDescent="0.25">
      <c r="B4038" s="192"/>
    </row>
    <row r="4039" spans="2:2" x14ac:dyDescent="0.25">
      <c r="B4039" s="192"/>
    </row>
    <row r="4040" spans="2:2" x14ac:dyDescent="0.25">
      <c r="B4040" s="192"/>
    </row>
    <row r="4041" spans="2:2" x14ac:dyDescent="0.25">
      <c r="B4041" s="192"/>
    </row>
    <row r="4042" spans="2:2" x14ac:dyDescent="0.25">
      <c r="B4042" s="192"/>
    </row>
    <row r="4043" spans="2:2" x14ac:dyDescent="0.25">
      <c r="B4043" s="192"/>
    </row>
    <row r="4044" spans="2:2" x14ac:dyDescent="0.25">
      <c r="B4044" s="192"/>
    </row>
    <row r="4045" spans="2:2" x14ac:dyDescent="0.25">
      <c r="B4045" s="192"/>
    </row>
    <row r="4046" spans="2:2" x14ac:dyDescent="0.25">
      <c r="B4046" s="192"/>
    </row>
    <row r="4047" spans="2:2" x14ac:dyDescent="0.25">
      <c r="B4047" s="192"/>
    </row>
    <row r="4048" spans="2:2" x14ac:dyDescent="0.25">
      <c r="B4048" s="192"/>
    </row>
    <row r="4049" spans="2:2" x14ac:dyDescent="0.25">
      <c r="B4049" s="192"/>
    </row>
    <row r="4050" spans="2:2" x14ac:dyDescent="0.25">
      <c r="B4050" s="192"/>
    </row>
    <row r="4051" spans="2:2" x14ac:dyDescent="0.25">
      <c r="B4051" s="192"/>
    </row>
    <row r="4052" spans="2:2" x14ac:dyDescent="0.25">
      <c r="B4052" s="192"/>
    </row>
    <row r="4053" spans="2:2" x14ac:dyDescent="0.25">
      <c r="B4053" s="192"/>
    </row>
    <row r="4054" spans="2:2" x14ac:dyDescent="0.25">
      <c r="B4054" s="192"/>
    </row>
    <row r="4055" spans="2:2" x14ac:dyDescent="0.25">
      <c r="B4055" s="192"/>
    </row>
    <row r="4056" spans="2:2" x14ac:dyDescent="0.25">
      <c r="B4056" s="192"/>
    </row>
    <row r="4057" spans="2:2" x14ac:dyDescent="0.25">
      <c r="B4057" s="192"/>
    </row>
    <row r="4058" spans="2:2" x14ac:dyDescent="0.25">
      <c r="B4058" s="192"/>
    </row>
    <row r="4059" spans="2:2" x14ac:dyDescent="0.25">
      <c r="B4059" s="192"/>
    </row>
    <row r="4060" spans="2:2" x14ac:dyDescent="0.25">
      <c r="B4060" s="192"/>
    </row>
    <row r="4061" spans="2:2" x14ac:dyDescent="0.25">
      <c r="B4061" s="192"/>
    </row>
    <row r="4062" spans="2:2" x14ac:dyDescent="0.25">
      <c r="B4062" s="192"/>
    </row>
    <row r="4063" spans="2:2" x14ac:dyDescent="0.25">
      <c r="B4063" s="192"/>
    </row>
    <row r="4064" spans="2:2" x14ac:dyDescent="0.25">
      <c r="B4064" s="192"/>
    </row>
    <row r="4065" spans="2:2" x14ac:dyDescent="0.25">
      <c r="B4065" s="192"/>
    </row>
    <row r="4066" spans="2:2" x14ac:dyDescent="0.25">
      <c r="B4066" s="192"/>
    </row>
    <row r="4067" spans="2:2" x14ac:dyDescent="0.25">
      <c r="B4067" s="192"/>
    </row>
    <row r="4068" spans="2:2" x14ac:dyDescent="0.25">
      <c r="B4068" s="192"/>
    </row>
    <row r="4069" spans="2:2" x14ac:dyDescent="0.25">
      <c r="B4069" s="192"/>
    </row>
    <row r="4070" spans="2:2" x14ac:dyDescent="0.25">
      <c r="B4070" s="192"/>
    </row>
    <row r="4071" spans="2:2" x14ac:dyDescent="0.25">
      <c r="B4071" s="192"/>
    </row>
    <row r="4072" spans="2:2" x14ac:dyDescent="0.25">
      <c r="B4072" s="192"/>
    </row>
    <row r="4073" spans="2:2" x14ac:dyDescent="0.25">
      <c r="B4073" s="192"/>
    </row>
    <row r="4074" spans="2:2" x14ac:dyDescent="0.25">
      <c r="B4074" s="192"/>
    </row>
    <row r="4075" spans="2:2" x14ac:dyDescent="0.25">
      <c r="B4075" s="192"/>
    </row>
    <row r="4076" spans="2:2" x14ac:dyDescent="0.25">
      <c r="B4076" s="192"/>
    </row>
    <row r="4077" spans="2:2" x14ac:dyDescent="0.25">
      <c r="B4077" s="192"/>
    </row>
    <row r="4078" spans="2:2" x14ac:dyDescent="0.25">
      <c r="B4078" s="192"/>
    </row>
    <row r="4079" spans="2:2" x14ac:dyDescent="0.25">
      <c r="B4079" s="192"/>
    </row>
    <row r="4080" spans="2:2" x14ac:dyDescent="0.25">
      <c r="B4080" s="192"/>
    </row>
    <row r="4081" spans="2:2" x14ac:dyDescent="0.25">
      <c r="B4081" s="192"/>
    </row>
    <row r="4082" spans="2:2" x14ac:dyDescent="0.25">
      <c r="B4082" s="192"/>
    </row>
    <row r="4083" spans="2:2" x14ac:dyDescent="0.25">
      <c r="B4083" s="192"/>
    </row>
    <row r="4084" spans="2:2" x14ac:dyDescent="0.25">
      <c r="B4084" s="192"/>
    </row>
    <row r="4085" spans="2:2" x14ac:dyDescent="0.25">
      <c r="B4085" s="192"/>
    </row>
    <row r="4086" spans="2:2" x14ac:dyDescent="0.25">
      <c r="B4086" s="192"/>
    </row>
    <row r="4087" spans="2:2" x14ac:dyDescent="0.25">
      <c r="B4087" s="192"/>
    </row>
    <row r="4088" spans="2:2" x14ac:dyDescent="0.25">
      <c r="B4088" s="192"/>
    </row>
    <row r="4089" spans="2:2" x14ac:dyDescent="0.25">
      <c r="B4089" s="192"/>
    </row>
    <row r="4090" spans="2:2" x14ac:dyDescent="0.25">
      <c r="B4090" s="192"/>
    </row>
    <row r="4091" spans="2:2" x14ac:dyDescent="0.25">
      <c r="B4091" s="192"/>
    </row>
    <row r="4092" spans="2:2" x14ac:dyDescent="0.25">
      <c r="B4092" s="192"/>
    </row>
    <row r="4093" spans="2:2" x14ac:dyDescent="0.25">
      <c r="B4093" s="192"/>
    </row>
    <row r="4094" spans="2:2" x14ac:dyDescent="0.25">
      <c r="B4094" s="192"/>
    </row>
    <row r="4095" spans="2:2" x14ac:dyDescent="0.25">
      <c r="B4095" s="192"/>
    </row>
    <row r="4096" spans="2:2" x14ac:dyDescent="0.25">
      <c r="B4096" s="192"/>
    </row>
    <row r="4097" spans="2:2" x14ac:dyDescent="0.25">
      <c r="B4097" s="192"/>
    </row>
    <row r="4098" spans="2:2" x14ac:dyDescent="0.25">
      <c r="B4098" s="192"/>
    </row>
    <row r="4099" spans="2:2" x14ac:dyDescent="0.25">
      <c r="B4099" s="192"/>
    </row>
    <row r="4100" spans="2:2" x14ac:dyDescent="0.25">
      <c r="B4100" s="192"/>
    </row>
    <row r="4101" spans="2:2" x14ac:dyDescent="0.25">
      <c r="B4101" s="192"/>
    </row>
    <row r="4102" spans="2:2" x14ac:dyDescent="0.25">
      <c r="B4102" s="192"/>
    </row>
    <row r="4103" spans="2:2" x14ac:dyDescent="0.25">
      <c r="B4103" s="192"/>
    </row>
    <row r="4104" spans="2:2" x14ac:dyDescent="0.25">
      <c r="B4104" s="192"/>
    </row>
    <row r="4105" spans="2:2" x14ac:dyDescent="0.25">
      <c r="B4105" s="192"/>
    </row>
    <row r="4106" spans="2:2" x14ac:dyDescent="0.25">
      <c r="B4106" s="192"/>
    </row>
    <row r="4107" spans="2:2" x14ac:dyDescent="0.25">
      <c r="B4107" s="192"/>
    </row>
    <row r="4108" spans="2:2" x14ac:dyDescent="0.25">
      <c r="B4108" s="192"/>
    </row>
    <row r="4109" spans="2:2" x14ac:dyDescent="0.25">
      <c r="B4109" s="192"/>
    </row>
    <row r="4110" spans="2:2" x14ac:dyDescent="0.25">
      <c r="B4110" s="192"/>
    </row>
    <row r="4111" spans="2:2" x14ac:dyDescent="0.25">
      <c r="B4111" s="192"/>
    </row>
    <row r="4112" spans="2:2" x14ac:dyDescent="0.25">
      <c r="B4112" s="192"/>
    </row>
    <row r="4113" spans="2:2" x14ac:dyDescent="0.25">
      <c r="B4113" s="192"/>
    </row>
    <row r="4114" spans="2:2" x14ac:dyDescent="0.25">
      <c r="B4114" s="192"/>
    </row>
    <row r="4115" spans="2:2" x14ac:dyDescent="0.25">
      <c r="B4115" s="192"/>
    </row>
    <row r="4116" spans="2:2" x14ac:dyDescent="0.25">
      <c r="B4116" s="192"/>
    </row>
    <row r="4117" spans="2:2" x14ac:dyDescent="0.25">
      <c r="B4117" s="192"/>
    </row>
    <row r="4118" spans="2:2" x14ac:dyDescent="0.25">
      <c r="B4118" s="192"/>
    </row>
    <row r="4119" spans="2:2" x14ac:dyDescent="0.25">
      <c r="B4119" s="192"/>
    </row>
    <row r="4120" spans="2:2" x14ac:dyDescent="0.25">
      <c r="B4120" s="192"/>
    </row>
    <row r="4121" spans="2:2" x14ac:dyDescent="0.25">
      <c r="B4121" s="192"/>
    </row>
    <row r="4122" spans="2:2" x14ac:dyDescent="0.25">
      <c r="B4122" s="192"/>
    </row>
    <row r="4123" spans="2:2" x14ac:dyDescent="0.25">
      <c r="B4123" s="192"/>
    </row>
    <row r="4124" spans="2:2" x14ac:dyDescent="0.25">
      <c r="B4124" s="192"/>
    </row>
    <row r="4125" spans="2:2" x14ac:dyDescent="0.25">
      <c r="B4125" s="192"/>
    </row>
    <row r="4126" spans="2:2" x14ac:dyDescent="0.25">
      <c r="B4126" s="192"/>
    </row>
    <row r="4127" spans="2:2" x14ac:dyDescent="0.25">
      <c r="B4127" s="192"/>
    </row>
    <row r="4128" spans="2:2" x14ac:dyDescent="0.25">
      <c r="B4128" s="192"/>
    </row>
    <row r="4129" spans="2:2" x14ac:dyDescent="0.25">
      <c r="B4129" s="192"/>
    </row>
    <row r="4130" spans="2:2" x14ac:dyDescent="0.25">
      <c r="B4130" s="192"/>
    </row>
    <row r="4131" spans="2:2" x14ac:dyDescent="0.25">
      <c r="B4131" s="192"/>
    </row>
    <row r="4132" spans="2:2" x14ac:dyDescent="0.25">
      <c r="B4132" s="192"/>
    </row>
    <row r="4133" spans="2:2" x14ac:dyDescent="0.25">
      <c r="B4133" s="192"/>
    </row>
    <row r="4134" spans="2:2" x14ac:dyDescent="0.25">
      <c r="B4134" s="192"/>
    </row>
    <row r="4135" spans="2:2" x14ac:dyDescent="0.25">
      <c r="B4135" s="192"/>
    </row>
    <row r="4136" spans="2:2" x14ac:dyDescent="0.25">
      <c r="B4136" s="192"/>
    </row>
    <row r="4137" spans="2:2" x14ac:dyDescent="0.25">
      <c r="B4137" s="192"/>
    </row>
    <row r="4138" spans="2:2" x14ac:dyDescent="0.25">
      <c r="B4138" s="192"/>
    </row>
    <row r="4139" spans="2:2" x14ac:dyDescent="0.25">
      <c r="B4139" s="192"/>
    </row>
    <row r="4140" spans="2:2" x14ac:dyDescent="0.25">
      <c r="B4140" s="192"/>
    </row>
    <row r="4141" spans="2:2" x14ac:dyDescent="0.25">
      <c r="B4141" s="192"/>
    </row>
    <row r="4142" spans="2:2" x14ac:dyDescent="0.25">
      <c r="B4142" s="192"/>
    </row>
    <row r="4143" spans="2:2" x14ac:dyDescent="0.25">
      <c r="B4143" s="192"/>
    </row>
    <row r="4144" spans="2:2" x14ac:dyDescent="0.25">
      <c r="B4144" s="192"/>
    </row>
    <row r="4145" spans="2:2" x14ac:dyDescent="0.25">
      <c r="B4145" s="192"/>
    </row>
    <row r="4146" spans="2:2" x14ac:dyDescent="0.25">
      <c r="B4146" s="192"/>
    </row>
    <row r="4147" spans="2:2" x14ac:dyDescent="0.25">
      <c r="B4147" s="192"/>
    </row>
    <row r="4148" spans="2:2" x14ac:dyDescent="0.25">
      <c r="B4148" s="192"/>
    </row>
    <row r="4149" spans="2:2" x14ac:dyDescent="0.25">
      <c r="B4149" s="192"/>
    </row>
    <row r="4150" spans="2:2" x14ac:dyDescent="0.25">
      <c r="B4150" s="192"/>
    </row>
    <row r="4151" spans="2:2" x14ac:dyDescent="0.25">
      <c r="B4151" s="192"/>
    </row>
    <row r="4152" spans="2:2" x14ac:dyDescent="0.25">
      <c r="B4152" s="192"/>
    </row>
    <row r="4153" spans="2:2" x14ac:dyDescent="0.25">
      <c r="B4153" s="192"/>
    </row>
    <row r="4154" spans="2:2" x14ac:dyDescent="0.25">
      <c r="B4154" s="192"/>
    </row>
    <row r="4155" spans="2:2" x14ac:dyDescent="0.25">
      <c r="B4155" s="192"/>
    </row>
    <row r="4156" spans="2:2" x14ac:dyDescent="0.25">
      <c r="B4156" s="192"/>
    </row>
    <row r="4157" spans="2:2" x14ac:dyDescent="0.25">
      <c r="B4157" s="192"/>
    </row>
    <row r="4158" spans="2:2" x14ac:dyDescent="0.25">
      <c r="B4158" s="192"/>
    </row>
    <row r="4159" spans="2:2" x14ac:dyDescent="0.25">
      <c r="B4159" s="192"/>
    </row>
    <row r="4160" spans="2:2" x14ac:dyDescent="0.25">
      <c r="B4160" s="192"/>
    </row>
    <row r="4161" spans="2:2" x14ac:dyDescent="0.25">
      <c r="B4161" s="192"/>
    </row>
    <row r="4162" spans="2:2" x14ac:dyDescent="0.25">
      <c r="B4162" s="192"/>
    </row>
    <row r="4163" spans="2:2" x14ac:dyDescent="0.25">
      <c r="B4163" s="192"/>
    </row>
    <row r="4164" spans="2:2" x14ac:dyDescent="0.25">
      <c r="B4164" s="192"/>
    </row>
    <row r="4165" spans="2:2" x14ac:dyDescent="0.25">
      <c r="B4165" s="192"/>
    </row>
    <row r="4166" spans="2:2" x14ac:dyDescent="0.25">
      <c r="B4166" s="192"/>
    </row>
    <row r="4167" spans="2:2" x14ac:dyDescent="0.25">
      <c r="B4167" s="192"/>
    </row>
    <row r="4168" spans="2:2" x14ac:dyDescent="0.25">
      <c r="B4168" s="192"/>
    </row>
    <row r="4169" spans="2:2" x14ac:dyDescent="0.25">
      <c r="B4169" s="192"/>
    </row>
    <row r="4170" spans="2:2" x14ac:dyDescent="0.25">
      <c r="B4170" s="192"/>
    </row>
    <row r="4171" spans="2:2" x14ac:dyDescent="0.25">
      <c r="B4171" s="192"/>
    </row>
    <row r="4172" spans="2:2" x14ac:dyDescent="0.25">
      <c r="B4172" s="192"/>
    </row>
    <row r="4173" spans="2:2" x14ac:dyDescent="0.25">
      <c r="B4173" s="192"/>
    </row>
    <row r="4174" spans="2:2" x14ac:dyDescent="0.25">
      <c r="B4174" s="192"/>
    </row>
    <row r="4175" spans="2:2" x14ac:dyDescent="0.25">
      <c r="B4175" s="192"/>
    </row>
    <row r="4176" spans="2:2" x14ac:dyDescent="0.25">
      <c r="B4176" s="192"/>
    </row>
    <row r="4177" spans="2:2" x14ac:dyDescent="0.25">
      <c r="B4177" s="192"/>
    </row>
    <row r="4178" spans="2:2" x14ac:dyDescent="0.25">
      <c r="B4178" s="192"/>
    </row>
    <row r="4179" spans="2:2" x14ac:dyDescent="0.25">
      <c r="B4179" s="192"/>
    </row>
    <row r="4180" spans="2:2" x14ac:dyDescent="0.25">
      <c r="B4180" s="192"/>
    </row>
    <row r="4181" spans="2:2" x14ac:dyDescent="0.25">
      <c r="B4181" s="192"/>
    </row>
    <row r="4182" spans="2:2" x14ac:dyDescent="0.25">
      <c r="B4182" s="192"/>
    </row>
    <row r="4183" spans="2:2" x14ac:dyDescent="0.25">
      <c r="B4183" s="192"/>
    </row>
    <row r="4184" spans="2:2" x14ac:dyDescent="0.25">
      <c r="B4184" s="192"/>
    </row>
    <row r="4185" spans="2:2" x14ac:dyDescent="0.25">
      <c r="B4185" s="192"/>
    </row>
    <row r="4186" spans="2:2" x14ac:dyDescent="0.25">
      <c r="B4186" s="192"/>
    </row>
    <row r="4187" spans="2:2" x14ac:dyDescent="0.25">
      <c r="B4187" s="192"/>
    </row>
    <row r="4188" spans="2:2" x14ac:dyDescent="0.25">
      <c r="B4188" s="192"/>
    </row>
    <row r="4189" spans="2:2" x14ac:dyDescent="0.25">
      <c r="B4189" s="192"/>
    </row>
    <row r="4190" spans="2:2" x14ac:dyDescent="0.25">
      <c r="B4190" s="192"/>
    </row>
    <row r="4191" spans="2:2" x14ac:dyDescent="0.25">
      <c r="B4191" s="192"/>
    </row>
    <row r="4192" spans="2:2" x14ac:dyDescent="0.25">
      <c r="B4192" s="192"/>
    </row>
    <row r="4193" spans="2:2" x14ac:dyDescent="0.25">
      <c r="B4193" s="192"/>
    </row>
    <row r="4194" spans="2:2" x14ac:dyDescent="0.25">
      <c r="B4194" s="192"/>
    </row>
    <row r="4195" spans="2:2" x14ac:dyDescent="0.25">
      <c r="B4195" s="192"/>
    </row>
    <row r="4196" spans="2:2" x14ac:dyDescent="0.25">
      <c r="B4196" s="192"/>
    </row>
    <row r="4197" spans="2:2" x14ac:dyDescent="0.25">
      <c r="B4197" s="192"/>
    </row>
    <row r="4198" spans="2:2" x14ac:dyDescent="0.25">
      <c r="B4198" s="192"/>
    </row>
    <row r="4199" spans="2:2" x14ac:dyDescent="0.25">
      <c r="B4199" s="192"/>
    </row>
    <row r="4200" spans="2:2" x14ac:dyDescent="0.25">
      <c r="B4200" s="192"/>
    </row>
    <row r="4201" spans="2:2" x14ac:dyDescent="0.25">
      <c r="B4201" s="192"/>
    </row>
    <row r="4202" spans="2:2" x14ac:dyDescent="0.25">
      <c r="B4202" s="192"/>
    </row>
    <row r="4203" spans="2:2" x14ac:dyDescent="0.25">
      <c r="B4203" s="192"/>
    </row>
    <row r="4204" spans="2:2" x14ac:dyDescent="0.25">
      <c r="B4204" s="192"/>
    </row>
    <row r="4205" spans="2:2" x14ac:dyDescent="0.25">
      <c r="B4205" s="192"/>
    </row>
    <row r="4206" spans="2:2" x14ac:dyDescent="0.25">
      <c r="B4206" s="192"/>
    </row>
    <row r="4207" spans="2:2" x14ac:dyDescent="0.25">
      <c r="B4207" s="192"/>
    </row>
    <row r="4208" spans="2:2" x14ac:dyDescent="0.25">
      <c r="B4208" s="192"/>
    </row>
    <row r="4209" spans="2:2" x14ac:dyDescent="0.25">
      <c r="B4209" s="192"/>
    </row>
    <row r="4210" spans="2:2" x14ac:dyDescent="0.25">
      <c r="B4210" s="192"/>
    </row>
    <row r="4211" spans="2:2" x14ac:dyDescent="0.25">
      <c r="B4211" s="192"/>
    </row>
    <row r="4212" spans="2:2" x14ac:dyDescent="0.25">
      <c r="B4212" s="192"/>
    </row>
    <row r="4213" spans="2:2" x14ac:dyDescent="0.25">
      <c r="B4213" s="192"/>
    </row>
    <row r="4214" spans="2:2" x14ac:dyDescent="0.25">
      <c r="B4214" s="192"/>
    </row>
    <row r="4215" spans="2:2" x14ac:dyDescent="0.25">
      <c r="B4215" s="192"/>
    </row>
    <row r="4216" spans="2:2" x14ac:dyDescent="0.25">
      <c r="B4216" s="192"/>
    </row>
    <row r="4217" spans="2:2" x14ac:dyDescent="0.25">
      <c r="B4217" s="192"/>
    </row>
    <row r="4218" spans="2:2" x14ac:dyDescent="0.25">
      <c r="B4218" s="192"/>
    </row>
    <row r="4219" spans="2:2" x14ac:dyDescent="0.25">
      <c r="B4219" s="192"/>
    </row>
    <row r="4220" spans="2:2" x14ac:dyDescent="0.25">
      <c r="B4220" s="192"/>
    </row>
    <row r="4221" spans="2:2" x14ac:dyDescent="0.25">
      <c r="B4221" s="192"/>
    </row>
    <row r="4222" spans="2:2" x14ac:dyDescent="0.25">
      <c r="B4222" s="192"/>
    </row>
    <row r="4223" spans="2:2" x14ac:dyDescent="0.25">
      <c r="B4223" s="192"/>
    </row>
    <row r="4224" spans="2:2" x14ac:dyDescent="0.25">
      <c r="B4224" s="192"/>
    </row>
    <row r="4225" spans="2:2" x14ac:dyDescent="0.25">
      <c r="B4225" s="192"/>
    </row>
    <row r="4226" spans="2:2" x14ac:dyDescent="0.25">
      <c r="B4226" s="192"/>
    </row>
    <row r="4227" spans="2:2" x14ac:dyDescent="0.25">
      <c r="B4227" s="192"/>
    </row>
    <row r="4228" spans="2:2" x14ac:dyDescent="0.25">
      <c r="B4228" s="192"/>
    </row>
    <row r="4229" spans="2:2" x14ac:dyDescent="0.25">
      <c r="B4229" s="192"/>
    </row>
    <row r="4230" spans="2:2" x14ac:dyDescent="0.25">
      <c r="B4230" s="192"/>
    </row>
    <row r="4231" spans="2:2" x14ac:dyDescent="0.25">
      <c r="B4231" s="192"/>
    </row>
    <row r="4232" spans="2:2" x14ac:dyDescent="0.25">
      <c r="B4232" s="192"/>
    </row>
    <row r="4233" spans="2:2" x14ac:dyDescent="0.25">
      <c r="B4233" s="192"/>
    </row>
    <row r="4234" spans="2:2" x14ac:dyDescent="0.25">
      <c r="B4234" s="192"/>
    </row>
    <row r="4235" spans="2:2" x14ac:dyDescent="0.25">
      <c r="B4235" s="192"/>
    </row>
    <row r="4236" spans="2:2" x14ac:dyDescent="0.25">
      <c r="B4236" s="192"/>
    </row>
    <row r="4237" spans="2:2" x14ac:dyDescent="0.25">
      <c r="B4237" s="192"/>
    </row>
    <row r="4238" spans="2:2" x14ac:dyDescent="0.25">
      <c r="B4238" s="192"/>
    </row>
    <row r="4239" spans="2:2" x14ac:dyDescent="0.25">
      <c r="B4239" s="192"/>
    </row>
    <row r="4240" spans="2:2" x14ac:dyDescent="0.25">
      <c r="B4240" s="192"/>
    </row>
    <row r="4241" spans="2:2" x14ac:dyDescent="0.25">
      <c r="B4241" s="192"/>
    </row>
    <row r="4242" spans="2:2" x14ac:dyDescent="0.25">
      <c r="B4242" s="192"/>
    </row>
    <row r="4243" spans="2:2" x14ac:dyDescent="0.25">
      <c r="B4243" s="192"/>
    </row>
    <row r="4244" spans="2:2" x14ac:dyDescent="0.25">
      <c r="B4244" s="192"/>
    </row>
    <row r="4245" spans="2:2" x14ac:dyDescent="0.25">
      <c r="B4245" s="192"/>
    </row>
    <row r="4246" spans="2:2" x14ac:dyDescent="0.25">
      <c r="B4246" s="192"/>
    </row>
    <row r="4247" spans="2:2" x14ac:dyDescent="0.25">
      <c r="B4247" s="192"/>
    </row>
    <row r="4248" spans="2:2" x14ac:dyDescent="0.25">
      <c r="B4248" s="192"/>
    </row>
    <row r="4249" spans="2:2" x14ac:dyDescent="0.25">
      <c r="B4249" s="192"/>
    </row>
    <row r="4250" spans="2:2" x14ac:dyDescent="0.25">
      <c r="B4250" s="192"/>
    </row>
    <row r="4251" spans="2:2" x14ac:dyDescent="0.25">
      <c r="B4251" s="192"/>
    </row>
    <row r="4252" spans="2:2" x14ac:dyDescent="0.25">
      <c r="B4252" s="192"/>
    </row>
    <row r="4253" spans="2:2" x14ac:dyDescent="0.25">
      <c r="B4253" s="192"/>
    </row>
    <row r="4254" spans="2:2" x14ac:dyDescent="0.25">
      <c r="B4254" s="192"/>
    </row>
    <row r="4255" spans="2:2" x14ac:dyDescent="0.25">
      <c r="B4255" s="192"/>
    </row>
    <row r="4256" spans="2:2" x14ac:dyDescent="0.25">
      <c r="B4256" s="192"/>
    </row>
    <row r="4257" spans="2:2" x14ac:dyDescent="0.25">
      <c r="B4257" s="192"/>
    </row>
    <row r="4258" spans="2:2" x14ac:dyDescent="0.25">
      <c r="B4258" s="192"/>
    </row>
    <row r="4259" spans="2:2" x14ac:dyDescent="0.25">
      <c r="B4259" s="192"/>
    </row>
    <row r="4260" spans="2:2" x14ac:dyDescent="0.25">
      <c r="B4260" s="192"/>
    </row>
    <row r="4261" spans="2:2" x14ac:dyDescent="0.25">
      <c r="B4261" s="192"/>
    </row>
    <row r="4262" spans="2:2" x14ac:dyDescent="0.25">
      <c r="B4262" s="192"/>
    </row>
    <row r="4263" spans="2:2" x14ac:dyDescent="0.25">
      <c r="B4263" s="192"/>
    </row>
    <row r="4264" spans="2:2" x14ac:dyDescent="0.25">
      <c r="B4264" s="192"/>
    </row>
    <row r="4265" spans="2:2" x14ac:dyDescent="0.25">
      <c r="B4265" s="192"/>
    </row>
    <row r="4266" spans="2:2" x14ac:dyDescent="0.25">
      <c r="B4266" s="192"/>
    </row>
    <row r="4267" spans="2:2" x14ac:dyDescent="0.25">
      <c r="B4267" s="192"/>
    </row>
    <row r="4268" spans="2:2" x14ac:dyDescent="0.25">
      <c r="B4268" s="192"/>
    </row>
    <row r="4269" spans="2:2" x14ac:dyDescent="0.25">
      <c r="B4269" s="192"/>
    </row>
    <row r="4270" spans="2:2" x14ac:dyDescent="0.25">
      <c r="B4270" s="192"/>
    </row>
    <row r="4271" spans="2:2" x14ac:dyDescent="0.25">
      <c r="B4271" s="192"/>
    </row>
    <row r="4272" spans="2:2" x14ac:dyDescent="0.25">
      <c r="B4272" s="192"/>
    </row>
    <row r="4273" spans="2:2" x14ac:dyDescent="0.25">
      <c r="B4273" s="192"/>
    </row>
    <row r="4274" spans="2:2" x14ac:dyDescent="0.25">
      <c r="B4274" s="192"/>
    </row>
    <row r="4275" spans="2:2" x14ac:dyDescent="0.25">
      <c r="B4275" s="192"/>
    </row>
    <row r="4276" spans="2:2" x14ac:dyDescent="0.25">
      <c r="B4276" s="192"/>
    </row>
    <row r="4277" spans="2:2" x14ac:dyDescent="0.25">
      <c r="B4277" s="192"/>
    </row>
    <row r="4278" spans="2:2" x14ac:dyDescent="0.25">
      <c r="B4278" s="192"/>
    </row>
    <row r="4279" spans="2:2" x14ac:dyDescent="0.25">
      <c r="B4279" s="192"/>
    </row>
    <row r="4280" spans="2:2" x14ac:dyDescent="0.25">
      <c r="B4280" s="192"/>
    </row>
    <row r="4281" spans="2:2" x14ac:dyDescent="0.25">
      <c r="B4281" s="192"/>
    </row>
    <row r="4282" spans="2:2" x14ac:dyDescent="0.25">
      <c r="B4282" s="192"/>
    </row>
    <row r="4283" spans="2:2" x14ac:dyDescent="0.25">
      <c r="B4283" s="192"/>
    </row>
    <row r="4284" spans="2:2" x14ac:dyDescent="0.25">
      <c r="B4284" s="192"/>
    </row>
    <row r="4285" spans="2:2" x14ac:dyDescent="0.25">
      <c r="B4285" s="192"/>
    </row>
    <row r="4286" spans="2:2" x14ac:dyDescent="0.25">
      <c r="B4286" s="192"/>
    </row>
    <row r="4287" spans="2:2" x14ac:dyDescent="0.25">
      <c r="B4287" s="192"/>
    </row>
    <row r="4288" spans="2:2" x14ac:dyDescent="0.25">
      <c r="B4288" s="192"/>
    </row>
    <row r="4289" spans="2:2" x14ac:dyDescent="0.25">
      <c r="B4289" s="192"/>
    </row>
    <row r="4290" spans="2:2" x14ac:dyDescent="0.25">
      <c r="B4290" s="192"/>
    </row>
    <row r="4291" spans="2:2" x14ac:dyDescent="0.25">
      <c r="B4291" s="192"/>
    </row>
    <row r="4292" spans="2:2" x14ac:dyDescent="0.25">
      <c r="B4292" s="192"/>
    </row>
    <row r="4293" spans="2:2" x14ac:dyDescent="0.25">
      <c r="B4293" s="192"/>
    </row>
    <row r="4294" spans="2:2" x14ac:dyDescent="0.25">
      <c r="B4294" s="192"/>
    </row>
    <row r="4295" spans="2:2" x14ac:dyDescent="0.25">
      <c r="B4295" s="192"/>
    </row>
    <row r="4296" spans="2:2" x14ac:dyDescent="0.25">
      <c r="B4296" s="192"/>
    </row>
    <row r="4297" spans="2:2" x14ac:dyDescent="0.25">
      <c r="B4297" s="192"/>
    </row>
    <row r="4298" spans="2:2" x14ac:dyDescent="0.25">
      <c r="B4298" s="192"/>
    </row>
    <row r="4299" spans="2:2" x14ac:dyDescent="0.25">
      <c r="B4299" s="192"/>
    </row>
    <row r="4300" spans="2:2" x14ac:dyDescent="0.25">
      <c r="B4300" s="192"/>
    </row>
    <row r="4301" spans="2:2" x14ac:dyDescent="0.25">
      <c r="B4301" s="192"/>
    </row>
    <row r="4302" spans="2:2" x14ac:dyDescent="0.25">
      <c r="B4302" s="192"/>
    </row>
    <row r="4303" spans="2:2" x14ac:dyDescent="0.25">
      <c r="B4303" s="192"/>
    </row>
    <row r="4304" spans="2:2" x14ac:dyDescent="0.25">
      <c r="B4304" s="192"/>
    </row>
    <row r="4305" spans="2:2" x14ac:dyDescent="0.25">
      <c r="B4305" s="192"/>
    </row>
    <row r="4306" spans="2:2" x14ac:dyDescent="0.25">
      <c r="B4306" s="192"/>
    </row>
    <row r="4307" spans="2:2" x14ac:dyDescent="0.25">
      <c r="B4307" s="192"/>
    </row>
    <row r="4308" spans="2:2" x14ac:dyDescent="0.25">
      <c r="B4308" s="192"/>
    </row>
    <row r="4309" spans="2:2" x14ac:dyDescent="0.25">
      <c r="B4309" s="192"/>
    </row>
    <row r="4310" spans="2:2" x14ac:dyDescent="0.25">
      <c r="B4310" s="192"/>
    </row>
    <row r="4311" spans="2:2" x14ac:dyDescent="0.25">
      <c r="B4311" s="192"/>
    </row>
    <row r="4312" spans="2:2" x14ac:dyDescent="0.25">
      <c r="B4312" s="192"/>
    </row>
    <row r="4313" spans="2:2" x14ac:dyDescent="0.25">
      <c r="B4313" s="192"/>
    </row>
    <row r="4314" spans="2:2" x14ac:dyDescent="0.25">
      <c r="B4314" s="192"/>
    </row>
    <row r="4315" spans="2:2" x14ac:dyDescent="0.25">
      <c r="B4315" s="192"/>
    </row>
    <row r="4316" spans="2:2" x14ac:dyDescent="0.25">
      <c r="B4316" s="192"/>
    </row>
    <row r="4317" spans="2:2" x14ac:dyDescent="0.25">
      <c r="B4317" s="192"/>
    </row>
    <row r="4318" spans="2:2" x14ac:dyDescent="0.25">
      <c r="B4318" s="192"/>
    </row>
    <row r="4319" spans="2:2" x14ac:dyDescent="0.25">
      <c r="B4319" s="192"/>
    </row>
    <row r="4320" spans="2:2" x14ac:dyDescent="0.25">
      <c r="B4320" s="192"/>
    </row>
    <row r="4321" spans="2:2" x14ac:dyDescent="0.25">
      <c r="B4321" s="192"/>
    </row>
    <row r="4322" spans="2:2" x14ac:dyDescent="0.25">
      <c r="B4322" s="192"/>
    </row>
    <row r="4323" spans="2:2" x14ac:dyDescent="0.25">
      <c r="B4323" s="192"/>
    </row>
    <row r="4324" spans="2:2" x14ac:dyDescent="0.25">
      <c r="B4324" s="192"/>
    </row>
    <row r="4325" spans="2:2" x14ac:dyDescent="0.25">
      <c r="B4325" s="192"/>
    </row>
    <row r="4326" spans="2:2" x14ac:dyDescent="0.25">
      <c r="B4326" s="192"/>
    </row>
    <row r="4327" spans="2:2" x14ac:dyDescent="0.25">
      <c r="B4327" s="192"/>
    </row>
    <row r="4328" spans="2:2" x14ac:dyDescent="0.25">
      <c r="B4328" s="192"/>
    </row>
    <row r="4329" spans="2:2" x14ac:dyDescent="0.25">
      <c r="B4329" s="192"/>
    </row>
    <row r="4330" spans="2:2" x14ac:dyDescent="0.25">
      <c r="B4330" s="192"/>
    </row>
    <row r="4331" spans="2:2" x14ac:dyDescent="0.25">
      <c r="B4331" s="192"/>
    </row>
    <row r="4332" spans="2:2" x14ac:dyDescent="0.25">
      <c r="B4332" s="192"/>
    </row>
    <row r="4333" spans="2:2" x14ac:dyDescent="0.25">
      <c r="B4333" s="192"/>
    </row>
    <row r="4334" spans="2:2" x14ac:dyDescent="0.25">
      <c r="B4334" s="192"/>
    </row>
    <row r="4335" spans="2:2" x14ac:dyDescent="0.25">
      <c r="B4335" s="192"/>
    </row>
    <row r="4336" spans="2:2" x14ac:dyDescent="0.25">
      <c r="B4336" s="192"/>
    </row>
    <row r="4337" spans="2:2" x14ac:dyDescent="0.25">
      <c r="B4337" s="192"/>
    </row>
    <row r="4338" spans="2:2" x14ac:dyDescent="0.25">
      <c r="B4338" s="192"/>
    </row>
    <row r="4339" spans="2:2" x14ac:dyDescent="0.25">
      <c r="B4339" s="192"/>
    </row>
    <row r="4340" spans="2:2" x14ac:dyDescent="0.25">
      <c r="B4340" s="192"/>
    </row>
    <row r="4341" spans="2:2" x14ac:dyDescent="0.25">
      <c r="B4341" s="192"/>
    </row>
    <row r="4342" spans="2:2" x14ac:dyDescent="0.25">
      <c r="B4342" s="192"/>
    </row>
    <row r="4343" spans="2:2" x14ac:dyDescent="0.25">
      <c r="B4343" s="192"/>
    </row>
    <row r="4344" spans="2:2" x14ac:dyDescent="0.25">
      <c r="B4344" s="192"/>
    </row>
    <row r="4345" spans="2:2" x14ac:dyDescent="0.25">
      <c r="B4345" s="192"/>
    </row>
    <row r="4346" spans="2:2" x14ac:dyDescent="0.25">
      <c r="B4346" s="192"/>
    </row>
    <row r="4347" spans="2:2" x14ac:dyDescent="0.25">
      <c r="B4347" s="192"/>
    </row>
    <row r="4348" spans="2:2" x14ac:dyDescent="0.25">
      <c r="B4348" s="192"/>
    </row>
    <row r="4349" spans="2:2" x14ac:dyDescent="0.25">
      <c r="B4349" s="192"/>
    </row>
    <row r="4350" spans="2:2" x14ac:dyDescent="0.25">
      <c r="B4350" s="192"/>
    </row>
    <row r="4351" spans="2:2" x14ac:dyDescent="0.25">
      <c r="B4351" s="192"/>
    </row>
    <row r="4352" spans="2:2" x14ac:dyDescent="0.25">
      <c r="B4352" s="192"/>
    </row>
    <row r="4353" spans="2:2" x14ac:dyDescent="0.25">
      <c r="B4353" s="192"/>
    </row>
    <row r="4354" spans="2:2" x14ac:dyDescent="0.25">
      <c r="B4354" s="192"/>
    </row>
    <row r="4355" spans="2:2" x14ac:dyDescent="0.25">
      <c r="B4355" s="192"/>
    </row>
    <row r="4356" spans="2:2" x14ac:dyDescent="0.25">
      <c r="B4356" s="192"/>
    </row>
    <row r="4357" spans="2:2" x14ac:dyDescent="0.25">
      <c r="B4357" s="192"/>
    </row>
    <row r="4358" spans="2:2" x14ac:dyDescent="0.25">
      <c r="B4358" s="192"/>
    </row>
    <row r="4359" spans="2:2" x14ac:dyDescent="0.25">
      <c r="B4359" s="192"/>
    </row>
    <row r="4360" spans="2:2" x14ac:dyDescent="0.25">
      <c r="B4360" s="192"/>
    </row>
    <row r="4361" spans="2:2" x14ac:dyDescent="0.25">
      <c r="B4361" s="192"/>
    </row>
    <row r="4362" spans="2:2" x14ac:dyDescent="0.25">
      <c r="B4362" s="192"/>
    </row>
    <row r="4363" spans="2:2" x14ac:dyDescent="0.25">
      <c r="B4363" s="192"/>
    </row>
    <row r="4364" spans="2:2" x14ac:dyDescent="0.25">
      <c r="B4364" s="192"/>
    </row>
    <row r="4365" spans="2:2" x14ac:dyDescent="0.25">
      <c r="B4365" s="192"/>
    </row>
    <row r="4366" spans="2:2" x14ac:dyDescent="0.25">
      <c r="B4366" s="192"/>
    </row>
    <row r="4367" spans="2:2" x14ac:dyDescent="0.25">
      <c r="B4367" s="192"/>
    </row>
    <row r="4368" spans="2:2" x14ac:dyDescent="0.25">
      <c r="B4368" s="192"/>
    </row>
    <row r="4369" spans="2:2" x14ac:dyDescent="0.25">
      <c r="B4369" s="192"/>
    </row>
    <row r="4370" spans="2:2" x14ac:dyDescent="0.25">
      <c r="B4370" s="192"/>
    </row>
    <row r="4371" spans="2:2" x14ac:dyDescent="0.25">
      <c r="B4371" s="192"/>
    </row>
    <row r="4372" spans="2:2" x14ac:dyDescent="0.25">
      <c r="B4372" s="192"/>
    </row>
    <row r="4373" spans="2:2" x14ac:dyDescent="0.25">
      <c r="B4373" s="192"/>
    </row>
    <row r="4374" spans="2:2" x14ac:dyDescent="0.25">
      <c r="B4374" s="192"/>
    </row>
    <row r="4375" spans="2:2" x14ac:dyDescent="0.25">
      <c r="B4375" s="192"/>
    </row>
    <row r="4376" spans="2:2" x14ac:dyDescent="0.25">
      <c r="B4376" s="192"/>
    </row>
    <row r="4377" spans="2:2" x14ac:dyDescent="0.25">
      <c r="B4377" s="192"/>
    </row>
    <row r="4378" spans="2:2" x14ac:dyDescent="0.25">
      <c r="B4378" s="192"/>
    </row>
    <row r="4379" spans="2:2" x14ac:dyDescent="0.25">
      <c r="B4379" s="192"/>
    </row>
    <row r="4380" spans="2:2" x14ac:dyDescent="0.25">
      <c r="B4380" s="192"/>
    </row>
    <row r="4381" spans="2:2" x14ac:dyDescent="0.25">
      <c r="B4381" s="192"/>
    </row>
    <row r="4382" spans="2:2" x14ac:dyDescent="0.25">
      <c r="B4382" s="192"/>
    </row>
    <row r="4383" spans="2:2" x14ac:dyDescent="0.25">
      <c r="B4383" s="192"/>
    </row>
    <row r="4384" spans="2:2" x14ac:dyDescent="0.25">
      <c r="B4384" s="192"/>
    </row>
    <row r="4385" spans="2:2" x14ac:dyDescent="0.25">
      <c r="B4385" s="192"/>
    </row>
    <row r="4386" spans="2:2" x14ac:dyDescent="0.25">
      <c r="B4386" s="192"/>
    </row>
    <row r="4387" spans="2:2" x14ac:dyDescent="0.25">
      <c r="B4387" s="192"/>
    </row>
    <row r="4388" spans="2:2" x14ac:dyDescent="0.25">
      <c r="B4388" s="192"/>
    </row>
    <row r="4389" spans="2:2" x14ac:dyDescent="0.25">
      <c r="B4389" s="192"/>
    </row>
    <row r="4390" spans="2:2" x14ac:dyDescent="0.25">
      <c r="B4390" s="192"/>
    </row>
    <row r="4391" spans="2:2" x14ac:dyDescent="0.25">
      <c r="B4391" s="192"/>
    </row>
    <row r="4392" spans="2:2" x14ac:dyDescent="0.25">
      <c r="B4392" s="192"/>
    </row>
    <row r="4393" spans="2:2" x14ac:dyDescent="0.25">
      <c r="B4393" s="192"/>
    </row>
    <row r="4394" spans="2:2" x14ac:dyDescent="0.25">
      <c r="B4394" s="192"/>
    </row>
    <row r="4395" spans="2:2" x14ac:dyDescent="0.25">
      <c r="B4395" s="192"/>
    </row>
    <row r="4396" spans="2:2" x14ac:dyDescent="0.25">
      <c r="B4396" s="192"/>
    </row>
    <row r="4397" spans="2:2" x14ac:dyDescent="0.25">
      <c r="B4397" s="192"/>
    </row>
    <row r="4398" spans="2:2" x14ac:dyDescent="0.25">
      <c r="B4398" s="192"/>
    </row>
    <row r="4399" spans="2:2" x14ac:dyDescent="0.25">
      <c r="B4399" s="192"/>
    </row>
    <row r="4400" spans="2:2" x14ac:dyDescent="0.25">
      <c r="B4400" s="192"/>
    </row>
    <row r="4401" spans="2:2" x14ac:dyDescent="0.25">
      <c r="B4401" s="192"/>
    </row>
    <row r="4402" spans="2:2" x14ac:dyDescent="0.25">
      <c r="B4402" s="192"/>
    </row>
    <row r="4403" spans="2:2" x14ac:dyDescent="0.25">
      <c r="B4403" s="192"/>
    </row>
    <row r="4404" spans="2:2" x14ac:dyDescent="0.25">
      <c r="B4404" s="192"/>
    </row>
    <row r="4405" spans="2:2" x14ac:dyDescent="0.25">
      <c r="B4405" s="192"/>
    </row>
    <row r="4406" spans="2:2" x14ac:dyDescent="0.25">
      <c r="B4406" s="192"/>
    </row>
    <row r="4407" spans="2:2" x14ac:dyDescent="0.25">
      <c r="B4407" s="192"/>
    </row>
    <row r="4408" spans="2:2" x14ac:dyDescent="0.25">
      <c r="B4408" s="192"/>
    </row>
    <row r="4409" spans="2:2" x14ac:dyDescent="0.25">
      <c r="B4409" s="192"/>
    </row>
    <row r="4410" spans="2:2" x14ac:dyDescent="0.25">
      <c r="B4410" s="192"/>
    </row>
    <row r="4411" spans="2:2" x14ac:dyDescent="0.25">
      <c r="B4411" s="192"/>
    </row>
    <row r="4412" spans="2:2" x14ac:dyDescent="0.25">
      <c r="B4412" s="192"/>
    </row>
    <row r="4413" spans="2:2" x14ac:dyDescent="0.25">
      <c r="B4413" s="192"/>
    </row>
    <row r="4414" spans="2:2" x14ac:dyDescent="0.25">
      <c r="B4414" s="192"/>
    </row>
    <row r="4415" spans="2:2" x14ac:dyDescent="0.25">
      <c r="B4415" s="192"/>
    </row>
    <row r="4416" spans="2:2" x14ac:dyDescent="0.25">
      <c r="B4416" s="192"/>
    </row>
    <row r="4417" spans="2:2" x14ac:dyDescent="0.25">
      <c r="B4417" s="192"/>
    </row>
    <row r="4418" spans="2:2" x14ac:dyDescent="0.25">
      <c r="B4418" s="192"/>
    </row>
    <row r="4419" spans="2:2" x14ac:dyDescent="0.25">
      <c r="B4419" s="192"/>
    </row>
    <row r="4420" spans="2:2" x14ac:dyDescent="0.25">
      <c r="B4420" s="192"/>
    </row>
    <row r="4421" spans="2:2" x14ac:dyDescent="0.25">
      <c r="B4421" s="192"/>
    </row>
    <row r="4422" spans="2:2" x14ac:dyDescent="0.25">
      <c r="B4422" s="192"/>
    </row>
    <row r="4423" spans="2:2" x14ac:dyDescent="0.25">
      <c r="B4423" s="192"/>
    </row>
    <row r="4424" spans="2:2" x14ac:dyDescent="0.25">
      <c r="B4424" s="192"/>
    </row>
    <row r="4425" spans="2:2" x14ac:dyDescent="0.25">
      <c r="B4425" s="192"/>
    </row>
    <row r="4426" spans="2:2" x14ac:dyDescent="0.25">
      <c r="B4426" s="192"/>
    </row>
    <row r="4427" spans="2:2" x14ac:dyDescent="0.25">
      <c r="B4427" s="192"/>
    </row>
    <row r="4428" spans="2:2" x14ac:dyDescent="0.25">
      <c r="B4428" s="192"/>
    </row>
    <row r="4429" spans="2:2" x14ac:dyDescent="0.25">
      <c r="B4429" s="192"/>
    </row>
    <row r="4430" spans="2:2" x14ac:dyDescent="0.25">
      <c r="B4430" s="192"/>
    </row>
    <row r="4431" spans="2:2" x14ac:dyDescent="0.25">
      <c r="B4431" s="192"/>
    </row>
    <row r="4432" spans="2:2" x14ac:dyDescent="0.25">
      <c r="B4432" s="192"/>
    </row>
    <row r="4433" spans="2:2" x14ac:dyDescent="0.25">
      <c r="B4433" s="192"/>
    </row>
    <row r="4434" spans="2:2" x14ac:dyDescent="0.25">
      <c r="B4434" s="192"/>
    </row>
    <row r="4435" spans="2:2" x14ac:dyDescent="0.25">
      <c r="B4435" s="192"/>
    </row>
    <row r="4436" spans="2:2" x14ac:dyDescent="0.25">
      <c r="B4436" s="192"/>
    </row>
    <row r="4437" spans="2:2" x14ac:dyDescent="0.25">
      <c r="B4437" s="192"/>
    </row>
    <row r="4438" spans="2:2" x14ac:dyDescent="0.25">
      <c r="B4438" s="192"/>
    </row>
    <row r="4439" spans="2:2" x14ac:dyDescent="0.25">
      <c r="B4439" s="192"/>
    </row>
    <row r="4440" spans="2:2" x14ac:dyDescent="0.25">
      <c r="B4440" s="192"/>
    </row>
    <row r="4441" spans="2:2" x14ac:dyDescent="0.25">
      <c r="B4441" s="192"/>
    </row>
    <row r="4442" spans="2:2" x14ac:dyDescent="0.25">
      <c r="B4442" s="192"/>
    </row>
    <row r="4443" spans="2:2" x14ac:dyDescent="0.25">
      <c r="B4443" s="192"/>
    </row>
    <row r="4444" spans="2:2" x14ac:dyDescent="0.25">
      <c r="B4444" s="192"/>
    </row>
    <row r="4445" spans="2:2" x14ac:dyDescent="0.25">
      <c r="B4445" s="192"/>
    </row>
    <row r="4446" spans="2:2" x14ac:dyDescent="0.25">
      <c r="B4446" s="192"/>
    </row>
    <row r="4447" spans="2:2" x14ac:dyDescent="0.25">
      <c r="B4447" s="192"/>
    </row>
    <row r="4448" spans="2:2" x14ac:dyDescent="0.25">
      <c r="B4448" s="192"/>
    </row>
    <row r="4449" spans="2:2" x14ac:dyDescent="0.25">
      <c r="B4449" s="192"/>
    </row>
    <row r="4450" spans="2:2" x14ac:dyDescent="0.25">
      <c r="B4450" s="192"/>
    </row>
    <row r="4451" spans="2:2" x14ac:dyDescent="0.25">
      <c r="B4451" s="192"/>
    </row>
    <row r="4452" spans="2:2" x14ac:dyDescent="0.25">
      <c r="B4452" s="192"/>
    </row>
    <row r="4453" spans="2:2" x14ac:dyDescent="0.25">
      <c r="B4453" s="192"/>
    </row>
    <row r="4454" spans="2:2" x14ac:dyDescent="0.25">
      <c r="B4454" s="192"/>
    </row>
    <row r="4455" spans="2:2" x14ac:dyDescent="0.25">
      <c r="B4455" s="192"/>
    </row>
    <row r="4456" spans="2:2" x14ac:dyDescent="0.25">
      <c r="B4456" s="192"/>
    </row>
    <row r="4457" spans="2:2" x14ac:dyDescent="0.25">
      <c r="B4457" s="192"/>
    </row>
    <row r="4458" spans="2:2" x14ac:dyDescent="0.25">
      <c r="B4458" s="192"/>
    </row>
    <row r="4459" spans="2:2" x14ac:dyDescent="0.25">
      <c r="B4459" s="192"/>
    </row>
    <row r="4460" spans="2:2" x14ac:dyDescent="0.25">
      <c r="B4460" s="192"/>
    </row>
    <row r="4461" spans="2:2" x14ac:dyDescent="0.25">
      <c r="B4461" s="192"/>
    </row>
    <row r="4462" spans="2:2" x14ac:dyDescent="0.25">
      <c r="B4462" s="192"/>
    </row>
    <row r="4463" spans="2:2" x14ac:dyDescent="0.25">
      <c r="B4463" s="192"/>
    </row>
    <row r="4464" spans="2:2" x14ac:dyDescent="0.25">
      <c r="B4464" s="192"/>
    </row>
    <row r="4465" spans="2:2" x14ac:dyDescent="0.25">
      <c r="B4465" s="192"/>
    </row>
    <row r="4466" spans="2:2" x14ac:dyDescent="0.25">
      <c r="B4466" s="192"/>
    </row>
    <row r="4467" spans="2:2" x14ac:dyDescent="0.25">
      <c r="B4467" s="192"/>
    </row>
    <row r="4468" spans="2:2" x14ac:dyDescent="0.25">
      <c r="B4468" s="192"/>
    </row>
    <row r="4469" spans="2:2" x14ac:dyDescent="0.25">
      <c r="B4469" s="192"/>
    </row>
    <row r="4470" spans="2:2" x14ac:dyDescent="0.25">
      <c r="B4470" s="192"/>
    </row>
    <row r="4471" spans="2:2" x14ac:dyDescent="0.25">
      <c r="B4471" s="192"/>
    </row>
    <row r="4472" spans="2:2" x14ac:dyDescent="0.25">
      <c r="B4472" s="192"/>
    </row>
    <row r="4473" spans="2:2" x14ac:dyDescent="0.25">
      <c r="B4473" s="192"/>
    </row>
    <row r="4474" spans="2:2" x14ac:dyDescent="0.25">
      <c r="B4474" s="192"/>
    </row>
    <row r="4475" spans="2:2" x14ac:dyDescent="0.25">
      <c r="B4475" s="192"/>
    </row>
    <row r="4476" spans="2:2" x14ac:dyDescent="0.25">
      <c r="B4476" s="192"/>
    </row>
    <row r="4477" spans="2:2" x14ac:dyDescent="0.25">
      <c r="B4477" s="192"/>
    </row>
    <row r="4478" spans="2:2" x14ac:dyDescent="0.25">
      <c r="B4478" s="192"/>
    </row>
    <row r="4479" spans="2:2" x14ac:dyDescent="0.25">
      <c r="B4479" s="192"/>
    </row>
    <row r="4480" spans="2:2" x14ac:dyDescent="0.25">
      <c r="B4480" s="192"/>
    </row>
    <row r="4481" spans="2:2" x14ac:dyDescent="0.25">
      <c r="B4481" s="192"/>
    </row>
    <row r="4482" spans="2:2" x14ac:dyDescent="0.25">
      <c r="B4482" s="192"/>
    </row>
    <row r="4483" spans="2:2" x14ac:dyDescent="0.25">
      <c r="B4483" s="192"/>
    </row>
    <row r="4484" spans="2:2" x14ac:dyDescent="0.25">
      <c r="B4484" s="192"/>
    </row>
    <row r="4485" spans="2:2" x14ac:dyDescent="0.25">
      <c r="B4485" s="192"/>
    </row>
    <row r="4486" spans="2:2" x14ac:dyDescent="0.25">
      <c r="B4486" s="192"/>
    </row>
    <row r="4487" spans="2:2" x14ac:dyDescent="0.25">
      <c r="B4487" s="192"/>
    </row>
    <row r="4488" spans="2:2" x14ac:dyDescent="0.25">
      <c r="B4488" s="192"/>
    </row>
    <row r="4489" spans="2:2" x14ac:dyDescent="0.25">
      <c r="B4489" s="192"/>
    </row>
    <row r="4490" spans="2:2" x14ac:dyDescent="0.25">
      <c r="B4490" s="192"/>
    </row>
    <row r="4491" spans="2:2" x14ac:dyDescent="0.25">
      <c r="B4491" s="192"/>
    </row>
    <row r="4492" spans="2:2" x14ac:dyDescent="0.25">
      <c r="B4492" s="192"/>
    </row>
    <row r="4493" spans="2:2" x14ac:dyDescent="0.25">
      <c r="B4493" s="192"/>
    </row>
    <row r="4494" spans="2:2" x14ac:dyDescent="0.25">
      <c r="B4494" s="192"/>
    </row>
    <row r="4495" spans="2:2" x14ac:dyDescent="0.25">
      <c r="B4495" s="192"/>
    </row>
    <row r="4496" spans="2:2" x14ac:dyDescent="0.25">
      <c r="B4496" s="192"/>
    </row>
    <row r="4497" spans="2:2" x14ac:dyDescent="0.25">
      <c r="B4497" s="192"/>
    </row>
    <row r="4498" spans="2:2" x14ac:dyDescent="0.25">
      <c r="B4498" s="192"/>
    </row>
    <row r="4499" spans="2:2" x14ac:dyDescent="0.25">
      <c r="B4499" s="192"/>
    </row>
    <row r="4500" spans="2:2" x14ac:dyDescent="0.25">
      <c r="B4500" s="192"/>
    </row>
    <row r="4501" spans="2:2" x14ac:dyDescent="0.25">
      <c r="B4501" s="192"/>
    </row>
    <row r="4502" spans="2:2" x14ac:dyDescent="0.25">
      <c r="B4502" s="192"/>
    </row>
    <row r="4503" spans="2:2" x14ac:dyDescent="0.25">
      <c r="B4503" s="192"/>
    </row>
    <row r="4504" spans="2:2" x14ac:dyDescent="0.25">
      <c r="B4504" s="192"/>
    </row>
    <row r="4505" spans="2:2" x14ac:dyDescent="0.25">
      <c r="B4505" s="192"/>
    </row>
    <row r="4506" spans="2:2" x14ac:dyDescent="0.25">
      <c r="B4506" s="192"/>
    </row>
    <row r="4507" spans="2:2" x14ac:dyDescent="0.25">
      <c r="B4507" s="192"/>
    </row>
    <row r="4508" spans="2:2" x14ac:dyDescent="0.25">
      <c r="B4508" s="192"/>
    </row>
    <row r="4509" spans="2:2" x14ac:dyDescent="0.25">
      <c r="B4509" s="192"/>
    </row>
    <row r="4510" spans="2:2" x14ac:dyDescent="0.25">
      <c r="B4510" s="192"/>
    </row>
    <row r="4511" spans="2:2" x14ac:dyDescent="0.25">
      <c r="B4511" s="192"/>
    </row>
    <row r="4512" spans="2:2" x14ac:dyDescent="0.25">
      <c r="B4512" s="192"/>
    </row>
    <row r="4513" spans="2:2" x14ac:dyDescent="0.25">
      <c r="B4513" s="192"/>
    </row>
    <row r="4514" spans="2:2" x14ac:dyDescent="0.25">
      <c r="B4514" s="192"/>
    </row>
    <row r="4515" spans="2:2" x14ac:dyDescent="0.25">
      <c r="B4515" s="192"/>
    </row>
    <row r="4516" spans="2:2" x14ac:dyDescent="0.25">
      <c r="B4516" s="192"/>
    </row>
    <row r="4517" spans="2:2" x14ac:dyDescent="0.25">
      <c r="B4517" s="192"/>
    </row>
    <row r="4518" spans="2:2" x14ac:dyDescent="0.25">
      <c r="B4518" s="192"/>
    </row>
    <row r="4519" spans="2:2" x14ac:dyDescent="0.25">
      <c r="B4519" s="192"/>
    </row>
    <row r="4520" spans="2:2" x14ac:dyDescent="0.25">
      <c r="B4520" s="192"/>
    </row>
    <row r="4521" spans="2:2" x14ac:dyDescent="0.25">
      <c r="B4521" s="192"/>
    </row>
    <row r="4522" spans="2:2" x14ac:dyDescent="0.25">
      <c r="B4522" s="192"/>
    </row>
    <row r="4523" spans="2:2" x14ac:dyDescent="0.25">
      <c r="B4523" s="192"/>
    </row>
    <row r="4524" spans="2:2" x14ac:dyDescent="0.25">
      <c r="B4524" s="192"/>
    </row>
    <row r="4525" spans="2:2" x14ac:dyDescent="0.25">
      <c r="B4525" s="192"/>
    </row>
    <row r="4526" spans="2:2" x14ac:dyDescent="0.25">
      <c r="B4526" s="192"/>
    </row>
    <row r="4527" spans="2:2" x14ac:dyDescent="0.25">
      <c r="B4527" s="192"/>
    </row>
    <row r="4528" spans="2:2" x14ac:dyDescent="0.25">
      <c r="B4528" s="192"/>
    </row>
    <row r="4529" spans="2:2" x14ac:dyDescent="0.25">
      <c r="B4529" s="192"/>
    </row>
    <row r="4530" spans="2:2" x14ac:dyDescent="0.25">
      <c r="B4530" s="192"/>
    </row>
    <row r="4531" spans="2:2" x14ac:dyDescent="0.25">
      <c r="B4531" s="192"/>
    </row>
    <row r="4532" spans="2:2" x14ac:dyDescent="0.25">
      <c r="B4532" s="192"/>
    </row>
    <row r="4533" spans="2:2" x14ac:dyDescent="0.25">
      <c r="B4533" s="192"/>
    </row>
    <row r="4534" spans="2:2" x14ac:dyDescent="0.25">
      <c r="B4534" s="192"/>
    </row>
    <row r="4535" spans="2:2" x14ac:dyDescent="0.25">
      <c r="B4535" s="192"/>
    </row>
    <row r="4536" spans="2:2" x14ac:dyDescent="0.25">
      <c r="B4536" s="192"/>
    </row>
    <row r="4537" spans="2:2" x14ac:dyDescent="0.25">
      <c r="B4537" s="192"/>
    </row>
    <row r="4538" spans="2:2" x14ac:dyDescent="0.25">
      <c r="B4538" s="192"/>
    </row>
    <row r="4539" spans="2:2" x14ac:dyDescent="0.25">
      <c r="B4539" s="192"/>
    </row>
    <row r="4540" spans="2:2" x14ac:dyDescent="0.25">
      <c r="B4540" s="192"/>
    </row>
    <row r="4541" spans="2:2" x14ac:dyDescent="0.25">
      <c r="B4541" s="192"/>
    </row>
    <row r="4542" spans="2:2" x14ac:dyDescent="0.25">
      <c r="B4542" s="192"/>
    </row>
    <row r="4543" spans="2:2" x14ac:dyDescent="0.25">
      <c r="B4543" s="192"/>
    </row>
    <row r="4544" spans="2:2" x14ac:dyDescent="0.25">
      <c r="B4544" s="192"/>
    </row>
    <row r="4545" spans="2:2" x14ac:dyDescent="0.25">
      <c r="B4545" s="192"/>
    </row>
    <row r="4546" spans="2:2" x14ac:dyDescent="0.25">
      <c r="B4546" s="192"/>
    </row>
    <row r="4547" spans="2:2" x14ac:dyDescent="0.25">
      <c r="B4547" s="192"/>
    </row>
    <row r="4548" spans="2:2" x14ac:dyDescent="0.25">
      <c r="B4548" s="192"/>
    </row>
    <row r="4549" spans="2:2" x14ac:dyDescent="0.25">
      <c r="B4549" s="192"/>
    </row>
    <row r="4550" spans="2:2" x14ac:dyDescent="0.25">
      <c r="B4550" s="192"/>
    </row>
    <row r="4551" spans="2:2" x14ac:dyDescent="0.25">
      <c r="B4551" s="192"/>
    </row>
    <row r="4552" spans="2:2" x14ac:dyDescent="0.25">
      <c r="B4552" s="192"/>
    </row>
    <row r="4553" spans="2:2" x14ac:dyDescent="0.25">
      <c r="B4553" s="192"/>
    </row>
    <row r="4554" spans="2:2" x14ac:dyDescent="0.25">
      <c r="B4554" s="192"/>
    </row>
    <row r="4555" spans="2:2" x14ac:dyDescent="0.25">
      <c r="B4555" s="192"/>
    </row>
    <row r="4556" spans="2:2" x14ac:dyDescent="0.25">
      <c r="B4556" s="192"/>
    </row>
    <row r="4557" spans="2:2" x14ac:dyDescent="0.25">
      <c r="B4557" s="192"/>
    </row>
    <row r="4558" spans="2:2" x14ac:dyDescent="0.25">
      <c r="B4558" s="192"/>
    </row>
    <row r="4559" spans="2:2" x14ac:dyDescent="0.25">
      <c r="B4559" s="192"/>
    </row>
    <row r="4560" spans="2:2" x14ac:dyDescent="0.25">
      <c r="B4560" s="192"/>
    </row>
    <row r="4561" spans="2:2" x14ac:dyDescent="0.25">
      <c r="B4561" s="192"/>
    </row>
    <row r="4562" spans="2:2" x14ac:dyDescent="0.25">
      <c r="B4562" s="192"/>
    </row>
    <row r="4563" spans="2:2" x14ac:dyDescent="0.25">
      <c r="B4563" s="192"/>
    </row>
    <row r="4564" spans="2:2" x14ac:dyDescent="0.25">
      <c r="B4564" s="192"/>
    </row>
    <row r="4565" spans="2:2" x14ac:dyDescent="0.25">
      <c r="B4565" s="192"/>
    </row>
    <row r="4566" spans="2:2" x14ac:dyDescent="0.25">
      <c r="B4566" s="192"/>
    </row>
    <row r="4567" spans="2:2" x14ac:dyDescent="0.25">
      <c r="B4567" s="192"/>
    </row>
    <row r="4568" spans="2:2" x14ac:dyDescent="0.25">
      <c r="B4568" s="192"/>
    </row>
    <row r="4569" spans="2:2" x14ac:dyDescent="0.25">
      <c r="B4569" s="192"/>
    </row>
    <row r="4570" spans="2:2" x14ac:dyDescent="0.25">
      <c r="B4570" s="192"/>
    </row>
    <row r="4571" spans="2:2" x14ac:dyDescent="0.25">
      <c r="B4571" s="192"/>
    </row>
    <row r="4572" spans="2:2" x14ac:dyDescent="0.25">
      <c r="B4572" s="192"/>
    </row>
    <row r="4573" spans="2:2" x14ac:dyDescent="0.25">
      <c r="B4573" s="192"/>
    </row>
    <row r="4574" spans="2:2" x14ac:dyDescent="0.25">
      <c r="B4574" s="192"/>
    </row>
    <row r="4575" spans="2:2" x14ac:dyDescent="0.25">
      <c r="B4575" s="192"/>
    </row>
    <row r="4576" spans="2:2" x14ac:dyDescent="0.25">
      <c r="B4576" s="192"/>
    </row>
    <row r="4577" spans="2:2" x14ac:dyDescent="0.25">
      <c r="B4577" s="192"/>
    </row>
    <row r="4578" spans="2:2" x14ac:dyDescent="0.25">
      <c r="B4578" s="192"/>
    </row>
    <row r="4579" spans="2:2" x14ac:dyDescent="0.25">
      <c r="B4579" s="192"/>
    </row>
    <row r="4580" spans="2:2" x14ac:dyDescent="0.25">
      <c r="B4580" s="192"/>
    </row>
    <row r="4581" spans="2:2" x14ac:dyDescent="0.25">
      <c r="B4581" s="192"/>
    </row>
    <row r="4582" spans="2:2" x14ac:dyDescent="0.25">
      <c r="B4582" s="192"/>
    </row>
    <row r="4583" spans="2:2" x14ac:dyDescent="0.25">
      <c r="B4583" s="192"/>
    </row>
    <row r="4584" spans="2:2" x14ac:dyDescent="0.25">
      <c r="B4584" s="192"/>
    </row>
    <row r="4585" spans="2:2" x14ac:dyDescent="0.25">
      <c r="B4585" s="192"/>
    </row>
    <row r="4586" spans="2:2" x14ac:dyDescent="0.25">
      <c r="B4586" s="192"/>
    </row>
    <row r="4587" spans="2:2" x14ac:dyDescent="0.25">
      <c r="B4587" s="192"/>
    </row>
    <row r="4588" spans="2:2" x14ac:dyDescent="0.25">
      <c r="B4588" s="192"/>
    </row>
    <row r="4589" spans="2:2" x14ac:dyDescent="0.25">
      <c r="B4589" s="192"/>
    </row>
    <row r="4590" spans="2:2" x14ac:dyDescent="0.25">
      <c r="B4590" s="192"/>
    </row>
    <row r="4591" spans="2:2" x14ac:dyDescent="0.25">
      <c r="B4591" s="192"/>
    </row>
    <row r="4592" spans="2:2" x14ac:dyDescent="0.25">
      <c r="B4592" s="192"/>
    </row>
    <row r="4593" spans="2:2" x14ac:dyDescent="0.25">
      <c r="B4593" s="192"/>
    </row>
    <row r="4594" spans="2:2" x14ac:dyDescent="0.25">
      <c r="B4594" s="192"/>
    </row>
    <row r="4595" spans="2:2" x14ac:dyDescent="0.25">
      <c r="B4595" s="192"/>
    </row>
    <row r="4596" spans="2:2" x14ac:dyDescent="0.25">
      <c r="B4596" s="192"/>
    </row>
    <row r="4597" spans="2:2" x14ac:dyDescent="0.25">
      <c r="B4597" s="192"/>
    </row>
    <row r="4598" spans="2:2" x14ac:dyDescent="0.25">
      <c r="B4598" s="192"/>
    </row>
    <row r="4599" spans="2:2" x14ac:dyDescent="0.25">
      <c r="B4599" s="192"/>
    </row>
    <row r="4600" spans="2:2" x14ac:dyDescent="0.25">
      <c r="B4600" s="192"/>
    </row>
    <row r="4601" spans="2:2" x14ac:dyDescent="0.25">
      <c r="B4601" s="192"/>
    </row>
    <row r="4602" spans="2:2" x14ac:dyDescent="0.25">
      <c r="B4602" s="192"/>
    </row>
    <row r="4603" spans="2:2" x14ac:dyDescent="0.25">
      <c r="B4603" s="192"/>
    </row>
    <row r="4604" spans="2:2" x14ac:dyDescent="0.25">
      <c r="B4604" s="192"/>
    </row>
    <row r="4605" spans="2:2" x14ac:dyDescent="0.25">
      <c r="B4605" s="192"/>
    </row>
    <row r="4606" spans="2:2" x14ac:dyDescent="0.25">
      <c r="B4606" s="192"/>
    </row>
    <row r="4607" spans="2:2" x14ac:dyDescent="0.25">
      <c r="B4607" s="192"/>
    </row>
    <row r="4608" spans="2:2" x14ac:dyDescent="0.25">
      <c r="B4608" s="192"/>
    </row>
    <row r="4609" spans="2:2" x14ac:dyDescent="0.25">
      <c r="B4609" s="192"/>
    </row>
    <row r="4610" spans="2:2" x14ac:dyDescent="0.25">
      <c r="B4610" s="192"/>
    </row>
    <row r="4611" spans="2:2" x14ac:dyDescent="0.25">
      <c r="B4611" s="192"/>
    </row>
    <row r="4612" spans="2:2" x14ac:dyDescent="0.25">
      <c r="B4612" s="192"/>
    </row>
    <row r="4613" spans="2:2" x14ac:dyDescent="0.25">
      <c r="B4613" s="192"/>
    </row>
    <row r="4614" spans="2:2" x14ac:dyDescent="0.25">
      <c r="B4614" s="192"/>
    </row>
    <row r="4615" spans="2:2" x14ac:dyDescent="0.25">
      <c r="B4615" s="192"/>
    </row>
    <row r="4616" spans="2:2" x14ac:dyDescent="0.25">
      <c r="B4616" s="192"/>
    </row>
    <row r="4617" spans="2:2" x14ac:dyDescent="0.25">
      <c r="B4617" s="192"/>
    </row>
    <row r="4618" spans="2:2" x14ac:dyDescent="0.25">
      <c r="B4618" s="192"/>
    </row>
    <row r="4619" spans="2:2" x14ac:dyDescent="0.25">
      <c r="B4619" s="192"/>
    </row>
    <row r="4620" spans="2:2" x14ac:dyDescent="0.25">
      <c r="B4620" s="192"/>
    </row>
    <row r="4621" spans="2:2" x14ac:dyDescent="0.25">
      <c r="B4621" s="192"/>
    </row>
    <row r="4622" spans="2:2" x14ac:dyDescent="0.25">
      <c r="B4622" s="192"/>
    </row>
    <row r="4623" spans="2:2" x14ac:dyDescent="0.25">
      <c r="B4623" s="192"/>
    </row>
    <row r="4624" spans="2:2" x14ac:dyDescent="0.25">
      <c r="B4624" s="192"/>
    </row>
    <row r="4625" spans="2:2" x14ac:dyDescent="0.25">
      <c r="B4625" s="192"/>
    </row>
    <row r="4626" spans="2:2" x14ac:dyDescent="0.25">
      <c r="B4626" s="192"/>
    </row>
    <row r="4627" spans="2:2" x14ac:dyDescent="0.25">
      <c r="B4627" s="192"/>
    </row>
    <row r="4628" spans="2:2" x14ac:dyDescent="0.25">
      <c r="B4628" s="192"/>
    </row>
    <row r="4629" spans="2:2" x14ac:dyDescent="0.25">
      <c r="B4629" s="192"/>
    </row>
    <row r="4630" spans="2:2" x14ac:dyDescent="0.25">
      <c r="B4630" s="192"/>
    </row>
    <row r="4631" spans="2:2" x14ac:dyDescent="0.25">
      <c r="B4631" s="192"/>
    </row>
    <row r="4632" spans="2:2" x14ac:dyDescent="0.25">
      <c r="B4632" s="192"/>
    </row>
    <row r="4633" spans="2:2" x14ac:dyDescent="0.25">
      <c r="B4633" s="192"/>
    </row>
    <row r="4634" spans="2:2" x14ac:dyDescent="0.25">
      <c r="B4634" s="192"/>
    </row>
    <row r="4635" spans="2:2" x14ac:dyDescent="0.25">
      <c r="B4635" s="192"/>
    </row>
    <row r="4636" spans="2:2" x14ac:dyDescent="0.25">
      <c r="B4636" s="192"/>
    </row>
    <row r="4637" spans="2:2" x14ac:dyDescent="0.25">
      <c r="B4637" s="192"/>
    </row>
    <row r="4638" spans="2:2" x14ac:dyDescent="0.25">
      <c r="B4638" s="192"/>
    </row>
    <row r="4639" spans="2:2" x14ac:dyDescent="0.25">
      <c r="B4639" s="192"/>
    </row>
    <row r="4640" spans="2:2" x14ac:dyDescent="0.25">
      <c r="B4640" s="192"/>
    </row>
    <row r="4641" spans="2:2" x14ac:dyDescent="0.25">
      <c r="B4641" s="192"/>
    </row>
    <row r="4642" spans="2:2" x14ac:dyDescent="0.25">
      <c r="B4642" s="192"/>
    </row>
    <row r="4643" spans="2:2" x14ac:dyDescent="0.25">
      <c r="B4643" s="192"/>
    </row>
    <row r="4644" spans="2:2" x14ac:dyDescent="0.25">
      <c r="B4644" s="192"/>
    </row>
    <row r="4645" spans="2:2" x14ac:dyDescent="0.25">
      <c r="B4645" s="192"/>
    </row>
    <row r="4646" spans="2:2" x14ac:dyDescent="0.25">
      <c r="B4646" s="192"/>
    </row>
    <row r="4647" spans="2:2" x14ac:dyDescent="0.25">
      <c r="B4647" s="192"/>
    </row>
    <row r="4648" spans="2:2" x14ac:dyDescent="0.25">
      <c r="B4648" s="192"/>
    </row>
    <row r="4649" spans="2:2" x14ac:dyDescent="0.25">
      <c r="B4649" s="192"/>
    </row>
    <row r="4650" spans="2:2" x14ac:dyDescent="0.25">
      <c r="B4650" s="192"/>
    </row>
    <row r="4651" spans="2:2" x14ac:dyDescent="0.25">
      <c r="B4651" s="192"/>
    </row>
    <row r="4652" spans="2:2" x14ac:dyDescent="0.25">
      <c r="B4652" s="192"/>
    </row>
    <row r="4653" spans="2:2" x14ac:dyDescent="0.25">
      <c r="B4653" s="192"/>
    </row>
    <row r="4654" spans="2:2" x14ac:dyDescent="0.25">
      <c r="B4654" s="192"/>
    </row>
    <row r="4655" spans="2:2" x14ac:dyDescent="0.25">
      <c r="B4655" s="192"/>
    </row>
    <row r="4656" spans="2:2" x14ac:dyDescent="0.25">
      <c r="B4656" s="192"/>
    </row>
    <row r="4657" spans="2:2" x14ac:dyDescent="0.25">
      <c r="B4657" s="192"/>
    </row>
    <row r="4658" spans="2:2" x14ac:dyDescent="0.25">
      <c r="B4658" s="192"/>
    </row>
    <row r="4659" spans="2:2" x14ac:dyDescent="0.25">
      <c r="B4659" s="192"/>
    </row>
    <row r="4660" spans="2:2" x14ac:dyDescent="0.25">
      <c r="B4660" s="192"/>
    </row>
    <row r="4661" spans="2:2" x14ac:dyDescent="0.25">
      <c r="B4661" s="192"/>
    </row>
    <row r="4662" spans="2:2" x14ac:dyDescent="0.25">
      <c r="B4662" s="192"/>
    </row>
    <row r="4663" spans="2:2" x14ac:dyDescent="0.25">
      <c r="B4663" s="192"/>
    </row>
    <row r="4664" spans="2:2" x14ac:dyDescent="0.25">
      <c r="B4664" s="192"/>
    </row>
    <row r="4665" spans="2:2" x14ac:dyDescent="0.25">
      <c r="B4665" s="192"/>
    </row>
    <row r="4666" spans="2:2" x14ac:dyDescent="0.25">
      <c r="B4666" s="192"/>
    </row>
    <row r="4667" spans="2:2" x14ac:dyDescent="0.25">
      <c r="B4667" s="192"/>
    </row>
    <row r="4668" spans="2:2" x14ac:dyDescent="0.25">
      <c r="B4668" s="192"/>
    </row>
    <row r="4669" spans="2:2" x14ac:dyDescent="0.25">
      <c r="B4669" s="192"/>
    </row>
    <row r="4670" spans="2:2" x14ac:dyDescent="0.25">
      <c r="B4670" s="192"/>
    </row>
    <row r="4671" spans="2:2" x14ac:dyDescent="0.25">
      <c r="B4671" s="192"/>
    </row>
    <row r="4672" spans="2:2" x14ac:dyDescent="0.25">
      <c r="B4672" s="192"/>
    </row>
    <row r="4673" spans="2:2" x14ac:dyDescent="0.25">
      <c r="B4673" s="192"/>
    </row>
    <row r="4674" spans="2:2" x14ac:dyDescent="0.25">
      <c r="B4674" s="192"/>
    </row>
    <row r="4675" spans="2:2" x14ac:dyDescent="0.25">
      <c r="B4675" s="192"/>
    </row>
    <row r="4676" spans="2:2" x14ac:dyDescent="0.25">
      <c r="B4676" s="192"/>
    </row>
    <row r="4677" spans="2:2" x14ac:dyDescent="0.25">
      <c r="B4677" s="192"/>
    </row>
    <row r="4678" spans="2:2" x14ac:dyDescent="0.25">
      <c r="B4678" s="192"/>
    </row>
    <row r="4679" spans="2:2" x14ac:dyDescent="0.25">
      <c r="B4679" s="192"/>
    </row>
    <row r="4680" spans="2:2" x14ac:dyDescent="0.25">
      <c r="B4680" s="192"/>
    </row>
    <row r="4681" spans="2:2" x14ac:dyDescent="0.25">
      <c r="B4681" s="192"/>
    </row>
    <row r="4682" spans="2:2" x14ac:dyDescent="0.25">
      <c r="B4682" s="192"/>
    </row>
    <row r="4683" spans="2:2" x14ac:dyDescent="0.25">
      <c r="B4683" s="192"/>
    </row>
    <row r="4684" spans="2:2" x14ac:dyDescent="0.25">
      <c r="B4684" s="192"/>
    </row>
    <row r="4685" spans="2:2" x14ac:dyDescent="0.25">
      <c r="B4685" s="192"/>
    </row>
    <row r="4686" spans="2:2" x14ac:dyDescent="0.25">
      <c r="B4686" s="192"/>
    </row>
    <row r="4687" spans="2:2" x14ac:dyDescent="0.25">
      <c r="B4687" s="192"/>
    </row>
    <row r="4688" spans="2:2" x14ac:dyDescent="0.25">
      <c r="B4688" s="192"/>
    </row>
    <row r="4689" spans="2:2" x14ac:dyDescent="0.25">
      <c r="B4689" s="192"/>
    </row>
    <row r="4690" spans="2:2" x14ac:dyDescent="0.25">
      <c r="B4690" s="192"/>
    </row>
    <row r="4691" spans="2:2" x14ac:dyDescent="0.25">
      <c r="B4691" s="192"/>
    </row>
    <row r="4692" spans="2:2" x14ac:dyDescent="0.25">
      <c r="B4692" s="192"/>
    </row>
    <row r="4693" spans="2:2" x14ac:dyDescent="0.25">
      <c r="B4693" s="192"/>
    </row>
    <row r="4694" spans="2:2" x14ac:dyDescent="0.25">
      <c r="B4694" s="192"/>
    </row>
    <row r="4695" spans="2:2" x14ac:dyDescent="0.25">
      <c r="B4695" s="192"/>
    </row>
    <row r="4696" spans="2:2" x14ac:dyDescent="0.25">
      <c r="B4696" s="192"/>
    </row>
    <row r="4697" spans="2:2" x14ac:dyDescent="0.25">
      <c r="B4697" s="192"/>
    </row>
    <row r="4698" spans="2:2" x14ac:dyDescent="0.25">
      <c r="B4698" s="192"/>
    </row>
    <row r="4699" spans="2:2" x14ac:dyDescent="0.25">
      <c r="B4699" s="192"/>
    </row>
    <row r="4700" spans="2:2" x14ac:dyDescent="0.25">
      <c r="B4700" s="192"/>
    </row>
    <row r="4701" spans="2:2" x14ac:dyDescent="0.25">
      <c r="B4701" s="192"/>
    </row>
    <row r="4702" spans="2:2" x14ac:dyDescent="0.25">
      <c r="B4702" s="192"/>
    </row>
    <row r="4703" spans="2:2" x14ac:dyDescent="0.25">
      <c r="B4703" s="192"/>
    </row>
    <row r="4704" spans="2:2" x14ac:dyDescent="0.25">
      <c r="B4704" s="192"/>
    </row>
    <row r="4705" spans="2:2" x14ac:dyDescent="0.25">
      <c r="B4705" s="192"/>
    </row>
    <row r="4706" spans="2:2" x14ac:dyDescent="0.25">
      <c r="B4706" s="192"/>
    </row>
    <row r="4707" spans="2:2" x14ac:dyDescent="0.25">
      <c r="B4707" s="192"/>
    </row>
  </sheetData>
  <mergeCells count="16"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C8EEB-C0BC-40D1-AE98-6FE841E33181}">
  <dimension ref="A1:X4707"/>
  <sheetViews>
    <sheetView topLeftCell="A42" zoomScale="117" zoomScaleNormal="117" workbookViewId="0">
      <selection activeCell="L62" sqref="L62"/>
    </sheetView>
  </sheetViews>
  <sheetFormatPr defaultColWidth="8.88671875" defaultRowHeight="13.2" x14ac:dyDescent="0.25"/>
  <cols>
    <col min="1" max="1" width="6.6640625" style="3" customWidth="1"/>
    <col min="2" max="2" width="11.5546875" style="3" bestFit="1" customWidth="1"/>
    <col min="3" max="3" width="9.44140625" style="3" customWidth="1"/>
    <col min="4" max="4" width="11.6640625" style="3" customWidth="1"/>
    <col min="5" max="5" width="11.5546875" style="3" hidden="1" customWidth="1"/>
    <col min="6" max="6" width="11.33203125" style="3" hidden="1" customWidth="1"/>
    <col min="7" max="7" width="14.33203125" style="3" hidden="1" customWidth="1"/>
    <col min="8" max="10" width="11.33203125" style="3" hidden="1" customWidth="1"/>
    <col min="11" max="11" width="9.6640625" style="147" customWidth="1"/>
    <col min="12" max="12" width="11.44140625" style="147" customWidth="1"/>
    <col min="13" max="13" width="10.6640625" style="147" customWidth="1"/>
    <col min="14" max="14" width="11.5546875" style="147" bestFit="1" customWidth="1"/>
    <col min="15" max="18" width="11.33203125" style="3" hidden="1" customWidth="1"/>
    <col min="19" max="19" width="16" style="3" hidden="1" customWidth="1"/>
    <col min="20" max="20" width="16.5546875" style="3" bestFit="1" customWidth="1"/>
    <col min="21" max="21" width="15" style="3" customWidth="1"/>
    <col min="22" max="22" width="15.88671875" style="3" customWidth="1"/>
    <col min="23" max="16384" width="8.88671875" style="3"/>
  </cols>
  <sheetData>
    <row r="1" spans="1:23" ht="15.6" x14ac:dyDescent="0.3">
      <c r="A1" s="161"/>
      <c r="B1" s="161"/>
      <c r="C1" s="64" t="s">
        <v>161</v>
      </c>
      <c r="D1" s="161"/>
      <c r="E1" s="161"/>
      <c r="F1" s="161"/>
      <c r="G1" s="161"/>
      <c r="H1" s="161"/>
      <c r="I1" s="161"/>
      <c r="J1" s="161"/>
      <c r="K1" s="169"/>
      <c r="L1" s="169"/>
      <c r="M1" s="169"/>
      <c r="N1" s="169"/>
      <c r="O1" s="161"/>
      <c r="P1" s="161"/>
      <c r="Q1" s="161"/>
      <c r="R1" s="161"/>
      <c r="S1" s="161"/>
      <c r="T1" s="161"/>
      <c r="U1" s="161"/>
      <c r="V1" s="161"/>
      <c r="W1" s="161"/>
    </row>
    <row r="2" spans="1:23" ht="15.6" x14ac:dyDescent="0.3">
      <c r="A2" s="161"/>
      <c r="B2" s="161"/>
      <c r="C2" s="64" t="s">
        <v>162</v>
      </c>
      <c r="D2" s="161"/>
      <c r="E2" s="161"/>
      <c r="F2" s="161"/>
      <c r="G2" s="161"/>
      <c r="H2" s="161"/>
      <c r="I2" s="161"/>
      <c r="J2" s="161"/>
      <c r="K2" s="169"/>
      <c r="L2" s="169"/>
      <c r="M2" s="169"/>
      <c r="N2" s="169"/>
      <c r="O2" s="161"/>
      <c r="P2" s="161"/>
      <c r="Q2" s="161"/>
      <c r="R2" s="161"/>
      <c r="S2" s="161"/>
      <c r="T2" s="161"/>
      <c r="U2" s="161"/>
      <c r="V2" s="161"/>
      <c r="W2" s="161" t="s">
        <v>138</v>
      </c>
    </row>
    <row r="3" spans="1:23" ht="13.8" thickBot="1" x14ac:dyDescent="0.3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9"/>
      <c r="L3" s="169"/>
      <c r="M3" s="169"/>
      <c r="N3" s="169"/>
      <c r="O3" s="161"/>
      <c r="P3" s="161"/>
      <c r="Q3" s="161"/>
      <c r="R3" s="161"/>
      <c r="S3" s="161"/>
      <c r="T3" s="161"/>
      <c r="U3" s="161"/>
      <c r="V3" s="161"/>
      <c r="W3" s="161"/>
    </row>
    <row r="4" spans="1:23" s="1" customFormat="1" ht="13.8" thickBot="1" x14ac:dyDescent="0.3">
      <c r="B4" s="4"/>
      <c r="C4" s="196" t="s">
        <v>139</v>
      </c>
      <c r="D4" s="197"/>
      <c r="E4" s="198" t="s">
        <v>139</v>
      </c>
      <c r="F4" s="199"/>
      <c r="G4" s="196" t="s">
        <v>140</v>
      </c>
      <c r="H4" s="197"/>
      <c r="I4" s="198" t="s">
        <v>140</v>
      </c>
      <c r="J4" s="199"/>
      <c r="K4" s="202" t="s">
        <v>141</v>
      </c>
      <c r="L4" s="203"/>
      <c r="M4" s="204" t="s">
        <v>141</v>
      </c>
      <c r="N4" s="205"/>
      <c r="O4" s="196" t="s">
        <v>142</v>
      </c>
      <c r="P4" s="197"/>
      <c r="Q4" s="198" t="s">
        <v>142</v>
      </c>
      <c r="R4" s="199"/>
      <c r="S4" s="5" t="s">
        <v>143</v>
      </c>
      <c r="T4" s="6" t="s">
        <v>144</v>
      </c>
      <c r="U4" s="5" t="s">
        <v>143</v>
      </c>
      <c r="V4" s="6" t="s">
        <v>144</v>
      </c>
    </row>
    <row r="5" spans="1:23" s="1" customFormat="1" ht="13.8" thickBot="1" x14ac:dyDescent="0.3">
      <c r="B5" s="117"/>
      <c r="C5" s="196" t="s">
        <v>145</v>
      </c>
      <c r="D5" s="197"/>
      <c r="E5" s="198" t="s">
        <v>145</v>
      </c>
      <c r="F5" s="199"/>
      <c r="G5" s="196" t="s">
        <v>146</v>
      </c>
      <c r="H5" s="200"/>
      <c r="I5" s="198" t="s">
        <v>146</v>
      </c>
      <c r="J5" s="201"/>
      <c r="K5" s="202" t="s">
        <v>147</v>
      </c>
      <c r="L5" s="203"/>
      <c r="M5" s="204" t="s">
        <v>147</v>
      </c>
      <c r="N5" s="205"/>
      <c r="O5" s="196" t="s">
        <v>148</v>
      </c>
      <c r="P5" s="200"/>
      <c r="Q5" s="198" t="s">
        <v>148</v>
      </c>
      <c r="R5" s="201"/>
      <c r="S5" s="5"/>
      <c r="T5" s="6"/>
      <c r="U5" s="5"/>
      <c r="V5" s="6"/>
    </row>
    <row r="6" spans="1:23" ht="13.8" thickBot="1" x14ac:dyDescent="0.3">
      <c r="A6" s="161"/>
      <c r="B6" s="7" t="s">
        <v>149</v>
      </c>
      <c r="C6" s="170" t="s">
        <v>150</v>
      </c>
      <c r="D6" s="171" t="s">
        <v>151</v>
      </c>
      <c r="E6" s="8" t="s">
        <v>150</v>
      </c>
      <c r="F6" s="9" t="s">
        <v>151</v>
      </c>
      <c r="G6" s="170" t="s">
        <v>150</v>
      </c>
      <c r="H6" s="171" t="s">
        <v>151</v>
      </c>
      <c r="I6" s="118" t="s">
        <v>150</v>
      </c>
      <c r="J6" s="119" t="s">
        <v>151</v>
      </c>
      <c r="K6" s="172" t="s">
        <v>150</v>
      </c>
      <c r="L6" s="173" t="s">
        <v>151</v>
      </c>
      <c r="M6" s="151" t="s">
        <v>150</v>
      </c>
      <c r="N6" s="152" t="s">
        <v>151</v>
      </c>
      <c r="O6" s="174" t="s">
        <v>150</v>
      </c>
      <c r="P6" s="171" t="s">
        <v>151</v>
      </c>
      <c r="Q6" s="118" t="s">
        <v>150</v>
      </c>
      <c r="R6" s="119" t="s">
        <v>151</v>
      </c>
      <c r="S6" s="8" t="s">
        <v>152</v>
      </c>
      <c r="T6" s="9" t="s">
        <v>153</v>
      </c>
      <c r="U6" s="8" t="s">
        <v>152</v>
      </c>
      <c r="V6" s="9" t="s">
        <v>153</v>
      </c>
      <c r="W6" s="161"/>
    </row>
    <row r="7" spans="1:23" ht="13.8" thickBot="1" x14ac:dyDescent="0.3">
      <c r="A7" s="161"/>
      <c r="B7" s="7" t="s">
        <v>154</v>
      </c>
      <c r="C7" s="175"/>
      <c r="D7" s="176"/>
      <c r="E7" s="71" t="s">
        <v>155</v>
      </c>
      <c r="F7" s="92" t="s">
        <v>156</v>
      </c>
      <c r="G7" s="175"/>
      <c r="H7" s="176"/>
      <c r="I7" s="120" t="s">
        <v>155</v>
      </c>
      <c r="J7" s="121" t="s">
        <v>156</v>
      </c>
      <c r="K7" s="177"/>
      <c r="L7" s="178"/>
      <c r="M7" s="151" t="s">
        <v>155</v>
      </c>
      <c r="N7" s="151" t="s">
        <v>156</v>
      </c>
      <c r="O7" s="179"/>
      <c r="P7" s="176"/>
      <c r="Q7" s="120" t="s">
        <v>155</v>
      </c>
      <c r="R7" s="121" t="s">
        <v>156</v>
      </c>
      <c r="S7" s="10" t="s">
        <v>157</v>
      </c>
      <c r="T7" s="11" t="s">
        <v>157</v>
      </c>
      <c r="U7" s="8" t="s">
        <v>155</v>
      </c>
      <c r="V7" s="9" t="s">
        <v>156</v>
      </c>
      <c r="W7" s="161"/>
    </row>
    <row r="8" spans="1:23" ht="13.8" thickBot="1" x14ac:dyDescent="0.3">
      <c r="A8" s="161"/>
      <c r="B8" s="180"/>
      <c r="C8" s="181" t="s">
        <v>158</v>
      </c>
      <c r="D8" s="182" t="s">
        <v>158</v>
      </c>
      <c r="E8" s="8" t="s">
        <v>158</v>
      </c>
      <c r="F8" s="9" t="s">
        <v>158</v>
      </c>
      <c r="G8" s="181" t="s">
        <v>158</v>
      </c>
      <c r="H8" s="182" t="s">
        <v>158</v>
      </c>
      <c r="I8" s="122" t="s">
        <v>158</v>
      </c>
      <c r="J8" s="123" t="s">
        <v>158</v>
      </c>
      <c r="K8" s="183" t="s">
        <v>158</v>
      </c>
      <c r="L8" s="195" t="s">
        <v>158</v>
      </c>
      <c r="M8" s="153" t="s">
        <v>158</v>
      </c>
      <c r="N8" s="153" t="s">
        <v>158</v>
      </c>
      <c r="O8" s="181" t="s">
        <v>158</v>
      </c>
      <c r="P8" s="182" t="s">
        <v>158</v>
      </c>
      <c r="Q8" s="122" t="s">
        <v>158</v>
      </c>
      <c r="R8" s="123" t="s">
        <v>158</v>
      </c>
      <c r="S8" s="13" t="s">
        <v>158</v>
      </c>
      <c r="T8" s="13" t="s">
        <v>158</v>
      </c>
      <c r="U8" s="13" t="s">
        <v>158</v>
      </c>
      <c r="V8" s="12" t="s">
        <v>158</v>
      </c>
      <c r="W8" s="161"/>
    </row>
    <row r="9" spans="1:23" ht="14.4" x14ac:dyDescent="0.3">
      <c r="A9" s="161">
        <v>1</v>
      </c>
      <c r="B9" s="90">
        <v>45779</v>
      </c>
      <c r="C9" s="91">
        <v>0</v>
      </c>
      <c r="D9" s="91">
        <v>0</v>
      </c>
      <c r="E9" s="47">
        <f t="shared" ref="E9:F24" si="0">+C9</f>
        <v>0</v>
      </c>
      <c r="F9" s="47">
        <f t="shared" si="0"/>
        <v>0</v>
      </c>
      <c r="G9" s="124">
        <v>0</v>
      </c>
      <c r="H9" s="125">
        <v>0</v>
      </c>
      <c r="I9" s="47">
        <f t="shared" ref="I9:J24" si="1">+G9</f>
        <v>0</v>
      </c>
      <c r="J9" s="47">
        <f t="shared" si="1"/>
        <v>0</v>
      </c>
      <c r="K9" s="91">
        <v>2858</v>
      </c>
      <c r="L9" s="91">
        <v>4741</v>
      </c>
      <c r="M9" s="154">
        <f>K9</f>
        <v>2858</v>
      </c>
      <c r="N9" s="155">
        <f>L9</f>
        <v>4741</v>
      </c>
      <c r="O9" s="146"/>
      <c r="P9" s="14"/>
      <c r="Q9" s="14"/>
      <c r="R9" s="14"/>
      <c r="S9" s="14">
        <f t="shared" ref="S9:S27" si="2">C9+D9</f>
        <v>0</v>
      </c>
      <c r="T9" s="14">
        <f>K9+L9</f>
        <v>7599</v>
      </c>
      <c r="U9" s="14">
        <f t="shared" ref="U9:U60" si="3">E9+F9</f>
        <v>0</v>
      </c>
      <c r="V9" s="14">
        <f>M9+N9</f>
        <v>7599</v>
      </c>
      <c r="W9" s="161"/>
    </row>
    <row r="10" spans="1:23" ht="14.4" x14ac:dyDescent="0.3">
      <c r="A10" s="161">
        <f>A9+1</f>
        <v>2</v>
      </c>
      <c r="B10" s="90">
        <f t="shared" ref="B10:B60" si="4">B9+7</f>
        <v>45786</v>
      </c>
      <c r="C10" s="91">
        <v>0</v>
      </c>
      <c r="D10" s="91">
        <v>0</v>
      </c>
      <c r="E10" s="48">
        <f t="shared" si="0"/>
        <v>0</v>
      </c>
      <c r="F10" s="48">
        <f t="shared" si="0"/>
        <v>0</v>
      </c>
      <c r="G10" s="126">
        <v>0</v>
      </c>
      <c r="H10" s="127">
        <v>0</v>
      </c>
      <c r="I10" s="48">
        <f t="shared" si="1"/>
        <v>0</v>
      </c>
      <c r="J10" s="48">
        <f t="shared" si="1"/>
        <v>0</v>
      </c>
      <c r="K10" s="91">
        <v>6602</v>
      </c>
      <c r="L10" s="91">
        <v>7284</v>
      </c>
      <c r="M10" s="156">
        <f t="shared" ref="M10:N25" si="5">M9+K10</f>
        <v>9460</v>
      </c>
      <c r="N10" s="155">
        <f t="shared" si="5"/>
        <v>12025</v>
      </c>
      <c r="O10" s="36"/>
      <c r="P10" s="15"/>
      <c r="Q10" s="15"/>
      <c r="R10" s="15"/>
      <c r="S10" s="15">
        <f t="shared" si="2"/>
        <v>0</v>
      </c>
      <c r="T10" s="15">
        <f t="shared" ref="T10:T60" si="6">K10+L10</f>
        <v>13886</v>
      </c>
      <c r="U10" s="15">
        <f t="shared" si="3"/>
        <v>0</v>
      </c>
      <c r="V10" s="15">
        <f t="shared" ref="V10:V60" si="7">M10+N10</f>
        <v>21485</v>
      </c>
      <c r="W10" s="161"/>
    </row>
    <row r="11" spans="1:23" ht="14.4" x14ac:dyDescent="0.3">
      <c r="A11" s="161">
        <f t="shared" ref="A11:A61" si="8">A10+1</f>
        <v>3</v>
      </c>
      <c r="B11" s="90">
        <f t="shared" si="4"/>
        <v>45793</v>
      </c>
      <c r="C11" s="91">
        <v>0</v>
      </c>
      <c r="D11" s="91">
        <v>0</v>
      </c>
      <c r="E11" s="48">
        <f t="shared" si="0"/>
        <v>0</v>
      </c>
      <c r="F11" s="48">
        <f t="shared" si="0"/>
        <v>0</v>
      </c>
      <c r="G11" s="126">
        <v>0</v>
      </c>
      <c r="H11" s="127">
        <v>0</v>
      </c>
      <c r="I11" s="48">
        <f t="shared" si="1"/>
        <v>0</v>
      </c>
      <c r="J11" s="48">
        <f t="shared" si="1"/>
        <v>0</v>
      </c>
      <c r="K11" s="91">
        <v>8839</v>
      </c>
      <c r="L11" s="91">
        <v>9892</v>
      </c>
      <c r="M11" s="156">
        <f t="shared" si="5"/>
        <v>18299</v>
      </c>
      <c r="N11" s="155">
        <f t="shared" si="5"/>
        <v>21917</v>
      </c>
      <c r="O11" s="36"/>
      <c r="P11" s="15"/>
      <c r="Q11" s="15"/>
      <c r="R11" s="15"/>
      <c r="S11" s="15">
        <f t="shared" si="2"/>
        <v>0</v>
      </c>
      <c r="T11" s="15">
        <f t="shared" si="6"/>
        <v>18731</v>
      </c>
      <c r="U11" s="15">
        <f t="shared" si="3"/>
        <v>0</v>
      </c>
      <c r="V11" s="15">
        <f t="shared" si="7"/>
        <v>40216</v>
      </c>
      <c r="W11" s="161"/>
    </row>
    <row r="12" spans="1:23" ht="14.4" x14ac:dyDescent="0.3">
      <c r="A12" s="161">
        <f t="shared" si="8"/>
        <v>4</v>
      </c>
      <c r="B12" s="90">
        <f t="shared" si="4"/>
        <v>45800</v>
      </c>
      <c r="C12" s="91">
        <v>0</v>
      </c>
      <c r="D12" s="91">
        <v>0</v>
      </c>
      <c r="E12" s="48">
        <f t="shared" si="0"/>
        <v>0</v>
      </c>
      <c r="F12" s="48">
        <f t="shared" si="0"/>
        <v>0</v>
      </c>
      <c r="G12" s="126">
        <v>0</v>
      </c>
      <c r="H12" s="127">
        <v>0</v>
      </c>
      <c r="I12" s="48">
        <f t="shared" si="1"/>
        <v>0</v>
      </c>
      <c r="J12" s="48">
        <f t="shared" si="1"/>
        <v>0</v>
      </c>
      <c r="K12" s="91">
        <v>11174</v>
      </c>
      <c r="L12" s="91">
        <v>12432</v>
      </c>
      <c r="M12" s="156">
        <f t="shared" si="5"/>
        <v>29473</v>
      </c>
      <c r="N12" s="155">
        <f t="shared" si="5"/>
        <v>34349</v>
      </c>
      <c r="O12" s="36"/>
      <c r="P12" s="15"/>
      <c r="Q12" s="15"/>
      <c r="R12" s="15"/>
      <c r="S12" s="15">
        <f t="shared" si="2"/>
        <v>0</v>
      </c>
      <c r="T12" s="15">
        <f t="shared" si="6"/>
        <v>23606</v>
      </c>
      <c r="U12" s="15">
        <f t="shared" si="3"/>
        <v>0</v>
      </c>
      <c r="V12" s="15">
        <f t="shared" si="7"/>
        <v>63822</v>
      </c>
      <c r="W12" s="161"/>
    </row>
    <row r="13" spans="1:23" ht="14.4" x14ac:dyDescent="0.3">
      <c r="A13" s="161">
        <f t="shared" si="8"/>
        <v>5</v>
      </c>
      <c r="B13" s="90">
        <f t="shared" si="4"/>
        <v>45807</v>
      </c>
      <c r="C13" s="91">
        <v>0</v>
      </c>
      <c r="D13" s="91">
        <v>0</v>
      </c>
      <c r="E13" s="48">
        <f t="shared" si="0"/>
        <v>0</v>
      </c>
      <c r="F13" s="48">
        <f t="shared" si="0"/>
        <v>0</v>
      </c>
      <c r="G13" s="126">
        <v>0</v>
      </c>
      <c r="H13" s="127">
        <v>0</v>
      </c>
      <c r="I13" s="48">
        <f t="shared" si="1"/>
        <v>0</v>
      </c>
      <c r="J13" s="48">
        <f t="shared" si="1"/>
        <v>0</v>
      </c>
      <c r="K13" s="91">
        <v>14737</v>
      </c>
      <c r="L13" s="91">
        <v>18716</v>
      </c>
      <c r="M13" s="156">
        <f t="shared" si="5"/>
        <v>44210</v>
      </c>
      <c r="N13" s="155">
        <f t="shared" si="5"/>
        <v>53065</v>
      </c>
      <c r="O13" s="36"/>
      <c r="P13" s="15"/>
      <c r="Q13" s="15"/>
      <c r="R13" s="15"/>
      <c r="S13" s="15">
        <f t="shared" si="2"/>
        <v>0</v>
      </c>
      <c r="T13" s="15">
        <f t="shared" si="6"/>
        <v>33453</v>
      </c>
      <c r="U13" s="15">
        <f t="shared" si="3"/>
        <v>0</v>
      </c>
      <c r="V13" s="15">
        <f t="shared" si="7"/>
        <v>97275</v>
      </c>
      <c r="W13" s="161"/>
    </row>
    <row r="14" spans="1:23" ht="14.4" x14ac:dyDescent="0.3">
      <c r="A14" s="161">
        <f t="shared" si="8"/>
        <v>6</v>
      </c>
      <c r="B14" s="90">
        <f t="shared" si="4"/>
        <v>45814</v>
      </c>
      <c r="C14" s="91">
        <v>0</v>
      </c>
      <c r="D14" s="91">
        <v>0</v>
      </c>
      <c r="E14" s="48">
        <f t="shared" si="0"/>
        <v>0</v>
      </c>
      <c r="F14" s="48">
        <f t="shared" si="0"/>
        <v>0</v>
      </c>
      <c r="G14" s="126">
        <v>0</v>
      </c>
      <c r="H14" s="127">
        <v>0</v>
      </c>
      <c r="I14" s="48">
        <f t="shared" si="1"/>
        <v>0</v>
      </c>
      <c r="J14" s="48">
        <f t="shared" si="1"/>
        <v>0</v>
      </c>
      <c r="K14" s="91">
        <v>8082</v>
      </c>
      <c r="L14" s="91">
        <v>5596</v>
      </c>
      <c r="M14" s="156">
        <f t="shared" si="5"/>
        <v>52292</v>
      </c>
      <c r="N14" s="155">
        <f t="shared" si="5"/>
        <v>58661</v>
      </c>
      <c r="O14" s="36"/>
      <c r="P14" s="15"/>
      <c r="Q14" s="15"/>
      <c r="R14" s="15"/>
      <c r="S14" s="15">
        <f t="shared" si="2"/>
        <v>0</v>
      </c>
      <c r="T14" s="15">
        <f t="shared" si="6"/>
        <v>13678</v>
      </c>
      <c r="U14" s="15">
        <f t="shared" si="3"/>
        <v>0</v>
      </c>
      <c r="V14" s="15">
        <f t="shared" si="7"/>
        <v>110953</v>
      </c>
      <c r="W14" s="161"/>
    </row>
    <row r="15" spans="1:23" ht="14.4" x14ac:dyDescent="0.3">
      <c r="A15" s="161">
        <f t="shared" si="8"/>
        <v>7</v>
      </c>
      <c r="B15" s="90">
        <f t="shared" si="4"/>
        <v>45821</v>
      </c>
      <c r="C15" s="91">
        <v>0</v>
      </c>
      <c r="D15" s="91">
        <v>0</v>
      </c>
      <c r="E15" s="48">
        <f t="shared" si="0"/>
        <v>0</v>
      </c>
      <c r="F15" s="48">
        <f t="shared" si="0"/>
        <v>0</v>
      </c>
      <c r="G15" s="126">
        <v>0</v>
      </c>
      <c r="H15" s="127">
        <v>0</v>
      </c>
      <c r="I15" s="48">
        <f t="shared" si="1"/>
        <v>0</v>
      </c>
      <c r="J15" s="48">
        <f t="shared" si="1"/>
        <v>0</v>
      </c>
      <c r="K15" s="91">
        <v>11636</v>
      </c>
      <c r="L15" s="91">
        <v>39503</v>
      </c>
      <c r="M15" s="156">
        <f t="shared" si="5"/>
        <v>63928</v>
      </c>
      <c r="N15" s="155">
        <f t="shared" si="5"/>
        <v>98164</v>
      </c>
      <c r="O15" s="36"/>
      <c r="P15" s="15"/>
      <c r="Q15" s="15"/>
      <c r="R15" s="15"/>
      <c r="S15" s="15">
        <f t="shared" si="2"/>
        <v>0</v>
      </c>
      <c r="T15" s="15">
        <f t="shared" si="6"/>
        <v>51139</v>
      </c>
      <c r="U15" s="15">
        <f t="shared" si="3"/>
        <v>0</v>
      </c>
      <c r="V15" s="15">
        <f t="shared" si="7"/>
        <v>162092</v>
      </c>
      <c r="W15" s="161"/>
    </row>
    <row r="16" spans="1:23" ht="14.4" x14ac:dyDescent="0.3">
      <c r="A16" s="161">
        <f t="shared" si="8"/>
        <v>8</v>
      </c>
      <c r="B16" s="90">
        <f t="shared" si="4"/>
        <v>45828</v>
      </c>
      <c r="C16" s="91">
        <v>0</v>
      </c>
      <c r="D16" s="91">
        <v>0</v>
      </c>
      <c r="E16" s="48">
        <f t="shared" si="0"/>
        <v>0</v>
      </c>
      <c r="F16" s="48">
        <f t="shared" si="0"/>
        <v>0</v>
      </c>
      <c r="G16" s="126">
        <v>0</v>
      </c>
      <c r="H16" s="127">
        <v>0</v>
      </c>
      <c r="I16" s="48">
        <f t="shared" si="1"/>
        <v>0</v>
      </c>
      <c r="J16" s="48">
        <f t="shared" si="1"/>
        <v>0</v>
      </c>
      <c r="K16" s="91">
        <v>8749</v>
      </c>
      <c r="L16" s="91">
        <v>46331</v>
      </c>
      <c r="M16" s="156">
        <f t="shared" si="5"/>
        <v>72677</v>
      </c>
      <c r="N16" s="155">
        <f t="shared" si="5"/>
        <v>144495</v>
      </c>
      <c r="O16" s="36"/>
      <c r="P16" s="15"/>
      <c r="Q16" s="15"/>
      <c r="R16" s="15"/>
      <c r="S16" s="15">
        <f t="shared" si="2"/>
        <v>0</v>
      </c>
      <c r="T16" s="15">
        <f t="shared" si="6"/>
        <v>55080</v>
      </c>
      <c r="U16" s="15">
        <f t="shared" si="3"/>
        <v>0</v>
      </c>
      <c r="V16" s="15">
        <f t="shared" si="7"/>
        <v>217172</v>
      </c>
      <c r="W16" s="161"/>
    </row>
    <row r="17" spans="1:24" ht="14.4" x14ac:dyDescent="0.3">
      <c r="A17" s="161">
        <f t="shared" si="8"/>
        <v>9</v>
      </c>
      <c r="B17" s="90">
        <f t="shared" si="4"/>
        <v>45835</v>
      </c>
      <c r="C17" s="91">
        <v>0</v>
      </c>
      <c r="D17" s="91">
        <v>0</v>
      </c>
      <c r="E17" s="48">
        <f t="shared" si="0"/>
        <v>0</v>
      </c>
      <c r="F17" s="48">
        <f t="shared" si="0"/>
        <v>0</v>
      </c>
      <c r="G17" s="126">
        <v>0</v>
      </c>
      <c r="H17" s="127">
        <v>0</v>
      </c>
      <c r="I17" s="48">
        <f t="shared" si="1"/>
        <v>0</v>
      </c>
      <c r="J17" s="48">
        <f t="shared" si="1"/>
        <v>0</v>
      </c>
      <c r="K17" s="91">
        <v>15580</v>
      </c>
      <c r="L17" s="91">
        <v>51056</v>
      </c>
      <c r="M17" s="156">
        <f t="shared" si="5"/>
        <v>88257</v>
      </c>
      <c r="N17" s="155">
        <f t="shared" si="5"/>
        <v>195551</v>
      </c>
      <c r="O17" s="185"/>
      <c r="P17" s="186"/>
      <c r="Q17" s="15">
        <f>O17</f>
        <v>0</v>
      </c>
      <c r="R17" s="15">
        <f>P17</f>
        <v>0</v>
      </c>
      <c r="S17" s="15">
        <f t="shared" si="2"/>
        <v>0</v>
      </c>
      <c r="T17" s="15">
        <f t="shared" si="6"/>
        <v>66636</v>
      </c>
      <c r="U17" s="15">
        <f t="shared" si="3"/>
        <v>0</v>
      </c>
      <c r="V17" s="15">
        <f t="shared" si="7"/>
        <v>283808</v>
      </c>
      <c r="W17" s="161"/>
      <c r="X17" s="161"/>
    </row>
    <row r="18" spans="1:24" ht="14.4" x14ac:dyDescent="0.3">
      <c r="A18" s="161">
        <f t="shared" si="8"/>
        <v>10</v>
      </c>
      <c r="B18" s="90">
        <f t="shared" si="4"/>
        <v>45842</v>
      </c>
      <c r="C18" s="91">
        <v>0</v>
      </c>
      <c r="D18" s="91">
        <v>0</v>
      </c>
      <c r="E18" s="48">
        <f t="shared" si="0"/>
        <v>0</v>
      </c>
      <c r="F18" s="48">
        <f t="shared" si="0"/>
        <v>0</v>
      </c>
      <c r="G18" s="126">
        <v>0</v>
      </c>
      <c r="H18" s="127">
        <v>0</v>
      </c>
      <c r="I18" s="48">
        <f t="shared" si="1"/>
        <v>0</v>
      </c>
      <c r="J18" s="48">
        <f t="shared" si="1"/>
        <v>0</v>
      </c>
      <c r="K18" s="91">
        <v>5063</v>
      </c>
      <c r="L18" s="91">
        <v>47490</v>
      </c>
      <c r="M18" s="156">
        <f t="shared" si="5"/>
        <v>93320</v>
      </c>
      <c r="N18" s="155">
        <f t="shared" si="5"/>
        <v>243041</v>
      </c>
      <c r="O18" s="185"/>
      <c r="P18" s="186"/>
      <c r="Q18" s="15">
        <f>Q17+O18</f>
        <v>0</v>
      </c>
      <c r="R18" s="15">
        <f>R17+P18</f>
        <v>0</v>
      </c>
      <c r="S18" s="15">
        <f t="shared" si="2"/>
        <v>0</v>
      </c>
      <c r="T18" s="15">
        <f t="shared" si="6"/>
        <v>52553</v>
      </c>
      <c r="U18" s="15">
        <f t="shared" si="3"/>
        <v>0</v>
      </c>
      <c r="V18" s="15">
        <f t="shared" si="7"/>
        <v>336361</v>
      </c>
      <c r="W18" s="161"/>
      <c r="X18" s="161"/>
    </row>
    <row r="19" spans="1:24" ht="14.4" x14ac:dyDescent="0.3">
      <c r="A19" s="161">
        <f t="shared" si="8"/>
        <v>11</v>
      </c>
      <c r="B19" s="90">
        <f t="shared" si="4"/>
        <v>45849</v>
      </c>
      <c r="C19" s="91">
        <v>0</v>
      </c>
      <c r="D19" s="91">
        <v>0</v>
      </c>
      <c r="E19" s="48">
        <f t="shared" si="0"/>
        <v>0</v>
      </c>
      <c r="F19" s="48">
        <f t="shared" si="0"/>
        <v>0</v>
      </c>
      <c r="G19" s="126">
        <v>0</v>
      </c>
      <c r="H19" s="127">
        <v>0</v>
      </c>
      <c r="I19" s="48">
        <f t="shared" si="1"/>
        <v>0</v>
      </c>
      <c r="J19" s="48">
        <f t="shared" si="1"/>
        <v>0</v>
      </c>
      <c r="K19" s="91">
        <v>4474</v>
      </c>
      <c r="L19" s="91">
        <v>8746</v>
      </c>
      <c r="M19" s="156">
        <f t="shared" si="5"/>
        <v>97794</v>
      </c>
      <c r="N19" s="155">
        <f t="shared" si="5"/>
        <v>251787</v>
      </c>
      <c r="O19" s="185"/>
      <c r="P19" s="186"/>
      <c r="Q19" s="15">
        <f t="shared" ref="Q19:R29" si="9">Q18+O19</f>
        <v>0</v>
      </c>
      <c r="R19" s="15">
        <f t="shared" si="9"/>
        <v>0</v>
      </c>
      <c r="S19" s="15">
        <f t="shared" si="2"/>
        <v>0</v>
      </c>
      <c r="T19" s="15">
        <f t="shared" si="6"/>
        <v>13220</v>
      </c>
      <c r="U19" s="15">
        <f t="shared" si="3"/>
        <v>0</v>
      </c>
      <c r="V19" s="15">
        <f t="shared" si="7"/>
        <v>349581</v>
      </c>
      <c r="W19" s="161"/>
      <c r="X19" s="161"/>
    </row>
    <row r="20" spans="1:24" ht="14.4" x14ac:dyDescent="0.3">
      <c r="A20" s="161">
        <f t="shared" si="8"/>
        <v>12</v>
      </c>
      <c r="B20" s="90">
        <f t="shared" si="4"/>
        <v>45856</v>
      </c>
      <c r="C20" s="91">
        <v>0</v>
      </c>
      <c r="D20" s="91">
        <v>0</v>
      </c>
      <c r="E20" s="48">
        <f t="shared" si="0"/>
        <v>0</v>
      </c>
      <c r="F20" s="48">
        <f t="shared" si="0"/>
        <v>0</v>
      </c>
      <c r="G20" s="126">
        <v>0</v>
      </c>
      <c r="H20" s="127">
        <v>0</v>
      </c>
      <c r="I20" s="48">
        <f t="shared" si="1"/>
        <v>0</v>
      </c>
      <c r="J20" s="48">
        <f t="shared" si="1"/>
        <v>0</v>
      </c>
      <c r="K20" s="91">
        <v>6128</v>
      </c>
      <c r="L20" s="91">
        <v>7863</v>
      </c>
      <c r="M20" s="156">
        <f t="shared" si="5"/>
        <v>103922</v>
      </c>
      <c r="N20" s="155">
        <f t="shared" si="5"/>
        <v>259650</v>
      </c>
      <c r="O20" s="185"/>
      <c r="P20" s="186"/>
      <c r="Q20" s="15">
        <f t="shared" si="9"/>
        <v>0</v>
      </c>
      <c r="R20" s="15">
        <f t="shared" si="9"/>
        <v>0</v>
      </c>
      <c r="S20" s="15">
        <f t="shared" si="2"/>
        <v>0</v>
      </c>
      <c r="T20" s="15">
        <f t="shared" si="6"/>
        <v>13991</v>
      </c>
      <c r="U20" s="15">
        <f t="shared" si="3"/>
        <v>0</v>
      </c>
      <c r="V20" s="15">
        <f t="shared" si="7"/>
        <v>363572</v>
      </c>
      <c r="W20" s="161"/>
      <c r="X20" s="161"/>
    </row>
    <row r="21" spans="1:24" ht="14.4" x14ac:dyDescent="0.3">
      <c r="A21" s="161">
        <f t="shared" si="8"/>
        <v>13</v>
      </c>
      <c r="B21" s="90">
        <f t="shared" si="4"/>
        <v>45863</v>
      </c>
      <c r="C21" s="91">
        <v>0</v>
      </c>
      <c r="D21" s="91">
        <v>0</v>
      </c>
      <c r="E21" s="48">
        <f t="shared" si="0"/>
        <v>0</v>
      </c>
      <c r="F21" s="48">
        <f t="shared" si="0"/>
        <v>0</v>
      </c>
      <c r="G21" s="126">
        <v>0</v>
      </c>
      <c r="H21" s="127">
        <v>0</v>
      </c>
      <c r="I21" s="48">
        <f t="shared" si="1"/>
        <v>0</v>
      </c>
      <c r="J21" s="48">
        <f t="shared" si="1"/>
        <v>0</v>
      </c>
      <c r="K21" s="91">
        <v>10482</v>
      </c>
      <c r="L21" s="91">
        <v>56974</v>
      </c>
      <c r="M21" s="156">
        <f t="shared" si="5"/>
        <v>114404</v>
      </c>
      <c r="N21" s="155">
        <f t="shared" si="5"/>
        <v>316624</v>
      </c>
      <c r="O21" s="185"/>
      <c r="P21" s="186"/>
      <c r="Q21" s="15">
        <f t="shared" si="9"/>
        <v>0</v>
      </c>
      <c r="R21" s="15">
        <f t="shared" si="9"/>
        <v>0</v>
      </c>
      <c r="S21" s="15">
        <f t="shared" si="2"/>
        <v>0</v>
      </c>
      <c r="T21" s="15">
        <f t="shared" si="6"/>
        <v>67456</v>
      </c>
      <c r="U21" s="15">
        <f t="shared" si="3"/>
        <v>0</v>
      </c>
      <c r="V21" s="15">
        <f t="shared" si="7"/>
        <v>431028</v>
      </c>
      <c r="W21" s="161"/>
      <c r="X21" s="161"/>
    </row>
    <row r="22" spans="1:24" ht="14.4" x14ac:dyDescent="0.3">
      <c r="A22" s="161">
        <f t="shared" si="8"/>
        <v>14</v>
      </c>
      <c r="B22" s="90">
        <f t="shared" si="4"/>
        <v>45870</v>
      </c>
      <c r="C22" s="91">
        <v>0</v>
      </c>
      <c r="D22" s="91">
        <v>0</v>
      </c>
      <c r="E22" s="48">
        <f t="shared" si="0"/>
        <v>0</v>
      </c>
      <c r="F22" s="48">
        <f t="shared" si="0"/>
        <v>0</v>
      </c>
      <c r="G22" s="126">
        <v>0</v>
      </c>
      <c r="H22" s="127">
        <v>0</v>
      </c>
      <c r="I22" s="48">
        <f t="shared" si="1"/>
        <v>0</v>
      </c>
      <c r="J22" s="48">
        <f t="shared" si="1"/>
        <v>0</v>
      </c>
      <c r="K22" s="91">
        <v>24207</v>
      </c>
      <c r="L22" s="91">
        <v>7928</v>
      </c>
      <c r="M22" s="156">
        <f t="shared" si="5"/>
        <v>138611</v>
      </c>
      <c r="N22" s="155">
        <f t="shared" si="5"/>
        <v>324552</v>
      </c>
      <c r="O22" s="185"/>
      <c r="P22" s="186"/>
      <c r="Q22" s="15">
        <f t="shared" si="9"/>
        <v>0</v>
      </c>
      <c r="R22" s="15">
        <f t="shared" si="9"/>
        <v>0</v>
      </c>
      <c r="S22" s="15">
        <f t="shared" si="2"/>
        <v>0</v>
      </c>
      <c r="T22" s="15">
        <f t="shared" si="6"/>
        <v>32135</v>
      </c>
      <c r="U22" s="15">
        <f t="shared" si="3"/>
        <v>0</v>
      </c>
      <c r="V22" s="15">
        <f t="shared" si="7"/>
        <v>463163</v>
      </c>
      <c r="W22" s="161"/>
      <c r="X22" s="161"/>
    </row>
    <row r="23" spans="1:24" ht="14.4" x14ac:dyDescent="0.3">
      <c r="A23" s="161">
        <f t="shared" si="8"/>
        <v>15</v>
      </c>
      <c r="B23" s="90">
        <f t="shared" si="4"/>
        <v>45877</v>
      </c>
      <c r="C23" s="91">
        <v>0</v>
      </c>
      <c r="D23" s="91">
        <v>0</v>
      </c>
      <c r="E23" s="48">
        <f t="shared" si="0"/>
        <v>0</v>
      </c>
      <c r="F23" s="48">
        <f t="shared" si="0"/>
        <v>0</v>
      </c>
      <c r="G23" s="126">
        <v>0</v>
      </c>
      <c r="H23" s="127">
        <v>0</v>
      </c>
      <c r="I23" s="48">
        <f t="shared" si="1"/>
        <v>0</v>
      </c>
      <c r="J23" s="48">
        <f t="shared" si="1"/>
        <v>0</v>
      </c>
      <c r="K23" s="91">
        <v>20754</v>
      </c>
      <c r="L23" s="91">
        <v>9076</v>
      </c>
      <c r="M23" s="156">
        <f t="shared" si="5"/>
        <v>159365</v>
      </c>
      <c r="N23" s="155">
        <f t="shared" si="5"/>
        <v>333628</v>
      </c>
      <c r="O23" s="185"/>
      <c r="P23" s="186"/>
      <c r="Q23" s="15">
        <f t="shared" si="9"/>
        <v>0</v>
      </c>
      <c r="R23" s="15">
        <f t="shared" si="9"/>
        <v>0</v>
      </c>
      <c r="S23" s="15">
        <f t="shared" si="2"/>
        <v>0</v>
      </c>
      <c r="T23" s="15">
        <f t="shared" si="6"/>
        <v>29830</v>
      </c>
      <c r="U23" s="15">
        <f t="shared" si="3"/>
        <v>0</v>
      </c>
      <c r="V23" s="15">
        <f t="shared" si="7"/>
        <v>492993</v>
      </c>
      <c r="W23" s="161"/>
      <c r="X23" s="161"/>
    </row>
    <row r="24" spans="1:24" ht="14.4" x14ac:dyDescent="0.3">
      <c r="A24" s="161">
        <f t="shared" si="8"/>
        <v>16</v>
      </c>
      <c r="B24" s="90">
        <f t="shared" si="4"/>
        <v>45884</v>
      </c>
      <c r="C24" s="91">
        <v>0</v>
      </c>
      <c r="D24" s="91">
        <v>0</v>
      </c>
      <c r="E24" s="48">
        <f t="shared" si="0"/>
        <v>0</v>
      </c>
      <c r="F24" s="48">
        <f t="shared" si="0"/>
        <v>0</v>
      </c>
      <c r="G24" s="126">
        <v>0</v>
      </c>
      <c r="H24" s="127">
        <v>0</v>
      </c>
      <c r="I24" s="48">
        <f t="shared" si="1"/>
        <v>0</v>
      </c>
      <c r="J24" s="48">
        <f t="shared" si="1"/>
        <v>0</v>
      </c>
      <c r="K24" s="91">
        <v>39992</v>
      </c>
      <c r="L24" s="91">
        <v>5159</v>
      </c>
      <c r="M24" s="156">
        <f t="shared" si="5"/>
        <v>199357</v>
      </c>
      <c r="N24" s="155">
        <f t="shared" si="5"/>
        <v>338787</v>
      </c>
      <c r="O24" s="185"/>
      <c r="P24" s="186"/>
      <c r="Q24" s="15">
        <f t="shared" si="9"/>
        <v>0</v>
      </c>
      <c r="R24" s="15">
        <f t="shared" si="9"/>
        <v>0</v>
      </c>
      <c r="S24" s="15">
        <f t="shared" si="2"/>
        <v>0</v>
      </c>
      <c r="T24" s="15">
        <f t="shared" si="6"/>
        <v>45151</v>
      </c>
      <c r="U24" s="15">
        <f t="shared" si="3"/>
        <v>0</v>
      </c>
      <c r="V24" s="15">
        <f t="shared" si="7"/>
        <v>538144</v>
      </c>
      <c r="W24" s="161"/>
      <c r="X24" s="161"/>
    </row>
    <row r="25" spans="1:24" ht="14.4" x14ac:dyDescent="0.3">
      <c r="A25" s="161">
        <f t="shared" si="8"/>
        <v>17</v>
      </c>
      <c r="B25" s="90">
        <f t="shared" si="4"/>
        <v>45891</v>
      </c>
      <c r="C25" s="91">
        <v>0</v>
      </c>
      <c r="D25" s="91">
        <v>0</v>
      </c>
      <c r="E25" s="48">
        <f t="shared" ref="E25:F40" si="10">+C25</f>
        <v>0</v>
      </c>
      <c r="F25" s="48">
        <f t="shared" si="10"/>
        <v>0</v>
      </c>
      <c r="G25" s="126">
        <v>0</v>
      </c>
      <c r="H25" s="127">
        <v>0</v>
      </c>
      <c r="I25" s="48">
        <f t="shared" ref="I25:J40" si="11">+G25</f>
        <v>0</v>
      </c>
      <c r="J25" s="48">
        <f t="shared" si="11"/>
        <v>0</v>
      </c>
      <c r="K25" s="91">
        <v>9513</v>
      </c>
      <c r="L25" s="91">
        <v>4985</v>
      </c>
      <c r="M25" s="156">
        <f t="shared" si="5"/>
        <v>208870</v>
      </c>
      <c r="N25" s="155">
        <f t="shared" si="5"/>
        <v>343772</v>
      </c>
      <c r="O25" s="185"/>
      <c r="P25" s="186"/>
      <c r="Q25" s="15">
        <f t="shared" si="9"/>
        <v>0</v>
      </c>
      <c r="R25" s="15">
        <f t="shared" si="9"/>
        <v>0</v>
      </c>
      <c r="S25" s="15">
        <f t="shared" si="2"/>
        <v>0</v>
      </c>
      <c r="T25" s="15">
        <f t="shared" si="6"/>
        <v>14498</v>
      </c>
      <c r="U25" s="15">
        <f t="shared" si="3"/>
        <v>0</v>
      </c>
      <c r="V25" s="15">
        <f t="shared" si="7"/>
        <v>552642</v>
      </c>
      <c r="W25" s="161"/>
      <c r="X25" s="161"/>
    </row>
    <row r="26" spans="1:24" ht="14.4" x14ac:dyDescent="0.3">
      <c r="A26" s="161">
        <f t="shared" si="8"/>
        <v>18</v>
      </c>
      <c r="B26" s="90">
        <f t="shared" si="4"/>
        <v>45898</v>
      </c>
      <c r="C26" s="91">
        <v>0</v>
      </c>
      <c r="D26" s="91">
        <v>0</v>
      </c>
      <c r="E26" s="48">
        <f t="shared" si="10"/>
        <v>0</v>
      </c>
      <c r="F26" s="48">
        <f t="shared" si="10"/>
        <v>0</v>
      </c>
      <c r="G26" s="126">
        <v>0</v>
      </c>
      <c r="H26" s="127">
        <v>0</v>
      </c>
      <c r="I26" s="48">
        <f t="shared" si="11"/>
        <v>0</v>
      </c>
      <c r="J26" s="48">
        <f t="shared" si="11"/>
        <v>0</v>
      </c>
      <c r="K26" s="91">
        <v>10117</v>
      </c>
      <c r="L26" s="91">
        <v>5586</v>
      </c>
      <c r="M26" s="156">
        <f t="shared" ref="M26:N41" si="12">M25+K26</f>
        <v>218987</v>
      </c>
      <c r="N26" s="155">
        <f t="shared" si="12"/>
        <v>349358</v>
      </c>
      <c r="O26" s="185"/>
      <c r="P26" s="186"/>
      <c r="Q26" s="15">
        <f t="shared" si="9"/>
        <v>0</v>
      </c>
      <c r="R26" s="15">
        <f t="shared" si="9"/>
        <v>0</v>
      </c>
      <c r="S26" s="15">
        <f t="shared" si="2"/>
        <v>0</v>
      </c>
      <c r="T26" s="15">
        <f t="shared" si="6"/>
        <v>15703</v>
      </c>
      <c r="U26" s="15">
        <f t="shared" si="3"/>
        <v>0</v>
      </c>
      <c r="V26" s="15">
        <f t="shared" si="7"/>
        <v>568345</v>
      </c>
      <c r="W26" s="161"/>
      <c r="X26" s="161"/>
    </row>
    <row r="27" spans="1:24" ht="14.4" x14ac:dyDescent="0.3">
      <c r="A27" s="161">
        <f t="shared" si="8"/>
        <v>19</v>
      </c>
      <c r="B27" s="90">
        <f t="shared" si="4"/>
        <v>45905</v>
      </c>
      <c r="C27" s="91">
        <v>0</v>
      </c>
      <c r="D27" s="91">
        <v>0</v>
      </c>
      <c r="E27" s="48">
        <f t="shared" si="10"/>
        <v>0</v>
      </c>
      <c r="F27" s="48">
        <f t="shared" si="10"/>
        <v>0</v>
      </c>
      <c r="G27" s="126">
        <v>0</v>
      </c>
      <c r="H27" s="127">
        <v>0</v>
      </c>
      <c r="I27" s="48">
        <f t="shared" si="11"/>
        <v>0</v>
      </c>
      <c r="J27" s="48">
        <f t="shared" si="11"/>
        <v>0</v>
      </c>
      <c r="K27" s="91">
        <v>18824</v>
      </c>
      <c r="L27" s="91">
        <v>5391</v>
      </c>
      <c r="M27" s="156">
        <f t="shared" si="12"/>
        <v>237811</v>
      </c>
      <c r="N27" s="155">
        <f t="shared" si="12"/>
        <v>354749</v>
      </c>
      <c r="O27" s="185"/>
      <c r="P27" s="186"/>
      <c r="Q27" s="15">
        <f t="shared" si="9"/>
        <v>0</v>
      </c>
      <c r="R27" s="15">
        <f t="shared" si="9"/>
        <v>0</v>
      </c>
      <c r="S27" s="15">
        <f t="shared" si="2"/>
        <v>0</v>
      </c>
      <c r="T27" s="15">
        <f t="shared" si="6"/>
        <v>24215</v>
      </c>
      <c r="U27" s="15">
        <f t="shared" si="3"/>
        <v>0</v>
      </c>
      <c r="V27" s="15">
        <f t="shared" si="7"/>
        <v>592560</v>
      </c>
      <c r="W27" s="161"/>
      <c r="X27" s="161"/>
    </row>
    <row r="28" spans="1:24" ht="14.4" x14ac:dyDescent="0.3">
      <c r="A28" s="161">
        <f t="shared" si="8"/>
        <v>20</v>
      </c>
      <c r="B28" s="90">
        <f t="shared" si="4"/>
        <v>45912</v>
      </c>
      <c r="C28" s="91">
        <v>0</v>
      </c>
      <c r="D28" s="91">
        <v>0</v>
      </c>
      <c r="E28" s="48">
        <f t="shared" si="10"/>
        <v>0</v>
      </c>
      <c r="F28" s="48">
        <f t="shared" si="10"/>
        <v>0</v>
      </c>
      <c r="G28" s="126">
        <v>0</v>
      </c>
      <c r="H28" s="127">
        <v>0</v>
      </c>
      <c r="I28" s="48">
        <f t="shared" si="11"/>
        <v>0</v>
      </c>
      <c r="J28" s="48">
        <f t="shared" si="11"/>
        <v>0</v>
      </c>
      <c r="K28" s="91">
        <v>7545</v>
      </c>
      <c r="L28" s="91">
        <v>7140</v>
      </c>
      <c r="M28" s="156">
        <f t="shared" si="12"/>
        <v>245356</v>
      </c>
      <c r="N28" s="155">
        <f t="shared" si="12"/>
        <v>361889</v>
      </c>
      <c r="O28" s="185"/>
      <c r="P28" s="186"/>
      <c r="Q28" s="15">
        <f t="shared" si="9"/>
        <v>0</v>
      </c>
      <c r="R28" s="15">
        <f t="shared" si="9"/>
        <v>0</v>
      </c>
      <c r="S28" s="15" t="s">
        <v>159</v>
      </c>
      <c r="T28" s="15">
        <f t="shared" si="6"/>
        <v>14685</v>
      </c>
      <c r="U28" s="15">
        <f t="shared" si="3"/>
        <v>0</v>
      </c>
      <c r="V28" s="15">
        <f t="shared" si="7"/>
        <v>607245</v>
      </c>
      <c r="W28" s="161"/>
      <c r="X28" s="161"/>
    </row>
    <row r="29" spans="1:24" ht="14.4" x14ac:dyDescent="0.3">
      <c r="A29" s="161">
        <f t="shared" si="8"/>
        <v>21</v>
      </c>
      <c r="B29" s="90">
        <f t="shared" si="4"/>
        <v>45919</v>
      </c>
      <c r="C29" s="91">
        <v>0</v>
      </c>
      <c r="D29" s="91">
        <v>0</v>
      </c>
      <c r="E29" s="48">
        <f t="shared" si="10"/>
        <v>0</v>
      </c>
      <c r="F29" s="48">
        <f t="shared" si="10"/>
        <v>0</v>
      </c>
      <c r="G29" s="126">
        <v>0</v>
      </c>
      <c r="H29" s="127">
        <v>0</v>
      </c>
      <c r="I29" s="48">
        <f t="shared" si="11"/>
        <v>0</v>
      </c>
      <c r="J29" s="48">
        <f t="shared" si="11"/>
        <v>0</v>
      </c>
      <c r="K29" s="91">
        <v>11077</v>
      </c>
      <c r="L29" s="91">
        <v>4488</v>
      </c>
      <c r="M29" s="156">
        <f t="shared" si="12"/>
        <v>256433</v>
      </c>
      <c r="N29" s="155">
        <f t="shared" si="12"/>
        <v>366377</v>
      </c>
      <c r="O29" s="185"/>
      <c r="P29" s="186"/>
      <c r="Q29" s="15">
        <f t="shared" si="9"/>
        <v>0</v>
      </c>
      <c r="R29" s="15">
        <f t="shared" si="9"/>
        <v>0</v>
      </c>
      <c r="S29" s="15">
        <f t="shared" ref="S29:S60" si="13">C29+D29</f>
        <v>0</v>
      </c>
      <c r="T29" s="15">
        <f t="shared" si="6"/>
        <v>15565</v>
      </c>
      <c r="U29" s="15">
        <f t="shared" si="3"/>
        <v>0</v>
      </c>
      <c r="V29" s="15">
        <f t="shared" si="7"/>
        <v>622810</v>
      </c>
      <c r="W29" s="161"/>
      <c r="X29" s="161"/>
    </row>
    <row r="30" spans="1:24" ht="14.4" x14ac:dyDescent="0.3">
      <c r="A30" s="161">
        <f t="shared" si="8"/>
        <v>22</v>
      </c>
      <c r="B30" s="90">
        <f t="shared" si="4"/>
        <v>45926</v>
      </c>
      <c r="C30" s="91">
        <v>0</v>
      </c>
      <c r="D30" s="91">
        <v>0</v>
      </c>
      <c r="E30" s="48">
        <f t="shared" si="10"/>
        <v>0</v>
      </c>
      <c r="F30" s="48">
        <f t="shared" si="10"/>
        <v>0</v>
      </c>
      <c r="G30" s="126">
        <v>0</v>
      </c>
      <c r="H30" s="127">
        <v>0</v>
      </c>
      <c r="I30" s="48">
        <f t="shared" si="11"/>
        <v>0</v>
      </c>
      <c r="J30" s="48">
        <f t="shared" si="11"/>
        <v>0</v>
      </c>
      <c r="K30" s="91">
        <v>21587</v>
      </c>
      <c r="L30" s="91">
        <v>13180</v>
      </c>
      <c r="M30" s="156">
        <f t="shared" si="12"/>
        <v>278020</v>
      </c>
      <c r="N30" s="155">
        <f t="shared" si="12"/>
        <v>379557</v>
      </c>
      <c r="O30" s="187"/>
      <c r="P30" s="188"/>
      <c r="Q30" s="15"/>
      <c r="R30" s="15"/>
      <c r="S30" s="40">
        <f t="shared" si="13"/>
        <v>0</v>
      </c>
      <c r="T30" s="15">
        <f t="shared" si="6"/>
        <v>34767</v>
      </c>
      <c r="U30" s="36">
        <f t="shared" si="3"/>
        <v>0</v>
      </c>
      <c r="V30" s="15">
        <f t="shared" si="7"/>
        <v>657577</v>
      </c>
      <c r="W30" s="161"/>
      <c r="X30" s="161"/>
    </row>
    <row r="31" spans="1:24" ht="14.4" x14ac:dyDescent="0.3">
      <c r="A31" s="161">
        <f t="shared" si="8"/>
        <v>23</v>
      </c>
      <c r="B31" s="90">
        <f t="shared" si="4"/>
        <v>45933</v>
      </c>
      <c r="C31" s="91">
        <v>0</v>
      </c>
      <c r="D31" s="91">
        <v>0</v>
      </c>
      <c r="E31" s="48">
        <f t="shared" si="10"/>
        <v>0</v>
      </c>
      <c r="F31" s="48">
        <f t="shared" si="10"/>
        <v>0</v>
      </c>
      <c r="G31" s="126">
        <v>0</v>
      </c>
      <c r="H31" s="127">
        <v>0</v>
      </c>
      <c r="I31" s="48">
        <f t="shared" si="11"/>
        <v>0</v>
      </c>
      <c r="J31" s="48">
        <f t="shared" si="11"/>
        <v>0</v>
      </c>
      <c r="K31" s="91">
        <v>17318</v>
      </c>
      <c r="L31" s="91">
        <v>15733</v>
      </c>
      <c r="M31" s="156">
        <f t="shared" si="12"/>
        <v>295338</v>
      </c>
      <c r="N31" s="155">
        <f t="shared" si="12"/>
        <v>395290</v>
      </c>
      <c r="O31" s="185"/>
      <c r="P31" s="186"/>
      <c r="Q31" s="15"/>
      <c r="R31" s="15"/>
      <c r="S31" s="16">
        <f t="shared" si="13"/>
        <v>0</v>
      </c>
      <c r="T31" s="15">
        <f t="shared" si="6"/>
        <v>33051</v>
      </c>
      <c r="U31" s="15">
        <f t="shared" si="3"/>
        <v>0</v>
      </c>
      <c r="V31" s="36">
        <f t="shared" si="7"/>
        <v>690628</v>
      </c>
      <c r="W31" s="161"/>
      <c r="X31" s="161" t="s">
        <v>160</v>
      </c>
    </row>
    <row r="32" spans="1:24" ht="14.4" x14ac:dyDescent="0.3">
      <c r="A32" s="161">
        <f t="shared" si="8"/>
        <v>24</v>
      </c>
      <c r="B32" s="90">
        <f t="shared" si="4"/>
        <v>45940</v>
      </c>
      <c r="C32" s="91">
        <v>0</v>
      </c>
      <c r="D32" s="91">
        <v>0</v>
      </c>
      <c r="E32" s="48">
        <f t="shared" si="10"/>
        <v>0</v>
      </c>
      <c r="F32" s="48">
        <f t="shared" si="10"/>
        <v>0</v>
      </c>
      <c r="G32" s="126">
        <v>0</v>
      </c>
      <c r="H32" s="127">
        <v>0</v>
      </c>
      <c r="I32" s="48">
        <f t="shared" si="11"/>
        <v>0</v>
      </c>
      <c r="J32" s="48">
        <f t="shared" si="11"/>
        <v>0</v>
      </c>
      <c r="K32" s="91">
        <v>25131</v>
      </c>
      <c r="L32" s="91">
        <v>17867</v>
      </c>
      <c r="M32" s="156">
        <f t="shared" si="12"/>
        <v>320469</v>
      </c>
      <c r="N32" s="155">
        <f t="shared" si="12"/>
        <v>413157</v>
      </c>
      <c r="O32" s="185"/>
      <c r="P32" s="186"/>
      <c r="Q32" s="15"/>
      <c r="R32" s="15"/>
      <c r="S32" s="16">
        <f t="shared" si="13"/>
        <v>0</v>
      </c>
      <c r="T32" s="15">
        <f t="shared" si="6"/>
        <v>42998</v>
      </c>
      <c r="U32" s="15">
        <f t="shared" si="3"/>
        <v>0</v>
      </c>
      <c r="V32" s="36">
        <f t="shared" si="7"/>
        <v>733626</v>
      </c>
      <c r="W32" s="161"/>
      <c r="X32" s="161"/>
    </row>
    <row r="33" spans="1:22" ht="14.4" x14ac:dyDescent="0.3">
      <c r="A33" s="161">
        <f t="shared" si="8"/>
        <v>25</v>
      </c>
      <c r="B33" s="90">
        <f t="shared" si="4"/>
        <v>45947</v>
      </c>
      <c r="C33" s="91">
        <v>0</v>
      </c>
      <c r="D33" s="91">
        <v>0</v>
      </c>
      <c r="E33" s="48">
        <f t="shared" si="10"/>
        <v>0</v>
      </c>
      <c r="F33" s="48">
        <f t="shared" si="10"/>
        <v>0</v>
      </c>
      <c r="G33" s="126">
        <v>0</v>
      </c>
      <c r="H33" s="127">
        <v>0</v>
      </c>
      <c r="I33" s="48">
        <f t="shared" si="11"/>
        <v>0</v>
      </c>
      <c r="J33" s="48">
        <f t="shared" si="11"/>
        <v>0</v>
      </c>
      <c r="K33" s="91">
        <v>30304</v>
      </c>
      <c r="L33" s="91">
        <v>19947</v>
      </c>
      <c r="M33" s="156">
        <f t="shared" si="12"/>
        <v>350773</v>
      </c>
      <c r="N33" s="155">
        <f t="shared" si="12"/>
        <v>433104</v>
      </c>
      <c r="O33" s="185"/>
      <c r="P33" s="186"/>
      <c r="Q33" s="15"/>
      <c r="R33" s="15"/>
      <c r="S33" s="16">
        <f t="shared" si="13"/>
        <v>0</v>
      </c>
      <c r="T33" s="15">
        <f t="shared" si="6"/>
        <v>50251</v>
      </c>
      <c r="U33" s="15">
        <f t="shared" si="3"/>
        <v>0</v>
      </c>
      <c r="V33" s="36">
        <f t="shared" si="7"/>
        <v>783877</v>
      </c>
    </row>
    <row r="34" spans="1:22" ht="14.4" x14ac:dyDescent="0.3">
      <c r="A34" s="161">
        <f t="shared" si="8"/>
        <v>26</v>
      </c>
      <c r="B34" s="90">
        <f t="shared" si="4"/>
        <v>45954</v>
      </c>
      <c r="C34" s="91">
        <v>0</v>
      </c>
      <c r="D34" s="91">
        <v>0</v>
      </c>
      <c r="E34" s="48">
        <f t="shared" si="10"/>
        <v>0</v>
      </c>
      <c r="F34" s="48">
        <f t="shared" si="10"/>
        <v>0</v>
      </c>
      <c r="G34" s="126">
        <v>0</v>
      </c>
      <c r="H34" s="127">
        <v>0</v>
      </c>
      <c r="I34" s="48">
        <f t="shared" si="11"/>
        <v>0</v>
      </c>
      <c r="J34" s="48">
        <f t="shared" si="11"/>
        <v>0</v>
      </c>
      <c r="K34" s="91">
        <v>48668</v>
      </c>
      <c r="L34" s="91">
        <v>18046</v>
      </c>
      <c r="M34" s="156">
        <f t="shared" si="12"/>
        <v>399441</v>
      </c>
      <c r="N34" s="155">
        <f t="shared" si="12"/>
        <v>451150</v>
      </c>
      <c r="O34" s="185"/>
      <c r="P34" s="186"/>
      <c r="Q34" s="15"/>
      <c r="R34" s="15"/>
      <c r="S34" s="16">
        <f t="shared" si="13"/>
        <v>0</v>
      </c>
      <c r="T34" s="15">
        <f t="shared" si="6"/>
        <v>66714</v>
      </c>
      <c r="U34" s="15">
        <f t="shared" si="3"/>
        <v>0</v>
      </c>
      <c r="V34" s="36">
        <f t="shared" si="7"/>
        <v>850591</v>
      </c>
    </row>
    <row r="35" spans="1:22" ht="14.4" x14ac:dyDescent="0.3">
      <c r="A35" s="161">
        <f t="shared" si="8"/>
        <v>27</v>
      </c>
      <c r="B35" s="90">
        <f t="shared" si="4"/>
        <v>45961</v>
      </c>
      <c r="C35" s="91">
        <v>0</v>
      </c>
      <c r="D35" s="91">
        <v>0</v>
      </c>
      <c r="E35" s="48">
        <f t="shared" si="10"/>
        <v>0</v>
      </c>
      <c r="F35" s="48">
        <f t="shared" si="10"/>
        <v>0</v>
      </c>
      <c r="G35" s="126">
        <v>0</v>
      </c>
      <c r="H35" s="127">
        <v>0</v>
      </c>
      <c r="I35" s="48">
        <f t="shared" si="11"/>
        <v>0</v>
      </c>
      <c r="J35" s="48">
        <f t="shared" si="11"/>
        <v>0</v>
      </c>
      <c r="K35" s="91">
        <v>37219</v>
      </c>
      <c r="L35" s="91">
        <v>18098</v>
      </c>
      <c r="M35" s="156">
        <f t="shared" si="12"/>
        <v>436660</v>
      </c>
      <c r="N35" s="155">
        <f t="shared" si="12"/>
        <v>469248</v>
      </c>
      <c r="O35" s="185"/>
      <c r="P35" s="186"/>
      <c r="Q35" s="15"/>
      <c r="R35" s="15"/>
      <c r="S35" s="16">
        <f t="shared" si="13"/>
        <v>0</v>
      </c>
      <c r="T35" s="15">
        <f t="shared" si="6"/>
        <v>55317</v>
      </c>
      <c r="U35" s="15">
        <f t="shared" si="3"/>
        <v>0</v>
      </c>
      <c r="V35" s="36">
        <f t="shared" si="7"/>
        <v>905908</v>
      </c>
    </row>
    <row r="36" spans="1:22" ht="14.4" x14ac:dyDescent="0.3">
      <c r="A36" s="161">
        <f t="shared" si="8"/>
        <v>28</v>
      </c>
      <c r="B36" s="90">
        <f t="shared" si="4"/>
        <v>45968</v>
      </c>
      <c r="C36" s="91">
        <v>0</v>
      </c>
      <c r="D36" s="91">
        <v>0</v>
      </c>
      <c r="E36" s="48">
        <f t="shared" si="10"/>
        <v>0</v>
      </c>
      <c r="F36" s="48">
        <f t="shared" si="10"/>
        <v>0</v>
      </c>
      <c r="G36" s="126">
        <v>0</v>
      </c>
      <c r="H36" s="127">
        <v>0</v>
      </c>
      <c r="I36" s="48">
        <f t="shared" si="11"/>
        <v>0</v>
      </c>
      <c r="J36" s="48">
        <f t="shared" si="11"/>
        <v>0</v>
      </c>
      <c r="K36" s="91">
        <v>39933</v>
      </c>
      <c r="L36" s="91">
        <v>19614</v>
      </c>
      <c r="M36" s="156">
        <f t="shared" si="12"/>
        <v>476593</v>
      </c>
      <c r="N36" s="155">
        <f t="shared" si="12"/>
        <v>488862</v>
      </c>
      <c r="O36" s="185"/>
      <c r="P36" s="186"/>
      <c r="Q36" s="15"/>
      <c r="R36" s="15"/>
      <c r="S36" s="16">
        <f t="shared" si="13"/>
        <v>0</v>
      </c>
      <c r="T36" s="15">
        <f t="shared" si="6"/>
        <v>59547</v>
      </c>
      <c r="U36" s="15">
        <f t="shared" si="3"/>
        <v>0</v>
      </c>
      <c r="V36" s="36">
        <f t="shared" si="7"/>
        <v>965455</v>
      </c>
    </row>
    <row r="37" spans="1:22" ht="14.4" x14ac:dyDescent="0.3">
      <c r="A37" s="161">
        <f t="shared" si="8"/>
        <v>29</v>
      </c>
      <c r="B37" s="90">
        <f t="shared" si="4"/>
        <v>45975</v>
      </c>
      <c r="C37" s="91">
        <v>0</v>
      </c>
      <c r="D37" s="91">
        <v>0</v>
      </c>
      <c r="E37" s="48">
        <f t="shared" si="10"/>
        <v>0</v>
      </c>
      <c r="F37" s="48">
        <f t="shared" si="10"/>
        <v>0</v>
      </c>
      <c r="G37" s="126">
        <v>0</v>
      </c>
      <c r="H37" s="127">
        <v>0</v>
      </c>
      <c r="I37" s="48">
        <f t="shared" si="11"/>
        <v>0</v>
      </c>
      <c r="J37" s="48">
        <f t="shared" si="11"/>
        <v>0</v>
      </c>
      <c r="K37" s="91">
        <v>31219</v>
      </c>
      <c r="L37" s="91">
        <v>20203</v>
      </c>
      <c r="M37" s="156">
        <f t="shared" si="12"/>
        <v>507812</v>
      </c>
      <c r="N37" s="155">
        <f t="shared" si="12"/>
        <v>509065</v>
      </c>
      <c r="O37" s="185"/>
      <c r="P37" s="186"/>
      <c r="Q37" s="15"/>
      <c r="R37" s="15"/>
      <c r="S37" s="16">
        <f t="shared" si="13"/>
        <v>0</v>
      </c>
      <c r="T37" s="15">
        <f t="shared" si="6"/>
        <v>51422</v>
      </c>
      <c r="U37" s="15">
        <f t="shared" si="3"/>
        <v>0</v>
      </c>
      <c r="V37" s="36">
        <f t="shared" si="7"/>
        <v>1016877</v>
      </c>
    </row>
    <row r="38" spans="1:22" ht="14.4" x14ac:dyDescent="0.3">
      <c r="A38" s="161">
        <f t="shared" si="8"/>
        <v>30</v>
      </c>
      <c r="B38" s="90">
        <f t="shared" si="4"/>
        <v>45982</v>
      </c>
      <c r="C38" s="91">
        <v>0</v>
      </c>
      <c r="D38" s="91">
        <v>0</v>
      </c>
      <c r="E38" s="48">
        <f t="shared" si="10"/>
        <v>0</v>
      </c>
      <c r="F38" s="48">
        <f t="shared" si="10"/>
        <v>0</v>
      </c>
      <c r="G38" s="126">
        <v>0</v>
      </c>
      <c r="H38" s="127">
        <v>0</v>
      </c>
      <c r="I38" s="48">
        <f t="shared" si="11"/>
        <v>0</v>
      </c>
      <c r="J38" s="48">
        <f t="shared" si="11"/>
        <v>0</v>
      </c>
      <c r="K38" s="91">
        <v>27199</v>
      </c>
      <c r="L38" s="91">
        <v>18757</v>
      </c>
      <c r="M38" s="156">
        <f t="shared" si="12"/>
        <v>535011</v>
      </c>
      <c r="N38" s="155">
        <f t="shared" si="12"/>
        <v>527822</v>
      </c>
      <c r="O38" s="185"/>
      <c r="P38" s="186"/>
      <c r="Q38" s="15"/>
      <c r="R38" s="15"/>
      <c r="S38" s="16">
        <f t="shared" si="13"/>
        <v>0</v>
      </c>
      <c r="T38" s="15">
        <f t="shared" si="6"/>
        <v>45956</v>
      </c>
      <c r="U38" s="15">
        <f t="shared" si="3"/>
        <v>0</v>
      </c>
      <c r="V38" s="36">
        <f t="shared" si="7"/>
        <v>1062833</v>
      </c>
    </row>
    <row r="39" spans="1:22" ht="14.4" x14ac:dyDescent="0.3">
      <c r="A39" s="161">
        <f t="shared" si="8"/>
        <v>31</v>
      </c>
      <c r="B39" s="90">
        <f t="shared" si="4"/>
        <v>45989</v>
      </c>
      <c r="C39" s="91">
        <v>0</v>
      </c>
      <c r="D39" s="91">
        <v>0</v>
      </c>
      <c r="E39" s="48">
        <f t="shared" si="10"/>
        <v>0</v>
      </c>
      <c r="F39" s="48">
        <f t="shared" si="10"/>
        <v>0</v>
      </c>
      <c r="G39" s="126">
        <v>0</v>
      </c>
      <c r="H39" s="127">
        <v>0</v>
      </c>
      <c r="I39" s="48">
        <f t="shared" si="11"/>
        <v>0</v>
      </c>
      <c r="J39" s="48">
        <f t="shared" si="11"/>
        <v>0</v>
      </c>
      <c r="K39" s="91">
        <v>32976</v>
      </c>
      <c r="L39" s="91">
        <v>19216</v>
      </c>
      <c r="M39" s="156">
        <f t="shared" si="12"/>
        <v>567987</v>
      </c>
      <c r="N39" s="155">
        <f t="shared" si="12"/>
        <v>547038</v>
      </c>
      <c r="O39" s="185"/>
      <c r="P39" s="186"/>
      <c r="Q39" s="15"/>
      <c r="R39" s="15"/>
      <c r="S39" s="16">
        <f t="shared" si="13"/>
        <v>0</v>
      </c>
      <c r="T39" s="15">
        <f t="shared" si="6"/>
        <v>52192</v>
      </c>
      <c r="U39" s="15">
        <f t="shared" si="3"/>
        <v>0</v>
      </c>
      <c r="V39" s="36">
        <f t="shared" si="7"/>
        <v>1115025</v>
      </c>
    </row>
    <row r="40" spans="1:22" ht="14.4" x14ac:dyDescent="0.3">
      <c r="A40" s="161">
        <f t="shared" si="8"/>
        <v>32</v>
      </c>
      <c r="B40" s="90">
        <f t="shared" si="4"/>
        <v>45996</v>
      </c>
      <c r="C40" s="91">
        <v>0</v>
      </c>
      <c r="D40" s="91">
        <v>0</v>
      </c>
      <c r="E40" s="48">
        <f t="shared" si="10"/>
        <v>0</v>
      </c>
      <c r="F40" s="48">
        <f t="shared" si="10"/>
        <v>0</v>
      </c>
      <c r="G40" s="126">
        <v>0</v>
      </c>
      <c r="H40" s="127">
        <v>0</v>
      </c>
      <c r="I40" s="48">
        <f t="shared" si="11"/>
        <v>0</v>
      </c>
      <c r="J40" s="48">
        <f t="shared" si="11"/>
        <v>0</v>
      </c>
      <c r="K40" s="91">
        <v>31828</v>
      </c>
      <c r="L40" s="91">
        <v>13732</v>
      </c>
      <c r="M40" s="156">
        <f t="shared" si="12"/>
        <v>599815</v>
      </c>
      <c r="N40" s="155">
        <f t="shared" si="12"/>
        <v>560770</v>
      </c>
      <c r="O40" s="185"/>
      <c r="P40" s="186"/>
      <c r="Q40" s="15"/>
      <c r="R40" s="15"/>
      <c r="S40" s="16">
        <f t="shared" si="13"/>
        <v>0</v>
      </c>
      <c r="T40" s="15">
        <f t="shared" si="6"/>
        <v>45560</v>
      </c>
      <c r="U40" s="15">
        <f t="shared" si="3"/>
        <v>0</v>
      </c>
      <c r="V40" s="36">
        <f t="shared" si="7"/>
        <v>1160585</v>
      </c>
    </row>
    <row r="41" spans="1:22" ht="14.4" x14ac:dyDescent="0.3">
      <c r="A41" s="161">
        <f t="shared" si="8"/>
        <v>33</v>
      </c>
      <c r="B41" s="90">
        <f t="shared" si="4"/>
        <v>46003</v>
      </c>
      <c r="C41" s="91">
        <v>0</v>
      </c>
      <c r="D41" s="91">
        <v>0</v>
      </c>
      <c r="E41" s="48">
        <f t="shared" ref="E41:F47" si="14">+C41</f>
        <v>0</v>
      </c>
      <c r="F41" s="48">
        <f t="shared" si="14"/>
        <v>0</v>
      </c>
      <c r="G41" s="126">
        <v>0</v>
      </c>
      <c r="H41" s="127">
        <v>0</v>
      </c>
      <c r="I41" s="48">
        <f t="shared" ref="I41:J47" si="15">+G41</f>
        <v>0</v>
      </c>
      <c r="J41" s="48">
        <f t="shared" si="15"/>
        <v>0</v>
      </c>
      <c r="K41" s="91">
        <v>30998</v>
      </c>
      <c r="L41" s="91">
        <v>32476</v>
      </c>
      <c r="M41" s="156">
        <f t="shared" si="12"/>
        <v>630813</v>
      </c>
      <c r="N41" s="155">
        <f t="shared" si="12"/>
        <v>593246</v>
      </c>
      <c r="O41" s="185"/>
      <c r="P41" s="186"/>
      <c r="Q41" s="15"/>
      <c r="R41" s="15"/>
      <c r="S41" s="16">
        <f t="shared" si="13"/>
        <v>0</v>
      </c>
      <c r="T41" s="15">
        <f t="shared" si="6"/>
        <v>63474</v>
      </c>
      <c r="U41" s="15">
        <f t="shared" si="3"/>
        <v>0</v>
      </c>
      <c r="V41" s="36">
        <f t="shared" si="7"/>
        <v>1224059</v>
      </c>
    </row>
    <row r="42" spans="1:22" ht="14.4" x14ac:dyDescent="0.3">
      <c r="A42" s="161">
        <f t="shared" si="8"/>
        <v>34</v>
      </c>
      <c r="B42" s="90">
        <f t="shared" si="4"/>
        <v>46010</v>
      </c>
      <c r="C42" s="91">
        <v>0</v>
      </c>
      <c r="D42" s="91">
        <v>0</v>
      </c>
      <c r="E42" s="48">
        <f t="shared" si="14"/>
        <v>0</v>
      </c>
      <c r="F42" s="48">
        <f t="shared" si="14"/>
        <v>0</v>
      </c>
      <c r="G42" s="126">
        <v>0</v>
      </c>
      <c r="H42" s="127">
        <v>0</v>
      </c>
      <c r="I42" s="48">
        <f t="shared" si="15"/>
        <v>0</v>
      </c>
      <c r="J42" s="48">
        <f t="shared" si="15"/>
        <v>0</v>
      </c>
      <c r="K42" s="91">
        <v>24730</v>
      </c>
      <c r="L42" s="91">
        <v>13142</v>
      </c>
      <c r="M42" s="156">
        <f t="shared" ref="M42:N57" si="16">M41+K42</f>
        <v>655543</v>
      </c>
      <c r="N42" s="155">
        <f t="shared" si="16"/>
        <v>606388</v>
      </c>
      <c r="O42" s="185"/>
      <c r="P42" s="186"/>
      <c r="Q42" s="15"/>
      <c r="R42" s="15"/>
      <c r="S42" s="16">
        <f t="shared" si="13"/>
        <v>0</v>
      </c>
      <c r="T42" s="15">
        <f t="shared" si="6"/>
        <v>37872</v>
      </c>
      <c r="U42" s="15">
        <f t="shared" si="3"/>
        <v>0</v>
      </c>
      <c r="V42" s="36">
        <f t="shared" si="7"/>
        <v>1261931</v>
      </c>
    </row>
    <row r="43" spans="1:22" ht="14.4" x14ac:dyDescent="0.3">
      <c r="A43" s="161">
        <f t="shared" si="8"/>
        <v>35</v>
      </c>
      <c r="B43" s="90">
        <f t="shared" si="4"/>
        <v>46017</v>
      </c>
      <c r="C43" s="91">
        <v>0</v>
      </c>
      <c r="D43" s="91">
        <v>0</v>
      </c>
      <c r="E43" s="48">
        <f t="shared" si="14"/>
        <v>0</v>
      </c>
      <c r="F43" s="48">
        <f t="shared" si="14"/>
        <v>0</v>
      </c>
      <c r="G43" s="126">
        <v>0</v>
      </c>
      <c r="H43" s="127">
        <v>0</v>
      </c>
      <c r="I43" s="48">
        <f t="shared" si="15"/>
        <v>0</v>
      </c>
      <c r="J43" s="48">
        <f t="shared" si="15"/>
        <v>0</v>
      </c>
      <c r="K43" s="91">
        <v>17903</v>
      </c>
      <c r="L43" s="91">
        <v>5424</v>
      </c>
      <c r="M43" s="156">
        <f t="shared" si="16"/>
        <v>673446</v>
      </c>
      <c r="N43" s="155">
        <f t="shared" si="16"/>
        <v>611812</v>
      </c>
      <c r="O43" s="185"/>
      <c r="P43" s="186"/>
      <c r="Q43" s="15"/>
      <c r="R43" s="15"/>
      <c r="S43" s="16">
        <f t="shared" si="13"/>
        <v>0</v>
      </c>
      <c r="T43" s="15">
        <f t="shared" si="6"/>
        <v>23327</v>
      </c>
      <c r="U43" s="15">
        <f t="shared" si="3"/>
        <v>0</v>
      </c>
      <c r="V43" s="36">
        <f t="shared" si="7"/>
        <v>1285258</v>
      </c>
    </row>
    <row r="44" spans="1:22" ht="14.4" x14ac:dyDescent="0.3">
      <c r="A44" s="161">
        <f t="shared" si="8"/>
        <v>36</v>
      </c>
      <c r="B44" s="90">
        <f t="shared" si="4"/>
        <v>46024</v>
      </c>
      <c r="C44" s="91">
        <v>0</v>
      </c>
      <c r="D44" s="91">
        <v>0</v>
      </c>
      <c r="E44" s="48">
        <f t="shared" si="14"/>
        <v>0</v>
      </c>
      <c r="F44" s="48">
        <f t="shared" si="14"/>
        <v>0</v>
      </c>
      <c r="G44" s="126">
        <v>0</v>
      </c>
      <c r="H44" s="127">
        <v>0</v>
      </c>
      <c r="I44" s="48">
        <f t="shared" si="15"/>
        <v>0</v>
      </c>
      <c r="J44" s="48">
        <f t="shared" si="15"/>
        <v>0</v>
      </c>
      <c r="K44" s="91">
        <v>8336</v>
      </c>
      <c r="L44" s="91">
        <v>4884</v>
      </c>
      <c r="M44" s="156">
        <f t="shared" si="16"/>
        <v>681782</v>
      </c>
      <c r="N44" s="155">
        <f t="shared" si="16"/>
        <v>616696</v>
      </c>
      <c r="O44" s="185"/>
      <c r="P44" s="186"/>
      <c r="Q44" s="15"/>
      <c r="R44" s="15"/>
      <c r="S44" s="16">
        <f t="shared" si="13"/>
        <v>0</v>
      </c>
      <c r="T44" s="15">
        <f t="shared" si="6"/>
        <v>13220</v>
      </c>
      <c r="U44" s="15">
        <f t="shared" si="3"/>
        <v>0</v>
      </c>
      <c r="V44" s="36">
        <f t="shared" si="7"/>
        <v>1298478</v>
      </c>
    </row>
    <row r="45" spans="1:22" ht="14.4" x14ac:dyDescent="0.3">
      <c r="A45" s="161">
        <f t="shared" si="8"/>
        <v>37</v>
      </c>
      <c r="B45" s="90">
        <f t="shared" si="4"/>
        <v>46031</v>
      </c>
      <c r="C45" s="91">
        <v>0</v>
      </c>
      <c r="D45" s="91">
        <v>0</v>
      </c>
      <c r="E45" s="48">
        <f t="shared" si="14"/>
        <v>0</v>
      </c>
      <c r="F45" s="48">
        <f t="shared" si="14"/>
        <v>0</v>
      </c>
      <c r="G45" s="126">
        <v>0</v>
      </c>
      <c r="H45" s="127">
        <v>0</v>
      </c>
      <c r="I45" s="48">
        <f t="shared" si="15"/>
        <v>0</v>
      </c>
      <c r="J45" s="48">
        <f t="shared" si="15"/>
        <v>0</v>
      </c>
      <c r="K45" s="91">
        <v>28274</v>
      </c>
      <c r="L45" s="91">
        <v>13448</v>
      </c>
      <c r="M45" s="156">
        <f t="shared" si="16"/>
        <v>710056</v>
      </c>
      <c r="N45" s="155">
        <f t="shared" si="16"/>
        <v>630144</v>
      </c>
      <c r="O45" s="185"/>
      <c r="P45" s="186"/>
      <c r="Q45" s="15"/>
      <c r="R45" s="15"/>
      <c r="S45" s="16">
        <f t="shared" si="13"/>
        <v>0</v>
      </c>
      <c r="T45" s="15">
        <f t="shared" si="6"/>
        <v>41722</v>
      </c>
      <c r="U45" s="15">
        <f t="shared" si="3"/>
        <v>0</v>
      </c>
      <c r="V45" s="36">
        <f t="shared" si="7"/>
        <v>1340200</v>
      </c>
    </row>
    <row r="46" spans="1:22" ht="14.4" x14ac:dyDescent="0.3">
      <c r="A46" s="161">
        <f t="shared" si="8"/>
        <v>38</v>
      </c>
      <c r="B46" s="90">
        <f t="shared" si="4"/>
        <v>46038</v>
      </c>
      <c r="C46" s="91">
        <v>0</v>
      </c>
      <c r="D46" s="91">
        <v>0</v>
      </c>
      <c r="E46" s="48">
        <f t="shared" si="14"/>
        <v>0</v>
      </c>
      <c r="F46" s="48">
        <f t="shared" si="14"/>
        <v>0</v>
      </c>
      <c r="G46" s="126">
        <v>0</v>
      </c>
      <c r="H46" s="127">
        <v>0</v>
      </c>
      <c r="I46" s="48">
        <f t="shared" si="15"/>
        <v>0</v>
      </c>
      <c r="J46" s="48">
        <f t="shared" si="15"/>
        <v>0</v>
      </c>
      <c r="K46" s="91">
        <v>26619</v>
      </c>
      <c r="L46" s="91">
        <v>14569</v>
      </c>
      <c r="M46" s="156">
        <f t="shared" si="16"/>
        <v>736675</v>
      </c>
      <c r="N46" s="155">
        <f t="shared" si="16"/>
        <v>644713</v>
      </c>
      <c r="O46" s="185"/>
      <c r="P46" s="186"/>
      <c r="Q46" s="15"/>
      <c r="R46" s="15"/>
      <c r="S46" s="16">
        <f t="shared" si="13"/>
        <v>0</v>
      </c>
      <c r="T46" s="15">
        <f t="shared" si="6"/>
        <v>41188</v>
      </c>
      <c r="U46" s="15">
        <f t="shared" si="3"/>
        <v>0</v>
      </c>
      <c r="V46" s="36">
        <f t="shared" si="7"/>
        <v>1381388</v>
      </c>
    </row>
    <row r="47" spans="1:22" ht="14.4" x14ac:dyDescent="0.3">
      <c r="A47" s="161">
        <f t="shared" si="8"/>
        <v>39</v>
      </c>
      <c r="B47" s="90">
        <f t="shared" si="4"/>
        <v>46045</v>
      </c>
      <c r="C47" s="91">
        <v>0</v>
      </c>
      <c r="D47" s="91">
        <v>0</v>
      </c>
      <c r="E47" s="48">
        <f t="shared" si="14"/>
        <v>0</v>
      </c>
      <c r="F47" s="48">
        <f t="shared" si="14"/>
        <v>0</v>
      </c>
      <c r="G47" s="126">
        <v>0</v>
      </c>
      <c r="H47" s="127">
        <v>0</v>
      </c>
      <c r="I47" s="48">
        <f t="shared" si="15"/>
        <v>0</v>
      </c>
      <c r="J47" s="48">
        <f t="shared" si="15"/>
        <v>0</v>
      </c>
      <c r="K47" s="91">
        <v>26556</v>
      </c>
      <c r="L47" s="91">
        <v>16248</v>
      </c>
      <c r="M47" s="156">
        <f t="shared" si="16"/>
        <v>763231</v>
      </c>
      <c r="N47" s="155">
        <f t="shared" si="16"/>
        <v>660961</v>
      </c>
      <c r="O47" s="185"/>
      <c r="P47" s="186"/>
      <c r="Q47" s="15"/>
      <c r="R47" s="15"/>
      <c r="S47" s="16">
        <f t="shared" si="13"/>
        <v>0</v>
      </c>
      <c r="T47" s="15">
        <f t="shared" si="6"/>
        <v>42804</v>
      </c>
      <c r="U47" s="15">
        <f t="shared" si="3"/>
        <v>0</v>
      </c>
      <c r="V47" s="36">
        <f t="shared" si="7"/>
        <v>1424192</v>
      </c>
    </row>
    <row r="48" spans="1:22" ht="14.4" x14ac:dyDescent="0.3">
      <c r="A48" s="161">
        <f t="shared" si="8"/>
        <v>40</v>
      </c>
      <c r="B48" s="90">
        <f t="shared" si="4"/>
        <v>46052</v>
      </c>
      <c r="C48" s="91">
        <v>0</v>
      </c>
      <c r="D48" s="91">
        <v>0</v>
      </c>
      <c r="E48" s="48">
        <f>+C48</f>
        <v>0</v>
      </c>
      <c r="F48" s="48">
        <f>+D48</f>
        <v>0</v>
      </c>
      <c r="G48" s="126">
        <v>0</v>
      </c>
      <c r="H48" s="127">
        <v>0</v>
      </c>
      <c r="I48" s="48">
        <f>+G48</f>
        <v>0</v>
      </c>
      <c r="J48" s="48">
        <f>+H48</f>
        <v>0</v>
      </c>
      <c r="K48" s="91">
        <v>42319</v>
      </c>
      <c r="L48" s="91">
        <v>15708</v>
      </c>
      <c r="M48" s="156">
        <f t="shared" si="16"/>
        <v>805550</v>
      </c>
      <c r="N48" s="155">
        <f t="shared" si="16"/>
        <v>676669</v>
      </c>
      <c r="O48" s="185"/>
      <c r="P48" s="186"/>
      <c r="Q48" s="15"/>
      <c r="R48" s="15"/>
      <c r="S48" s="16">
        <f t="shared" si="13"/>
        <v>0</v>
      </c>
      <c r="T48" s="15">
        <f t="shared" si="6"/>
        <v>58027</v>
      </c>
      <c r="U48" s="15">
        <f t="shared" si="3"/>
        <v>0</v>
      </c>
      <c r="V48" s="36">
        <f t="shared" si="7"/>
        <v>1482219</v>
      </c>
    </row>
    <row r="49" spans="1:22" ht="14.4" x14ac:dyDescent="0.3">
      <c r="A49" s="161">
        <f t="shared" si="8"/>
        <v>41</v>
      </c>
      <c r="B49" s="90">
        <f t="shared" si="4"/>
        <v>46059</v>
      </c>
      <c r="C49" s="91">
        <v>0</v>
      </c>
      <c r="D49" s="91">
        <v>0</v>
      </c>
      <c r="E49" s="48">
        <f>+C49</f>
        <v>0</v>
      </c>
      <c r="F49" s="48">
        <f>+D49</f>
        <v>0</v>
      </c>
      <c r="G49" s="126">
        <v>0</v>
      </c>
      <c r="H49" s="127">
        <v>0</v>
      </c>
      <c r="I49" s="48">
        <f>+G49</f>
        <v>0</v>
      </c>
      <c r="J49" s="48">
        <f>+H49</f>
        <v>0</v>
      </c>
      <c r="K49" s="91">
        <v>25650</v>
      </c>
      <c r="L49" s="91">
        <v>13177</v>
      </c>
      <c r="M49" s="156">
        <f t="shared" si="16"/>
        <v>831200</v>
      </c>
      <c r="N49" s="155">
        <f t="shared" si="16"/>
        <v>689846</v>
      </c>
      <c r="O49" s="185"/>
      <c r="P49" s="186"/>
      <c r="Q49" s="15"/>
      <c r="R49" s="15"/>
      <c r="S49" s="16">
        <f t="shared" si="13"/>
        <v>0</v>
      </c>
      <c r="T49" s="15">
        <f t="shared" si="6"/>
        <v>38827</v>
      </c>
      <c r="U49" s="15">
        <f t="shared" si="3"/>
        <v>0</v>
      </c>
      <c r="V49" s="36">
        <f t="shared" si="7"/>
        <v>1521046</v>
      </c>
    </row>
    <row r="50" spans="1:22" ht="14.4" x14ac:dyDescent="0.3">
      <c r="A50" s="161">
        <f t="shared" si="8"/>
        <v>42</v>
      </c>
      <c r="B50" s="90">
        <f t="shared" si="4"/>
        <v>46066</v>
      </c>
      <c r="C50" s="91">
        <v>0</v>
      </c>
      <c r="D50" s="91">
        <v>0</v>
      </c>
      <c r="E50" s="48">
        <f t="shared" ref="E50:F59" si="17">+C50</f>
        <v>0</v>
      </c>
      <c r="F50" s="48">
        <f t="shared" si="17"/>
        <v>0</v>
      </c>
      <c r="G50" s="126">
        <v>0</v>
      </c>
      <c r="H50" s="127">
        <v>0</v>
      </c>
      <c r="I50" s="48">
        <f t="shared" ref="I50:J59" si="18">+G50</f>
        <v>0</v>
      </c>
      <c r="J50" s="48">
        <f t="shared" si="18"/>
        <v>0</v>
      </c>
      <c r="K50" s="91">
        <v>30112</v>
      </c>
      <c r="L50" s="91">
        <v>11032</v>
      </c>
      <c r="M50" s="156">
        <f t="shared" si="16"/>
        <v>861312</v>
      </c>
      <c r="N50" s="155">
        <f t="shared" si="16"/>
        <v>700878</v>
      </c>
      <c r="O50" s="185"/>
      <c r="P50" s="186"/>
      <c r="Q50" s="15"/>
      <c r="R50" s="15"/>
      <c r="S50" s="16">
        <f t="shared" si="13"/>
        <v>0</v>
      </c>
      <c r="T50" s="15">
        <f t="shared" si="6"/>
        <v>41144</v>
      </c>
      <c r="U50" s="15">
        <f t="shared" si="3"/>
        <v>0</v>
      </c>
      <c r="V50" s="36">
        <f t="shared" si="7"/>
        <v>1562190</v>
      </c>
    </row>
    <row r="51" spans="1:22" ht="14.4" x14ac:dyDescent="0.3">
      <c r="A51" s="161">
        <f t="shared" si="8"/>
        <v>43</v>
      </c>
      <c r="B51" s="90">
        <f t="shared" si="4"/>
        <v>46073</v>
      </c>
      <c r="C51" s="91">
        <v>0</v>
      </c>
      <c r="D51" s="91">
        <v>0</v>
      </c>
      <c r="E51" s="48">
        <f t="shared" si="17"/>
        <v>0</v>
      </c>
      <c r="F51" s="48">
        <f t="shared" si="17"/>
        <v>0</v>
      </c>
      <c r="G51" s="126">
        <v>0</v>
      </c>
      <c r="H51" s="127">
        <v>0</v>
      </c>
      <c r="I51" s="48">
        <f t="shared" si="18"/>
        <v>0</v>
      </c>
      <c r="J51" s="48">
        <f t="shared" si="18"/>
        <v>0</v>
      </c>
      <c r="K51" s="91">
        <v>27264</v>
      </c>
      <c r="L51" s="91">
        <v>12055</v>
      </c>
      <c r="M51" s="156">
        <f t="shared" si="16"/>
        <v>888576</v>
      </c>
      <c r="N51" s="155">
        <f t="shared" si="16"/>
        <v>712933</v>
      </c>
      <c r="O51" s="185"/>
      <c r="P51" s="186"/>
      <c r="Q51" s="15"/>
      <c r="R51" s="15"/>
      <c r="S51" s="16">
        <f t="shared" si="13"/>
        <v>0</v>
      </c>
      <c r="T51" s="15">
        <f t="shared" si="6"/>
        <v>39319</v>
      </c>
      <c r="U51" s="15">
        <f t="shared" si="3"/>
        <v>0</v>
      </c>
      <c r="V51" s="36">
        <f t="shared" si="7"/>
        <v>1601509</v>
      </c>
    </row>
    <row r="52" spans="1:22" ht="14.4" x14ac:dyDescent="0.3">
      <c r="A52" s="161">
        <f t="shared" si="8"/>
        <v>44</v>
      </c>
      <c r="B52" s="90">
        <f t="shared" si="4"/>
        <v>46080</v>
      </c>
      <c r="C52" s="91">
        <v>0</v>
      </c>
      <c r="D52" s="91">
        <v>0</v>
      </c>
      <c r="E52" s="48">
        <f t="shared" si="17"/>
        <v>0</v>
      </c>
      <c r="F52" s="48">
        <f t="shared" si="17"/>
        <v>0</v>
      </c>
      <c r="G52" s="126">
        <v>0</v>
      </c>
      <c r="H52" s="127">
        <v>0</v>
      </c>
      <c r="I52" s="48">
        <f t="shared" si="18"/>
        <v>0</v>
      </c>
      <c r="J52" s="48">
        <f t="shared" si="18"/>
        <v>0</v>
      </c>
      <c r="K52" s="91">
        <v>31344</v>
      </c>
      <c r="L52" s="91">
        <v>14539</v>
      </c>
      <c r="M52" s="156">
        <f t="shared" si="16"/>
        <v>919920</v>
      </c>
      <c r="N52" s="155">
        <f t="shared" si="16"/>
        <v>727472</v>
      </c>
      <c r="O52" s="185"/>
      <c r="P52" s="186"/>
      <c r="Q52" s="15"/>
      <c r="R52" s="15"/>
      <c r="S52" s="16">
        <f t="shared" si="13"/>
        <v>0</v>
      </c>
      <c r="T52" s="15">
        <f t="shared" si="6"/>
        <v>45883</v>
      </c>
      <c r="U52" s="15">
        <f t="shared" si="3"/>
        <v>0</v>
      </c>
      <c r="V52" s="36">
        <f t="shared" si="7"/>
        <v>1647392</v>
      </c>
    </row>
    <row r="53" spans="1:22" ht="14.4" x14ac:dyDescent="0.3">
      <c r="A53" s="161">
        <f t="shared" si="8"/>
        <v>45</v>
      </c>
      <c r="B53" s="90">
        <f t="shared" si="4"/>
        <v>46087</v>
      </c>
      <c r="C53" s="91">
        <v>0</v>
      </c>
      <c r="D53" s="91">
        <v>0</v>
      </c>
      <c r="E53" s="48">
        <f t="shared" si="17"/>
        <v>0</v>
      </c>
      <c r="F53" s="48">
        <f t="shared" si="17"/>
        <v>0</v>
      </c>
      <c r="G53" s="126">
        <v>0</v>
      </c>
      <c r="H53" s="127">
        <v>0</v>
      </c>
      <c r="I53" s="48">
        <f t="shared" si="18"/>
        <v>0</v>
      </c>
      <c r="J53" s="48">
        <f t="shared" si="18"/>
        <v>0</v>
      </c>
      <c r="K53" s="91">
        <v>24162</v>
      </c>
      <c r="L53" s="91">
        <v>12081</v>
      </c>
      <c r="M53" s="156">
        <f t="shared" si="16"/>
        <v>944082</v>
      </c>
      <c r="N53" s="155">
        <f t="shared" si="16"/>
        <v>739553</v>
      </c>
      <c r="O53" s="185"/>
      <c r="P53" s="186"/>
      <c r="Q53" s="15"/>
      <c r="R53" s="15"/>
      <c r="S53" s="16">
        <f t="shared" si="13"/>
        <v>0</v>
      </c>
      <c r="T53" s="15">
        <f t="shared" si="6"/>
        <v>36243</v>
      </c>
      <c r="U53" s="15">
        <f t="shared" si="3"/>
        <v>0</v>
      </c>
      <c r="V53" s="36">
        <f t="shared" si="7"/>
        <v>1683635</v>
      </c>
    </row>
    <row r="54" spans="1:22" ht="14.4" x14ac:dyDescent="0.3">
      <c r="A54" s="161">
        <f t="shared" si="8"/>
        <v>46</v>
      </c>
      <c r="B54" s="90">
        <f t="shared" si="4"/>
        <v>46094</v>
      </c>
      <c r="C54" s="91">
        <v>0</v>
      </c>
      <c r="D54" s="91">
        <v>0</v>
      </c>
      <c r="E54" s="48">
        <f t="shared" si="17"/>
        <v>0</v>
      </c>
      <c r="F54" s="48">
        <f t="shared" si="17"/>
        <v>0</v>
      </c>
      <c r="G54" s="126">
        <v>0</v>
      </c>
      <c r="H54" s="127">
        <v>0</v>
      </c>
      <c r="I54" s="48">
        <f t="shared" si="18"/>
        <v>0</v>
      </c>
      <c r="J54" s="48">
        <f t="shared" si="18"/>
        <v>0</v>
      </c>
      <c r="K54" s="91">
        <v>27930</v>
      </c>
      <c r="L54" s="91">
        <v>30045</v>
      </c>
      <c r="M54" s="156">
        <f t="shared" si="16"/>
        <v>972012</v>
      </c>
      <c r="N54" s="155">
        <f t="shared" si="16"/>
        <v>769598</v>
      </c>
      <c r="O54" s="185"/>
      <c r="P54" s="186"/>
      <c r="Q54" s="15"/>
      <c r="R54" s="15"/>
      <c r="S54" s="16">
        <f t="shared" si="13"/>
        <v>0</v>
      </c>
      <c r="T54" s="15">
        <f t="shared" si="6"/>
        <v>57975</v>
      </c>
      <c r="U54" s="15">
        <f t="shared" si="3"/>
        <v>0</v>
      </c>
      <c r="V54" s="36">
        <f t="shared" si="7"/>
        <v>1741610</v>
      </c>
    </row>
    <row r="55" spans="1:22" ht="14.4" x14ac:dyDescent="0.3">
      <c r="A55" s="161">
        <f t="shared" si="8"/>
        <v>47</v>
      </c>
      <c r="B55" s="90">
        <f t="shared" si="4"/>
        <v>46101</v>
      </c>
      <c r="C55" s="91">
        <v>0</v>
      </c>
      <c r="D55" s="91">
        <v>0</v>
      </c>
      <c r="E55" s="48">
        <f t="shared" si="17"/>
        <v>0</v>
      </c>
      <c r="F55" s="48">
        <f t="shared" si="17"/>
        <v>0</v>
      </c>
      <c r="G55" s="126">
        <v>0</v>
      </c>
      <c r="H55" s="127">
        <v>0</v>
      </c>
      <c r="I55" s="48">
        <f t="shared" si="18"/>
        <v>0</v>
      </c>
      <c r="J55" s="48">
        <f t="shared" si="18"/>
        <v>0</v>
      </c>
      <c r="K55" s="91">
        <v>28744</v>
      </c>
      <c r="L55" s="91">
        <v>13628</v>
      </c>
      <c r="M55" s="156">
        <f t="shared" si="16"/>
        <v>1000756</v>
      </c>
      <c r="N55" s="155">
        <f t="shared" si="16"/>
        <v>783226</v>
      </c>
      <c r="O55" s="185"/>
      <c r="P55" s="186"/>
      <c r="Q55" s="15"/>
      <c r="R55" s="15"/>
      <c r="S55" s="16">
        <f t="shared" si="13"/>
        <v>0</v>
      </c>
      <c r="T55" s="15">
        <f t="shared" si="6"/>
        <v>42372</v>
      </c>
      <c r="U55" s="15">
        <f t="shared" si="3"/>
        <v>0</v>
      </c>
      <c r="V55" s="36">
        <f t="shared" si="7"/>
        <v>1783982</v>
      </c>
    </row>
    <row r="56" spans="1:22" ht="14.4" x14ac:dyDescent="0.3">
      <c r="A56" s="161">
        <f t="shared" si="8"/>
        <v>48</v>
      </c>
      <c r="B56" s="90">
        <f t="shared" si="4"/>
        <v>46108</v>
      </c>
      <c r="C56" s="91">
        <v>0</v>
      </c>
      <c r="D56" s="91">
        <v>0</v>
      </c>
      <c r="E56" s="48">
        <f t="shared" si="17"/>
        <v>0</v>
      </c>
      <c r="F56" s="48">
        <f t="shared" si="17"/>
        <v>0</v>
      </c>
      <c r="G56" s="126">
        <v>0</v>
      </c>
      <c r="H56" s="127">
        <v>0</v>
      </c>
      <c r="I56" s="48">
        <f t="shared" si="18"/>
        <v>0</v>
      </c>
      <c r="J56" s="48">
        <f t="shared" si="18"/>
        <v>0</v>
      </c>
      <c r="K56" s="91">
        <v>33540</v>
      </c>
      <c r="L56" s="91">
        <v>16514</v>
      </c>
      <c r="M56" s="156">
        <f t="shared" si="16"/>
        <v>1034296</v>
      </c>
      <c r="N56" s="155">
        <f t="shared" si="16"/>
        <v>799740</v>
      </c>
      <c r="O56" s="185"/>
      <c r="P56" s="186"/>
      <c r="Q56" s="15"/>
      <c r="R56" s="15"/>
      <c r="S56" s="16">
        <f t="shared" si="13"/>
        <v>0</v>
      </c>
      <c r="T56" s="15">
        <f t="shared" si="6"/>
        <v>50054</v>
      </c>
      <c r="U56" s="15">
        <f t="shared" si="3"/>
        <v>0</v>
      </c>
      <c r="V56" s="36">
        <f t="shared" si="7"/>
        <v>1834036</v>
      </c>
    </row>
    <row r="57" spans="1:22" ht="14.4" x14ac:dyDescent="0.3">
      <c r="A57" s="161">
        <f t="shared" si="8"/>
        <v>49</v>
      </c>
      <c r="B57" s="90">
        <f t="shared" si="4"/>
        <v>46115</v>
      </c>
      <c r="C57" s="91">
        <v>0</v>
      </c>
      <c r="D57" s="91">
        <v>0</v>
      </c>
      <c r="E57" s="48">
        <f t="shared" si="17"/>
        <v>0</v>
      </c>
      <c r="F57" s="48">
        <f t="shared" si="17"/>
        <v>0</v>
      </c>
      <c r="G57" s="126">
        <v>0</v>
      </c>
      <c r="H57" s="127">
        <v>0</v>
      </c>
      <c r="I57" s="48">
        <f t="shared" si="18"/>
        <v>0</v>
      </c>
      <c r="J57" s="48">
        <f t="shared" si="18"/>
        <v>0</v>
      </c>
      <c r="K57" s="91">
        <v>24560</v>
      </c>
      <c r="L57" s="91">
        <v>13780</v>
      </c>
      <c r="M57" s="156">
        <f t="shared" si="16"/>
        <v>1058856</v>
      </c>
      <c r="N57" s="155">
        <f t="shared" si="16"/>
        <v>813520</v>
      </c>
      <c r="O57" s="185"/>
      <c r="P57" s="186"/>
      <c r="Q57" s="15"/>
      <c r="R57" s="15"/>
      <c r="S57" s="16">
        <f t="shared" si="13"/>
        <v>0</v>
      </c>
      <c r="T57" s="15">
        <f>K57+L57</f>
        <v>38340</v>
      </c>
      <c r="U57" s="15">
        <f t="shared" si="3"/>
        <v>0</v>
      </c>
      <c r="V57" s="36">
        <f t="shared" si="7"/>
        <v>1872376</v>
      </c>
    </row>
    <row r="58" spans="1:22" ht="14.4" x14ac:dyDescent="0.3">
      <c r="A58" s="161">
        <f t="shared" si="8"/>
        <v>50</v>
      </c>
      <c r="B58" s="90">
        <f t="shared" si="4"/>
        <v>46122</v>
      </c>
      <c r="C58" s="91">
        <v>0</v>
      </c>
      <c r="D58" s="91">
        <v>0</v>
      </c>
      <c r="E58" s="48">
        <f t="shared" si="17"/>
        <v>0</v>
      </c>
      <c r="F58" s="48">
        <f t="shared" si="17"/>
        <v>0</v>
      </c>
      <c r="G58" s="126">
        <v>0</v>
      </c>
      <c r="H58" s="127">
        <v>0</v>
      </c>
      <c r="I58" s="48">
        <f t="shared" si="18"/>
        <v>0</v>
      </c>
      <c r="J58" s="48">
        <f t="shared" si="18"/>
        <v>0</v>
      </c>
      <c r="K58" s="91">
        <v>25262</v>
      </c>
      <c r="L58" s="91">
        <v>10948</v>
      </c>
      <c r="M58" s="156">
        <f t="shared" ref="M58:N60" si="19">M57+K58</f>
        <v>1084118</v>
      </c>
      <c r="N58" s="155">
        <f t="shared" si="19"/>
        <v>824468</v>
      </c>
      <c r="O58" s="185"/>
      <c r="P58" s="186"/>
      <c r="Q58" s="15"/>
      <c r="R58" s="15"/>
      <c r="S58" s="16">
        <f t="shared" si="13"/>
        <v>0</v>
      </c>
      <c r="T58" s="15">
        <f t="shared" si="6"/>
        <v>36210</v>
      </c>
      <c r="U58" s="15">
        <f t="shared" si="3"/>
        <v>0</v>
      </c>
      <c r="V58" s="36">
        <f t="shared" si="7"/>
        <v>1908586</v>
      </c>
    </row>
    <row r="59" spans="1:22" ht="14.4" x14ac:dyDescent="0.3">
      <c r="A59" s="161">
        <f t="shared" si="8"/>
        <v>51</v>
      </c>
      <c r="B59" s="90">
        <f t="shared" si="4"/>
        <v>46129</v>
      </c>
      <c r="C59" s="91">
        <v>0</v>
      </c>
      <c r="D59" s="91">
        <v>0</v>
      </c>
      <c r="E59" s="48">
        <f t="shared" si="17"/>
        <v>0</v>
      </c>
      <c r="F59" s="48">
        <f t="shared" si="17"/>
        <v>0</v>
      </c>
      <c r="G59" s="126">
        <v>0</v>
      </c>
      <c r="H59" s="127">
        <v>0</v>
      </c>
      <c r="I59" s="48">
        <f t="shared" si="18"/>
        <v>0</v>
      </c>
      <c r="J59" s="48">
        <f t="shared" si="18"/>
        <v>0</v>
      </c>
      <c r="K59" s="91">
        <v>32603</v>
      </c>
      <c r="L59" s="91">
        <v>13753</v>
      </c>
      <c r="M59" s="156">
        <f t="shared" si="19"/>
        <v>1116721</v>
      </c>
      <c r="N59" s="155">
        <f t="shared" si="19"/>
        <v>838221</v>
      </c>
      <c r="O59" s="185"/>
      <c r="P59" s="186"/>
      <c r="Q59" s="15"/>
      <c r="R59" s="15"/>
      <c r="S59" s="16">
        <f t="shared" si="13"/>
        <v>0</v>
      </c>
      <c r="T59" s="15">
        <f t="shared" si="6"/>
        <v>46356</v>
      </c>
      <c r="U59" s="15">
        <f t="shared" si="3"/>
        <v>0</v>
      </c>
      <c r="V59" s="36">
        <f t="shared" si="7"/>
        <v>1954942</v>
      </c>
    </row>
    <row r="60" spans="1:22" ht="14.4" x14ac:dyDescent="0.3">
      <c r="A60" s="161">
        <f t="shared" si="8"/>
        <v>52</v>
      </c>
      <c r="B60" s="90">
        <f t="shared" si="4"/>
        <v>46136</v>
      </c>
      <c r="C60" s="91">
        <v>0</v>
      </c>
      <c r="D60" s="91">
        <v>0</v>
      </c>
      <c r="E60" s="48">
        <f>E59+C60</f>
        <v>0</v>
      </c>
      <c r="F60" s="48">
        <f>F59+D60</f>
        <v>0</v>
      </c>
      <c r="G60" s="126">
        <v>0</v>
      </c>
      <c r="H60" s="127">
        <v>0</v>
      </c>
      <c r="I60" s="48">
        <f>+G60</f>
        <v>0</v>
      </c>
      <c r="J60" s="48">
        <f>+H60</f>
        <v>0</v>
      </c>
      <c r="K60" s="91"/>
      <c r="L60" s="91"/>
      <c r="M60" s="156">
        <f t="shared" si="19"/>
        <v>1116721</v>
      </c>
      <c r="N60" s="155">
        <f t="shared" si="19"/>
        <v>838221</v>
      </c>
      <c r="O60" s="185"/>
      <c r="P60" s="186"/>
      <c r="Q60" s="15"/>
      <c r="R60" s="15"/>
      <c r="S60" s="16">
        <f t="shared" si="13"/>
        <v>0</v>
      </c>
      <c r="T60" s="15">
        <f t="shared" si="6"/>
        <v>0</v>
      </c>
      <c r="U60" s="15">
        <f t="shared" si="3"/>
        <v>0</v>
      </c>
      <c r="V60" s="36">
        <f t="shared" si="7"/>
        <v>1954942</v>
      </c>
    </row>
    <row r="61" spans="1:22" ht="15" thickBot="1" x14ac:dyDescent="0.35">
      <c r="A61" s="161">
        <f t="shared" si="8"/>
        <v>53</v>
      </c>
      <c r="B61" s="136"/>
      <c r="C61" s="140">
        <v>0</v>
      </c>
      <c r="D61" s="140">
        <v>0</v>
      </c>
      <c r="E61" s="141">
        <f>E60+C61</f>
        <v>0</v>
      </c>
      <c r="F61" s="46">
        <f>F60+D61</f>
        <v>0</v>
      </c>
      <c r="G61" s="131">
        <v>0</v>
      </c>
      <c r="H61" s="132">
        <v>0</v>
      </c>
      <c r="I61" s="46">
        <f>+G61</f>
        <v>0</v>
      </c>
      <c r="J61" s="142">
        <f>+H61</f>
        <v>0</v>
      </c>
      <c r="K61" s="140"/>
      <c r="L61" s="150"/>
      <c r="M61" s="157">
        <f>M60+K61</f>
        <v>1116721</v>
      </c>
      <c r="N61" s="158">
        <f>N60+L61</f>
        <v>838221</v>
      </c>
      <c r="O61" s="189"/>
      <c r="P61" s="190"/>
      <c r="Q61" s="39"/>
      <c r="R61" s="39"/>
      <c r="S61" s="37">
        <f>C61+D61</f>
        <v>0</v>
      </c>
      <c r="T61" s="39">
        <f>K61+L61</f>
        <v>0</v>
      </c>
      <c r="U61" s="39">
        <f>E61+F61</f>
        <v>0</v>
      </c>
      <c r="V61" s="38">
        <f>M61+N61</f>
        <v>1954942</v>
      </c>
    </row>
    <row r="62" spans="1:22" x14ac:dyDescent="0.25">
      <c r="A62" s="161"/>
      <c r="B62" s="191"/>
      <c r="C62" s="161"/>
      <c r="D62" s="161"/>
      <c r="E62" s="49"/>
      <c r="F62" s="49"/>
      <c r="G62" s="49"/>
      <c r="H62" s="49"/>
      <c r="I62" s="49"/>
      <c r="J62" s="49"/>
      <c r="K62" s="169"/>
      <c r="L62" s="169"/>
      <c r="M62" s="155"/>
      <c r="N62" s="155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161"/>
      <c r="B63" s="191"/>
      <c r="C63" s="161"/>
      <c r="D63" s="161"/>
      <c r="E63" s="161"/>
      <c r="F63" s="161"/>
      <c r="G63" s="161"/>
      <c r="H63" s="161"/>
      <c r="I63" s="161"/>
      <c r="J63" s="161"/>
      <c r="K63" s="169"/>
      <c r="L63" s="169"/>
      <c r="M63" s="169"/>
      <c r="N63" s="169"/>
      <c r="O63" s="161"/>
      <c r="P63" s="161"/>
      <c r="Q63" s="161"/>
      <c r="R63" s="161"/>
      <c r="S63" s="161"/>
      <c r="T63" s="161"/>
      <c r="U63" s="161"/>
      <c r="V63" s="161"/>
    </row>
    <row r="64" spans="1:22" x14ac:dyDescent="0.25">
      <c r="A64" s="161"/>
      <c r="B64" s="191"/>
      <c r="C64" s="161"/>
      <c r="D64" s="161"/>
      <c r="E64" s="161"/>
      <c r="F64" s="161"/>
      <c r="G64" s="161"/>
      <c r="H64" s="161"/>
      <c r="I64" s="161"/>
      <c r="J64" s="161"/>
      <c r="K64" s="169"/>
      <c r="L64" s="169"/>
      <c r="M64" s="169"/>
      <c r="N64" s="169"/>
      <c r="O64" s="161"/>
      <c r="P64" s="161"/>
      <c r="Q64" s="161"/>
      <c r="R64" s="161"/>
      <c r="S64" s="161"/>
      <c r="T64" s="161"/>
      <c r="U64" s="161"/>
      <c r="V64" s="161"/>
    </row>
    <row r="65" spans="2:11" x14ac:dyDescent="0.25">
      <c r="B65" s="191"/>
      <c r="C65" s="161"/>
      <c r="D65" s="161"/>
      <c r="E65" s="161"/>
      <c r="F65" s="161"/>
      <c r="G65" s="161"/>
      <c r="H65" s="161"/>
      <c r="I65" s="161"/>
      <c r="J65" s="161"/>
      <c r="K65" s="169"/>
    </row>
    <row r="66" spans="2:11" x14ac:dyDescent="0.25">
      <c r="B66" s="191"/>
      <c r="C66" s="161"/>
      <c r="D66" s="161"/>
      <c r="E66" s="161"/>
      <c r="F66" s="161"/>
      <c r="G66" s="161"/>
      <c r="H66" s="161"/>
      <c r="I66" s="161"/>
      <c r="J66" s="161"/>
      <c r="K66" s="169"/>
    </row>
    <row r="67" spans="2:11" x14ac:dyDescent="0.25">
      <c r="B67" s="191"/>
      <c r="C67" s="161"/>
      <c r="D67" s="161"/>
      <c r="E67" s="161"/>
      <c r="F67" s="161"/>
      <c r="G67" s="161"/>
      <c r="H67" s="161"/>
      <c r="I67" s="161"/>
      <c r="J67" s="161"/>
      <c r="K67" s="169"/>
    </row>
    <row r="68" spans="2:11" x14ac:dyDescent="0.25">
      <c r="B68" s="191"/>
      <c r="C68" s="161"/>
      <c r="D68" s="161"/>
      <c r="E68" s="161"/>
      <c r="F68" s="161"/>
      <c r="G68" s="161"/>
      <c r="H68" s="161"/>
      <c r="I68" s="161"/>
      <c r="J68" s="161"/>
      <c r="K68" s="169"/>
    </row>
    <row r="69" spans="2:11" x14ac:dyDescent="0.25">
      <c r="B69" s="191"/>
      <c r="C69" s="161"/>
      <c r="D69" s="161"/>
      <c r="E69" s="161"/>
      <c r="F69" s="161"/>
      <c r="G69" s="161"/>
      <c r="H69" s="161"/>
      <c r="I69" s="161"/>
      <c r="J69" s="161"/>
      <c r="K69" s="169"/>
    </row>
    <row r="70" spans="2:11" x14ac:dyDescent="0.25">
      <c r="B70" s="191"/>
      <c r="C70" s="161"/>
      <c r="D70" s="161"/>
      <c r="E70" s="161"/>
      <c r="F70" s="161"/>
      <c r="G70" s="161"/>
      <c r="H70" s="161"/>
      <c r="I70" s="161"/>
      <c r="J70" s="161"/>
      <c r="K70" s="169"/>
    </row>
    <row r="71" spans="2:11" x14ac:dyDescent="0.25">
      <c r="B71" s="191"/>
      <c r="C71" s="161"/>
      <c r="D71" s="161"/>
      <c r="E71" s="161"/>
      <c r="F71" s="161"/>
      <c r="G71" s="161"/>
      <c r="H71" s="161"/>
      <c r="I71" s="161"/>
      <c r="J71" s="161"/>
      <c r="K71" s="169"/>
    </row>
    <row r="72" spans="2:11" x14ac:dyDescent="0.25">
      <c r="B72" s="191"/>
      <c r="C72" s="161"/>
      <c r="D72" s="161"/>
      <c r="E72" s="161"/>
      <c r="F72" s="161"/>
      <c r="G72" s="161"/>
      <c r="H72" s="161"/>
      <c r="I72" s="161"/>
      <c r="J72" s="161"/>
      <c r="K72" s="169"/>
    </row>
    <row r="73" spans="2:11" x14ac:dyDescent="0.25">
      <c r="B73" s="191"/>
      <c r="C73" s="161"/>
      <c r="D73" s="161"/>
      <c r="E73" s="161"/>
      <c r="F73" s="161"/>
      <c r="G73" s="161"/>
      <c r="H73" s="161"/>
      <c r="I73" s="161"/>
      <c r="J73" s="161"/>
      <c r="K73" s="169"/>
    </row>
    <row r="74" spans="2:11" x14ac:dyDescent="0.25">
      <c r="B74" s="191"/>
      <c r="C74" s="161"/>
      <c r="D74" s="161"/>
      <c r="E74" s="161"/>
      <c r="F74" s="161"/>
      <c r="G74" s="161"/>
      <c r="H74" s="161"/>
      <c r="I74" s="161"/>
      <c r="J74" s="161"/>
      <c r="K74" s="169"/>
    </row>
    <row r="75" spans="2:11" x14ac:dyDescent="0.25">
      <c r="B75" s="191"/>
      <c r="C75" s="161"/>
      <c r="D75" s="161"/>
      <c r="E75" s="161"/>
      <c r="F75" s="161"/>
      <c r="G75" s="161"/>
      <c r="H75" s="161"/>
      <c r="I75" s="161"/>
      <c r="J75" s="161"/>
      <c r="K75" s="169"/>
    </row>
    <row r="76" spans="2:11" x14ac:dyDescent="0.25">
      <c r="B76" s="191"/>
      <c r="C76" s="161"/>
      <c r="D76" s="161"/>
      <c r="E76" s="161"/>
      <c r="F76" s="161"/>
      <c r="G76" s="161"/>
      <c r="H76" s="161"/>
      <c r="I76" s="161"/>
      <c r="J76" s="161"/>
      <c r="K76" s="169"/>
    </row>
    <row r="77" spans="2:11" x14ac:dyDescent="0.25">
      <c r="B77" s="191"/>
      <c r="C77" s="161"/>
      <c r="D77" s="161"/>
      <c r="E77" s="161"/>
      <c r="F77" s="161"/>
      <c r="G77" s="161"/>
      <c r="H77" s="161"/>
      <c r="I77" s="161"/>
      <c r="J77" s="161"/>
      <c r="K77" s="169"/>
    </row>
    <row r="78" spans="2:11" x14ac:dyDescent="0.25">
      <c r="B78" s="192"/>
      <c r="C78" s="161"/>
      <c r="D78" s="161"/>
      <c r="E78" s="161"/>
      <c r="F78" s="161"/>
      <c r="G78" s="161"/>
      <c r="H78" s="161"/>
      <c r="I78" s="161"/>
      <c r="J78" s="161"/>
      <c r="K78" s="169"/>
    </row>
    <row r="79" spans="2:11" x14ac:dyDescent="0.25">
      <c r="B79" s="192"/>
      <c r="C79" s="161"/>
      <c r="D79" s="161"/>
      <c r="E79" s="161"/>
      <c r="F79" s="161"/>
      <c r="G79" s="161"/>
      <c r="H79" s="161"/>
      <c r="I79" s="161"/>
      <c r="J79" s="161"/>
      <c r="K79" s="169"/>
    </row>
    <row r="80" spans="2:11" x14ac:dyDescent="0.25">
      <c r="B80" s="192"/>
      <c r="C80" s="161"/>
      <c r="D80" s="161"/>
      <c r="E80" s="161"/>
      <c r="F80" s="161"/>
      <c r="G80" s="161"/>
      <c r="H80" s="161"/>
      <c r="I80" s="161"/>
      <c r="J80" s="161"/>
      <c r="K80" s="169"/>
    </row>
    <row r="81" spans="2:2" x14ac:dyDescent="0.25">
      <c r="B81" s="192"/>
    </row>
    <row r="82" spans="2:2" x14ac:dyDescent="0.25">
      <c r="B82" s="192"/>
    </row>
    <row r="83" spans="2:2" x14ac:dyDescent="0.25">
      <c r="B83" s="192"/>
    </row>
    <row r="84" spans="2:2" x14ac:dyDescent="0.25">
      <c r="B84" s="192"/>
    </row>
    <row r="85" spans="2:2" x14ac:dyDescent="0.25">
      <c r="B85" s="192"/>
    </row>
    <row r="86" spans="2:2" x14ac:dyDescent="0.25">
      <c r="B86" s="192"/>
    </row>
    <row r="87" spans="2:2" x14ac:dyDescent="0.25">
      <c r="B87" s="192"/>
    </row>
    <row r="88" spans="2:2" x14ac:dyDescent="0.25">
      <c r="B88" s="192"/>
    </row>
    <row r="89" spans="2:2" x14ac:dyDescent="0.25">
      <c r="B89" s="192"/>
    </row>
    <row r="90" spans="2:2" x14ac:dyDescent="0.25">
      <c r="B90" s="192"/>
    </row>
    <row r="91" spans="2:2" x14ac:dyDescent="0.25">
      <c r="B91" s="192"/>
    </row>
    <row r="92" spans="2:2" x14ac:dyDescent="0.25">
      <c r="B92" s="192"/>
    </row>
    <row r="93" spans="2:2" x14ac:dyDescent="0.25">
      <c r="B93" s="192"/>
    </row>
    <row r="94" spans="2:2" x14ac:dyDescent="0.25">
      <c r="B94" s="192"/>
    </row>
    <row r="95" spans="2:2" x14ac:dyDescent="0.25">
      <c r="B95" s="192"/>
    </row>
    <row r="96" spans="2:2" x14ac:dyDescent="0.25">
      <c r="B96" s="192"/>
    </row>
    <row r="97" spans="2:2" x14ac:dyDescent="0.25">
      <c r="B97" s="192"/>
    </row>
    <row r="98" spans="2:2" x14ac:dyDescent="0.25">
      <c r="B98" s="192"/>
    </row>
    <row r="99" spans="2:2" x14ac:dyDescent="0.25">
      <c r="B99" s="192"/>
    </row>
    <row r="100" spans="2:2" x14ac:dyDescent="0.25">
      <c r="B100" s="192"/>
    </row>
    <row r="101" spans="2:2" x14ac:dyDescent="0.25">
      <c r="B101" s="192"/>
    </row>
    <row r="102" spans="2:2" x14ac:dyDescent="0.25">
      <c r="B102" s="192"/>
    </row>
    <row r="103" spans="2:2" x14ac:dyDescent="0.25">
      <c r="B103" s="192"/>
    </row>
    <row r="104" spans="2:2" x14ac:dyDescent="0.25">
      <c r="B104" s="192"/>
    </row>
    <row r="105" spans="2:2" x14ac:dyDescent="0.25">
      <c r="B105" s="192"/>
    </row>
    <row r="106" spans="2:2" x14ac:dyDescent="0.25">
      <c r="B106" s="192"/>
    </row>
    <row r="107" spans="2:2" x14ac:dyDescent="0.25">
      <c r="B107" s="192"/>
    </row>
    <row r="108" spans="2:2" x14ac:dyDescent="0.25">
      <c r="B108" s="192"/>
    </row>
    <row r="109" spans="2:2" x14ac:dyDescent="0.25">
      <c r="B109" s="192"/>
    </row>
    <row r="110" spans="2:2" x14ac:dyDescent="0.25">
      <c r="B110" s="192"/>
    </row>
    <row r="111" spans="2:2" x14ac:dyDescent="0.25">
      <c r="B111" s="192"/>
    </row>
    <row r="112" spans="2:2" x14ac:dyDescent="0.25">
      <c r="B112" s="192"/>
    </row>
    <row r="113" spans="2:2" x14ac:dyDescent="0.25">
      <c r="B113" s="192"/>
    </row>
    <row r="114" spans="2:2" x14ac:dyDescent="0.25">
      <c r="B114" s="192"/>
    </row>
    <row r="115" spans="2:2" x14ac:dyDescent="0.25">
      <c r="B115" s="192"/>
    </row>
    <row r="116" spans="2:2" x14ac:dyDescent="0.25">
      <c r="B116" s="192"/>
    </row>
    <row r="117" spans="2:2" x14ac:dyDescent="0.25">
      <c r="B117" s="192"/>
    </row>
    <row r="118" spans="2:2" x14ac:dyDescent="0.25">
      <c r="B118" s="192"/>
    </row>
    <row r="119" spans="2:2" x14ac:dyDescent="0.25">
      <c r="B119" s="192"/>
    </row>
    <row r="120" spans="2:2" x14ac:dyDescent="0.25">
      <c r="B120" s="192"/>
    </row>
    <row r="121" spans="2:2" x14ac:dyDescent="0.25">
      <c r="B121" s="192"/>
    </row>
    <row r="122" spans="2:2" x14ac:dyDescent="0.25">
      <c r="B122" s="192"/>
    </row>
    <row r="123" spans="2:2" x14ac:dyDescent="0.25">
      <c r="B123" s="192"/>
    </row>
    <row r="124" spans="2:2" x14ac:dyDescent="0.25">
      <c r="B124" s="192"/>
    </row>
    <row r="125" spans="2:2" x14ac:dyDescent="0.25">
      <c r="B125" s="192"/>
    </row>
    <row r="126" spans="2:2" x14ac:dyDescent="0.25">
      <c r="B126" s="192"/>
    </row>
    <row r="127" spans="2:2" x14ac:dyDescent="0.25">
      <c r="B127" s="192"/>
    </row>
    <row r="128" spans="2:2" x14ac:dyDescent="0.25">
      <c r="B128" s="192"/>
    </row>
    <row r="129" spans="2:2" x14ac:dyDescent="0.25">
      <c r="B129" s="192"/>
    </row>
    <row r="130" spans="2:2" x14ac:dyDescent="0.25">
      <c r="B130" s="192"/>
    </row>
    <row r="131" spans="2:2" x14ac:dyDescent="0.25">
      <c r="B131" s="192"/>
    </row>
    <row r="132" spans="2:2" x14ac:dyDescent="0.25">
      <c r="B132" s="192"/>
    </row>
    <row r="133" spans="2:2" x14ac:dyDescent="0.25">
      <c r="B133" s="192"/>
    </row>
    <row r="134" spans="2:2" x14ac:dyDescent="0.25">
      <c r="B134" s="192"/>
    </row>
    <row r="135" spans="2:2" x14ac:dyDescent="0.25">
      <c r="B135" s="192"/>
    </row>
    <row r="136" spans="2:2" x14ac:dyDescent="0.25">
      <c r="B136" s="192"/>
    </row>
    <row r="137" spans="2:2" x14ac:dyDescent="0.25">
      <c r="B137" s="192"/>
    </row>
    <row r="138" spans="2:2" x14ac:dyDescent="0.25">
      <c r="B138" s="192"/>
    </row>
    <row r="139" spans="2:2" x14ac:dyDescent="0.25">
      <c r="B139" s="192"/>
    </row>
    <row r="140" spans="2:2" x14ac:dyDescent="0.25">
      <c r="B140" s="192"/>
    </row>
    <row r="141" spans="2:2" x14ac:dyDescent="0.25">
      <c r="B141" s="192"/>
    </row>
    <row r="142" spans="2:2" x14ac:dyDescent="0.25">
      <c r="B142" s="192"/>
    </row>
    <row r="143" spans="2:2" x14ac:dyDescent="0.25">
      <c r="B143" s="192"/>
    </row>
    <row r="144" spans="2:2" x14ac:dyDescent="0.25">
      <c r="B144" s="192"/>
    </row>
    <row r="145" spans="2:2" x14ac:dyDescent="0.25">
      <c r="B145" s="192"/>
    </row>
    <row r="146" spans="2:2" x14ac:dyDescent="0.25">
      <c r="B146" s="192"/>
    </row>
    <row r="147" spans="2:2" x14ac:dyDescent="0.25">
      <c r="B147" s="192"/>
    </row>
    <row r="148" spans="2:2" x14ac:dyDescent="0.25">
      <c r="B148" s="192"/>
    </row>
    <row r="149" spans="2:2" x14ac:dyDescent="0.25">
      <c r="B149" s="192"/>
    </row>
    <row r="150" spans="2:2" x14ac:dyDescent="0.25">
      <c r="B150" s="192"/>
    </row>
    <row r="151" spans="2:2" x14ac:dyDescent="0.25">
      <c r="B151" s="192"/>
    </row>
    <row r="152" spans="2:2" x14ac:dyDescent="0.25">
      <c r="B152" s="192"/>
    </row>
    <row r="153" spans="2:2" x14ac:dyDescent="0.25">
      <c r="B153" s="192"/>
    </row>
    <row r="154" spans="2:2" x14ac:dyDescent="0.25">
      <c r="B154" s="192"/>
    </row>
    <row r="155" spans="2:2" x14ac:dyDescent="0.25">
      <c r="B155" s="192"/>
    </row>
    <row r="156" spans="2:2" x14ac:dyDescent="0.25">
      <c r="B156" s="192"/>
    </row>
    <row r="157" spans="2:2" x14ac:dyDescent="0.25">
      <c r="B157" s="192"/>
    </row>
    <row r="158" spans="2:2" x14ac:dyDescent="0.25">
      <c r="B158" s="192"/>
    </row>
    <row r="159" spans="2:2" x14ac:dyDescent="0.25">
      <c r="B159" s="192"/>
    </row>
    <row r="160" spans="2:2" x14ac:dyDescent="0.25">
      <c r="B160" s="192"/>
    </row>
    <row r="161" spans="2:2" x14ac:dyDescent="0.25">
      <c r="B161" s="192"/>
    </row>
    <row r="162" spans="2:2" x14ac:dyDescent="0.25">
      <c r="B162" s="192"/>
    </row>
    <row r="163" spans="2:2" x14ac:dyDescent="0.25">
      <c r="B163" s="192"/>
    </row>
    <row r="164" spans="2:2" x14ac:dyDescent="0.25">
      <c r="B164" s="192"/>
    </row>
    <row r="165" spans="2:2" x14ac:dyDescent="0.25">
      <c r="B165" s="192"/>
    </row>
    <row r="166" spans="2:2" x14ac:dyDescent="0.25">
      <c r="B166" s="192"/>
    </row>
    <row r="167" spans="2:2" x14ac:dyDescent="0.25">
      <c r="B167" s="192"/>
    </row>
    <row r="168" spans="2:2" x14ac:dyDescent="0.25">
      <c r="B168" s="192"/>
    </row>
    <row r="169" spans="2:2" x14ac:dyDescent="0.25">
      <c r="B169" s="192"/>
    </row>
    <row r="170" spans="2:2" x14ac:dyDescent="0.25">
      <c r="B170" s="192"/>
    </row>
    <row r="171" spans="2:2" x14ac:dyDescent="0.25">
      <c r="B171" s="192"/>
    </row>
    <row r="172" spans="2:2" x14ac:dyDescent="0.25">
      <c r="B172" s="192"/>
    </row>
    <row r="173" spans="2:2" x14ac:dyDescent="0.25">
      <c r="B173" s="192"/>
    </row>
    <row r="174" spans="2:2" x14ac:dyDescent="0.25">
      <c r="B174" s="192"/>
    </row>
    <row r="175" spans="2:2" x14ac:dyDescent="0.25">
      <c r="B175" s="192"/>
    </row>
    <row r="176" spans="2:2" x14ac:dyDescent="0.25">
      <c r="B176" s="192"/>
    </row>
    <row r="177" spans="2:2" x14ac:dyDescent="0.25">
      <c r="B177" s="192"/>
    </row>
    <row r="178" spans="2:2" x14ac:dyDescent="0.25">
      <c r="B178" s="192"/>
    </row>
    <row r="179" spans="2:2" x14ac:dyDescent="0.25">
      <c r="B179" s="192"/>
    </row>
    <row r="180" spans="2:2" x14ac:dyDescent="0.25">
      <c r="B180" s="192"/>
    </row>
    <row r="181" spans="2:2" x14ac:dyDescent="0.25">
      <c r="B181" s="192"/>
    </row>
    <row r="182" spans="2:2" x14ac:dyDescent="0.25">
      <c r="B182" s="192"/>
    </row>
    <row r="183" spans="2:2" x14ac:dyDescent="0.25">
      <c r="B183" s="192"/>
    </row>
    <row r="184" spans="2:2" x14ac:dyDescent="0.25">
      <c r="B184" s="192"/>
    </row>
    <row r="185" spans="2:2" x14ac:dyDescent="0.25">
      <c r="B185" s="192"/>
    </row>
    <row r="186" spans="2:2" x14ac:dyDescent="0.25">
      <c r="B186" s="192"/>
    </row>
    <row r="187" spans="2:2" x14ac:dyDescent="0.25">
      <c r="B187" s="192"/>
    </row>
    <row r="188" spans="2:2" x14ac:dyDescent="0.25">
      <c r="B188" s="192"/>
    </row>
    <row r="189" spans="2:2" x14ac:dyDescent="0.25">
      <c r="B189" s="192"/>
    </row>
    <row r="190" spans="2:2" x14ac:dyDescent="0.25">
      <c r="B190" s="192"/>
    </row>
    <row r="191" spans="2:2" x14ac:dyDescent="0.25">
      <c r="B191" s="192"/>
    </row>
    <row r="192" spans="2:2" x14ac:dyDescent="0.25">
      <c r="B192" s="192"/>
    </row>
    <row r="193" spans="2:2" x14ac:dyDescent="0.25">
      <c r="B193" s="192"/>
    </row>
    <row r="194" spans="2:2" x14ac:dyDescent="0.25">
      <c r="B194" s="192"/>
    </row>
    <row r="195" spans="2:2" x14ac:dyDescent="0.25">
      <c r="B195" s="192"/>
    </row>
    <row r="196" spans="2:2" x14ac:dyDescent="0.25">
      <c r="B196" s="192"/>
    </row>
    <row r="197" spans="2:2" x14ac:dyDescent="0.25">
      <c r="B197" s="192"/>
    </row>
    <row r="198" spans="2:2" x14ac:dyDescent="0.25">
      <c r="B198" s="192"/>
    </row>
    <row r="199" spans="2:2" x14ac:dyDescent="0.25">
      <c r="B199" s="192"/>
    </row>
    <row r="200" spans="2:2" x14ac:dyDescent="0.25">
      <c r="B200" s="192"/>
    </row>
    <row r="201" spans="2:2" x14ac:dyDescent="0.25">
      <c r="B201" s="192"/>
    </row>
    <row r="202" spans="2:2" x14ac:dyDescent="0.25">
      <c r="B202" s="192"/>
    </row>
    <row r="203" spans="2:2" x14ac:dyDescent="0.25">
      <c r="B203" s="192"/>
    </row>
    <row r="204" spans="2:2" x14ac:dyDescent="0.25">
      <c r="B204" s="192"/>
    </row>
    <row r="205" spans="2:2" x14ac:dyDescent="0.25">
      <c r="B205" s="192"/>
    </row>
    <row r="206" spans="2:2" x14ac:dyDescent="0.25">
      <c r="B206" s="192"/>
    </row>
    <row r="207" spans="2:2" x14ac:dyDescent="0.25">
      <c r="B207" s="192"/>
    </row>
    <row r="208" spans="2:2" x14ac:dyDescent="0.25">
      <c r="B208" s="192"/>
    </row>
    <row r="209" spans="2:2" x14ac:dyDescent="0.25">
      <c r="B209" s="192"/>
    </row>
    <row r="210" spans="2:2" x14ac:dyDescent="0.25">
      <c r="B210" s="192"/>
    </row>
    <row r="211" spans="2:2" x14ac:dyDescent="0.25">
      <c r="B211" s="192"/>
    </row>
    <row r="212" spans="2:2" x14ac:dyDescent="0.25">
      <c r="B212" s="192"/>
    </row>
    <row r="213" spans="2:2" x14ac:dyDescent="0.25">
      <c r="B213" s="192"/>
    </row>
    <row r="214" spans="2:2" x14ac:dyDescent="0.25">
      <c r="B214" s="192"/>
    </row>
    <row r="215" spans="2:2" x14ac:dyDescent="0.25">
      <c r="B215" s="192"/>
    </row>
    <row r="216" spans="2:2" x14ac:dyDescent="0.25">
      <c r="B216" s="192"/>
    </row>
    <row r="217" spans="2:2" x14ac:dyDescent="0.25">
      <c r="B217" s="192"/>
    </row>
    <row r="218" spans="2:2" x14ac:dyDescent="0.25">
      <c r="B218" s="192"/>
    </row>
    <row r="219" spans="2:2" x14ac:dyDescent="0.25">
      <c r="B219" s="192"/>
    </row>
    <row r="220" spans="2:2" x14ac:dyDescent="0.25">
      <c r="B220" s="192"/>
    </row>
    <row r="221" spans="2:2" x14ac:dyDescent="0.25">
      <c r="B221" s="192"/>
    </row>
    <row r="222" spans="2:2" x14ac:dyDescent="0.25">
      <c r="B222" s="192"/>
    </row>
    <row r="223" spans="2:2" x14ac:dyDescent="0.25">
      <c r="B223" s="192"/>
    </row>
    <row r="224" spans="2:2" x14ac:dyDescent="0.25">
      <c r="B224" s="192"/>
    </row>
    <row r="225" spans="2:2" x14ac:dyDescent="0.25">
      <c r="B225" s="192"/>
    </row>
    <row r="226" spans="2:2" x14ac:dyDescent="0.25">
      <c r="B226" s="192"/>
    </row>
    <row r="227" spans="2:2" x14ac:dyDescent="0.25">
      <c r="B227" s="192"/>
    </row>
    <row r="228" spans="2:2" x14ac:dyDescent="0.25">
      <c r="B228" s="192"/>
    </row>
    <row r="229" spans="2:2" x14ac:dyDescent="0.25">
      <c r="B229" s="192"/>
    </row>
    <row r="230" spans="2:2" x14ac:dyDescent="0.25">
      <c r="B230" s="192"/>
    </row>
    <row r="231" spans="2:2" x14ac:dyDescent="0.25">
      <c r="B231" s="192"/>
    </row>
    <row r="232" spans="2:2" x14ac:dyDescent="0.25">
      <c r="B232" s="192"/>
    </row>
    <row r="233" spans="2:2" x14ac:dyDescent="0.25">
      <c r="B233" s="192"/>
    </row>
    <row r="234" spans="2:2" x14ac:dyDescent="0.25">
      <c r="B234" s="192"/>
    </row>
    <row r="235" spans="2:2" x14ac:dyDescent="0.25">
      <c r="B235" s="192"/>
    </row>
    <row r="236" spans="2:2" x14ac:dyDescent="0.25">
      <c r="B236" s="192"/>
    </row>
    <row r="237" spans="2:2" x14ac:dyDescent="0.25">
      <c r="B237" s="192"/>
    </row>
    <row r="238" spans="2:2" x14ac:dyDescent="0.25">
      <c r="B238" s="192"/>
    </row>
    <row r="239" spans="2:2" x14ac:dyDescent="0.25">
      <c r="B239" s="192"/>
    </row>
    <row r="240" spans="2:2" x14ac:dyDescent="0.25">
      <c r="B240" s="192"/>
    </row>
    <row r="241" spans="2:2" x14ac:dyDescent="0.25">
      <c r="B241" s="192"/>
    </row>
    <row r="242" spans="2:2" x14ac:dyDescent="0.25">
      <c r="B242" s="192"/>
    </row>
    <row r="243" spans="2:2" x14ac:dyDescent="0.25">
      <c r="B243" s="192"/>
    </row>
    <row r="244" spans="2:2" x14ac:dyDescent="0.25">
      <c r="B244" s="192"/>
    </row>
    <row r="245" spans="2:2" x14ac:dyDescent="0.25">
      <c r="B245" s="192"/>
    </row>
    <row r="246" spans="2:2" x14ac:dyDescent="0.25">
      <c r="B246" s="192"/>
    </row>
    <row r="247" spans="2:2" x14ac:dyDescent="0.25">
      <c r="B247" s="192"/>
    </row>
    <row r="248" spans="2:2" x14ac:dyDescent="0.25">
      <c r="B248" s="192"/>
    </row>
    <row r="249" spans="2:2" x14ac:dyDescent="0.25">
      <c r="B249" s="192"/>
    </row>
    <row r="250" spans="2:2" x14ac:dyDescent="0.25">
      <c r="B250" s="192"/>
    </row>
    <row r="251" spans="2:2" x14ac:dyDescent="0.25">
      <c r="B251" s="192"/>
    </row>
    <row r="252" spans="2:2" x14ac:dyDescent="0.25">
      <c r="B252" s="192"/>
    </row>
    <row r="253" spans="2:2" x14ac:dyDescent="0.25">
      <c r="B253" s="192"/>
    </row>
    <row r="254" spans="2:2" x14ac:dyDescent="0.25">
      <c r="B254" s="192"/>
    </row>
    <row r="255" spans="2:2" x14ac:dyDescent="0.25">
      <c r="B255" s="192"/>
    </row>
    <row r="256" spans="2:2" x14ac:dyDescent="0.25">
      <c r="B256" s="192"/>
    </row>
    <row r="257" spans="2:2" x14ac:dyDescent="0.25">
      <c r="B257" s="192"/>
    </row>
    <row r="258" spans="2:2" x14ac:dyDescent="0.25">
      <c r="B258" s="192"/>
    </row>
    <row r="259" spans="2:2" x14ac:dyDescent="0.25">
      <c r="B259" s="192"/>
    </row>
    <row r="260" spans="2:2" x14ac:dyDescent="0.25">
      <c r="B260" s="192"/>
    </row>
    <row r="261" spans="2:2" x14ac:dyDescent="0.25">
      <c r="B261" s="192"/>
    </row>
    <row r="262" spans="2:2" x14ac:dyDescent="0.25">
      <c r="B262" s="192"/>
    </row>
    <row r="263" spans="2:2" x14ac:dyDescent="0.25">
      <c r="B263" s="192"/>
    </row>
    <row r="264" spans="2:2" x14ac:dyDescent="0.25">
      <c r="B264" s="192"/>
    </row>
    <row r="265" spans="2:2" x14ac:dyDescent="0.25">
      <c r="B265" s="192"/>
    </row>
    <row r="266" spans="2:2" x14ac:dyDescent="0.25">
      <c r="B266" s="192"/>
    </row>
    <row r="267" spans="2:2" x14ac:dyDescent="0.25">
      <c r="B267" s="192"/>
    </row>
    <row r="268" spans="2:2" x14ac:dyDescent="0.25">
      <c r="B268" s="192"/>
    </row>
    <row r="269" spans="2:2" x14ac:dyDescent="0.25">
      <c r="B269" s="192"/>
    </row>
    <row r="270" spans="2:2" x14ac:dyDescent="0.25">
      <c r="B270" s="192"/>
    </row>
    <row r="271" spans="2:2" x14ac:dyDescent="0.25">
      <c r="B271" s="192"/>
    </row>
    <row r="272" spans="2:2" x14ac:dyDescent="0.25">
      <c r="B272" s="192"/>
    </row>
    <row r="273" spans="2:2" x14ac:dyDescent="0.25">
      <c r="B273" s="192"/>
    </row>
    <row r="274" spans="2:2" x14ac:dyDescent="0.25">
      <c r="B274" s="192"/>
    </row>
    <row r="275" spans="2:2" x14ac:dyDescent="0.25">
      <c r="B275" s="192"/>
    </row>
    <row r="276" spans="2:2" x14ac:dyDescent="0.25">
      <c r="B276" s="192"/>
    </row>
    <row r="277" spans="2:2" x14ac:dyDescent="0.25">
      <c r="B277" s="192"/>
    </row>
    <row r="278" spans="2:2" x14ac:dyDescent="0.25">
      <c r="B278" s="192"/>
    </row>
    <row r="279" spans="2:2" x14ac:dyDescent="0.25">
      <c r="B279" s="192"/>
    </row>
    <row r="280" spans="2:2" x14ac:dyDescent="0.25">
      <c r="B280" s="192"/>
    </row>
    <row r="281" spans="2:2" x14ac:dyDescent="0.25">
      <c r="B281" s="192"/>
    </row>
    <row r="282" spans="2:2" x14ac:dyDescent="0.25">
      <c r="B282" s="192"/>
    </row>
    <row r="283" spans="2:2" x14ac:dyDescent="0.25">
      <c r="B283" s="192"/>
    </row>
    <row r="284" spans="2:2" x14ac:dyDescent="0.25">
      <c r="B284" s="192"/>
    </row>
    <row r="285" spans="2:2" x14ac:dyDescent="0.25">
      <c r="B285" s="192"/>
    </row>
    <row r="286" spans="2:2" x14ac:dyDescent="0.25">
      <c r="B286" s="192"/>
    </row>
    <row r="287" spans="2:2" x14ac:dyDescent="0.25">
      <c r="B287" s="192"/>
    </row>
    <row r="288" spans="2:2" x14ac:dyDescent="0.25">
      <c r="B288" s="192"/>
    </row>
    <row r="289" spans="2:2" x14ac:dyDescent="0.25">
      <c r="B289" s="192"/>
    </row>
    <row r="290" spans="2:2" x14ac:dyDescent="0.25">
      <c r="B290" s="192"/>
    </row>
    <row r="291" spans="2:2" x14ac:dyDescent="0.25">
      <c r="B291" s="192"/>
    </row>
    <row r="292" spans="2:2" x14ac:dyDescent="0.25">
      <c r="B292" s="192"/>
    </row>
    <row r="293" spans="2:2" x14ac:dyDescent="0.25">
      <c r="B293" s="192"/>
    </row>
    <row r="294" spans="2:2" x14ac:dyDescent="0.25">
      <c r="B294" s="192"/>
    </row>
    <row r="295" spans="2:2" x14ac:dyDescent="0.25">
      <c r="B295" s="192"/>
    </row>
    <row r="296" spans="2:2" x14ac:dyDescent="0.25">
      <c r="B296" s="192"/>
    </row>
    <row r="297" spans="2:2" x14ac:dyDescent="0.25">
      <c r="B297" s="192"/>
    </row>
    <row r="298" spans="2:2" x14ac:dyDescent="0.25">
      <c r="B298" s="192"/>
    </row>
    <row r="299" spans="2:2" x14ac:dyDescent="0.25">
      <c r="B299" s="192"/>
    </row>
    <row r="300" spans="2:2" x14ac:dyDescent="0.25">
      <c r="B300" s="192"/>
    </row>
    <row r="301" spans="2:2" x14ac:dyDescent="0.25">
      <c r="B301" s="192"/>
    </row>
    <row r="302" spans="2:2" x14ac:dyDescent="0.25">
      <c r="B302" s="192"/>
    </row>
    <row r="303" spans="2:2" x14ac:dyDescent="0.25">
      <c r="B303" s="192"/>
    </row>
    <row r="304" spans="2:2" x14ac:dyDescent="0.25">
      <c r="B304" s="192"/>
    </row>
    <row r="305" spans="2:2" x14ac:dyDescent="0.25">
      <c r="B305" s="192"/>
    </row>
    <row r="306" spans="2:2" x14ac:dyDescent="0.25">
      <c r="B306" s="192"/>
    </row>
    <row r="307" spans="2:2" x14ac:dyDescent="0.25">
      <c r="B307" s="192"/>
    </row>
    <row r="308" spans="2:2" x14ac:dyDescent="0.25">
      <c r="B308" s="192"/>
    </row>
    <row r="309" spans="2:2" x14ac:dyDescent="0.25">
      <c r="B309" s="192"/>
    </row>
    <row r="310" spans="2:2" x14ac:dyDescent="0.25">
      <c r="B310" s="192"/>
    </row>
    <row r="311" spans="2:2" x14ac:dyDescent="0.25">
      <c r="B311" s="192"/>
    </row>
    <row r="312" spans="2:2" x14ac:dyDescent="0.25">
      <c r="B312" s="192"/>
    </row>
    <row r="313" spans="2:2" x14ac:dyDescent="0.25">
      <c r="B313" s="192"/>
    </row>
    <row r="314" spans="2:2" x14ac:dyDescent="0.25">
      <c r="B314" s="192"/>
    </row>
    <row r="315" spans="2:2" x14ac:dyDescent="0.25">
      <c r="B315" s="192"/>
    </row>
    <row r="316" spans="2:2" x14ac:dyDescent="0.25">
      <c r="B316" s="192"/>
    </row>
    <row r="317" spans="2:2" x14ac:dyDescent="0.25">
      <c r="B317" s="192"/>
    </row>
    <row r="318" spans="2:2" x14ac:dyDescent="0.25">
      <c r="B318" s="192"/>
    </row>
    <row r="319" spans="2:2" x14ac:dyDescent="0.25">
      <c r="B319" s="192"/>
    </row>
    <row r="320" spans="2:2" x14ac:dyDescent="0.25">
      <c r="B320" s="192"/>
    </row>
    <row r="321" spans="2:2" x14ac:dyDescent="0.25">
      <c r="B321" s="192"/>
    </row>
    <row r="322" spans="2:2" x14ac:dyDescent="0.25">
      <c r="B322" s="192"/>
    </row>
    <row r="323" spans="2:2" x14ac:dyDescent="0.25">
      <c r="B323" s="192"/>
    </row>
    <row r="324" spans="2:2" x14ac:dyDescent="0.25">
      <c r="B324" s="192"/>
    </row>
    <row r="325" spans="2:2" x14ac:dyDescent="0.25">
      <c r="B325" s="192"/>
    </row>
    <row r="326" spans="2:2" x14ac:dyDescent="0.25">
      <c r="B326" s="192"/>
    </row>
    <row r="327" spans="2:2" x14ac:dyDescent="0.25">
      <c r="B327" s="192"/>
    </row>
    <row r="328" spans="2:2" x14ac:dyDescent="0.25">
      <c r="B328" s="192"/>
    </row>
    <row r="329" spans="2:2" x14ac:dyDescent="0.25">
      <c r="B329" s="192"/>
    </row>
    <row r="330" spans="2:2" x14ac:dyDescent="0.25">
      <c r="B330" s="192"/>
    </row>
    <row r="331" spans="2:2" x14ac:dyDescent="0.25">
      <c r="B331" s="192"/>
    </row>
    <row r="332" spans="2:2" x14ac:dyDescent="0.25">
      <c r="B332" s="192"/>
    </row>
    <row r="333" spans="2:2" x14ac:dyDescent="0.25">
      <c r="B333" s="192"/>
    </row>
    <row r="334" spans="2:2" x14ac:dyDescent="0.25">
      <c r="B334" s="192"/>
    </row>
    <row r="335" spans="2:2" x14ac:dyDescent="0.25">
      <c r="B335" s="192"/>
    </row>
    <row r="336" spans="2:2" x14ac:dyDescent="0.25">
      <c r="B336" s="192"/>
    </row>
    <row r="337" spans="2:2" x14ac:dyDescent="0.25">
      <c r="B337" s="192"/>
    </row>
    <row r="338" spans="2:2" x14ac:dyDescent="0.25">
      <c r="B338" s="192"/>
    </row>
    <row r="339" spans="2:2" x14ac:dyDescent="0.25">
      <c r="B339" s="192"/>
    </row>
    <row r="340" spans="2:2" x14ac:dyDescent="0.25">
      <c r="B340" s="192"/>
    </row>
    <row r="341" spans="2:2" x14ac:dyDescent="0.25">
      <c r="B341" s="192"/>
    </row>
    <row r="342" spans="2:2" x14ac:dyDescent="0.25">
      <c r="B342" s="192"/>
    </row>
    <row r="343" spans="2:2" x14ac:dyDescent="0.25">
      <c r="B343" s="192"/>
    </row>
    <row r="344" spans="2:2" x14ac:dyDescent="0.25">
      <c r="B344" s="192"/>
    </row>
    <row r="345" spans="2:2" x14ac:dyDescent="0.25">
      <c r="B345" s="192"/>
    </row>
    <row r="346" spans="2:2" x14ac:dyDescent="0.25">
      <c r="B346" s="192"/>
    </row>
    <row r="347" spans="2:2" x14ac:dyDescent="0.25">
      <c r="B347" s="192"/>
    </row>
    <row r="348" spans="2:2" x14ac:dyDescent="0.25">
      <c r="B348" s="192"/>
    </row>
    <row r="349" spans="2:2" x14ac:dyDescent="0.25">
      <c r="B349" s="192"/>
    </row>
    <row r="350" spans="2:2" x14ac:dyDescent="0.25">
      <c r="B350" s="192"/>
    </row>
    <row r="351" spans="2:2" x14ac:dyDescent="0.25">
      <c r="B351" s="192"/>
    </row>
    <row r="352" spans="2:2" x14ac:dyDescent="0.25">
      <c r="B352" s="192"/>
    </row>
    <row r="353" spans="2:2" x14ac:dyDescent="0.25">
      <c r="B353" s="192"/>
    </row>
    <row r="354" spans="2:2" x14ac:dyDescent="0.25">
      <c r="B354" s="192"/>
    </row>
    <row r="355" spans="2:2" x14ac:dyDescent="0.25">
      <c r="B355" s="192"/>
    </row>
    <row r="356" spans="2:2" x14ac:dyDescent="0.25">
      <c r="B356" s="192"/>
    </row>
    <row r="357" spans="2:2" x14ac:dyDescent="0.25">
      <c r="B357" s="192"/>
    </row>
    <row r="358" spans="2:2" x14ac:dyDescent="0.25">
      <c r="B358" s="192"/>
    </row>
    <row r="359" spans="2:2" x14ac:dyDescent="0.25">
      <c r="B359" s="192"/>
    </row>
    <row r="360" spans="2:2" x14ac:dyDescent="0.25">
      <c r="B360" s="192"/>
    </row>
    <row r="361" spans="2:2" x14ac:dyDescent="0.25">
      <c r="B361" s="192"/>
    </row>
    <row r="362" spans="2:2" x14ac:dyDescent="0.25">
      <c r="B362" s="192"/>
    </row>
    <row r="363" spans="2:2" x14ac:dyDescent="0.25">
      <c r="B363" s="192"/>
    </row>
    <row r="364" spans="2:2" x14ac:dyDescent="0.25">
      <c r="B364" s="192"/>
    </row>
    <row r="365" spans="2:2" x14ac:dyDescent="0.25">
      <c r="B365" s="192"/>
    </row>
    <row r="366" spans="2:2" x14ac:dyDescent="0.25">
      <c r="B366" s="192"/>
    </row>
    <row r="367" spans="2:2" x14ac:dyDescent="0.25">
      <c r="B367" s="192"/>
    </row>
    <row r="368" spans="2:2" x14ac:dyDescent="0.25">
      <c r="B368" s="192"/>
    </row>
    <row r="369" spans="2:2" x14ac:dyDescent="0.25">
      <c r="B369" s="192"/>
    </row>
    <row r="370" spans="2:2" x14ac:dyDescent="0.25">
      <c r="B370" s="192"/>
    </row>
    <row r="371" spans="2:2" x14ac:dyDescent="0.25">
      <c r="B371" s="192"/>
    </row>
    <row r="372" spans="2:2" x14ac:dyDescent="0.25">
      <c r="B372" s="192"/>
    </row>
    <row r="373" spans="2:2" x14ac:dyDescent="0.25">
      <c r="B373" s="192"/>
    </row>
    <row r="374" spans="2:2" x14ac:dyDescent="0.25">
      <c r="B374" s="192"/>
    </row>
    <row r="375" spans="2:2" x14ac:dyDescent="0.25">
      <c r="B375" s="192"/>
    </row>
    <row r="376" spans="2:2" x14ac:dyDescent="0.25">
      <c r="B376" s="192"/>
    </row>
    <row r="377" spans="2:2" x14ac:dyDescent="0.25">
      <c r="B377" s="192"/>
    </row>
    <row r="378" spans="2:2" x14ac:dyDescent="0.25">
      <c r="B378" s="192"/>
    </row>
    <row r="379" spans="2:2" x14ac:dyDescent="0.25">
      <c r="B379" s="192"/>
    </row>
    <row r="380" spans="2:2" x14ac:dyDescent="0.25">
      <c r="B380" s="192"/>
    </row>
    <row r="381" spans="2:2" x14ac:dyDescent="0.25">
      <c r="B381" s="192"/>
    </row>
    <row r="382" spans="2:2" x14ac:dyDescent="0.25">
      <c r="B382" s="192"/>
    </row>
    <row r="383" spans="2:2" x14ac:dyDescent="0.25">
      <c r="B383" s="192"/>
    </row>
    <row r="384" spans="2:2" x14ac:dyDescent="0.25">
      <c r="B384" s="192"/>
    </row>
    <row r="385" spans="2:2" x14ac:dyDescent="0.25">
      <c r="B385" s="192"/>
    </row>
    <row r="386" spans="2:2" x14ac:dyDescent="0.25">
      <c r="B386" s="192"/>
    </row>
    <row r="387" spans="2:2" x14ac:dyDescent="0.25">
      <c r="B387" s="192"/>
    </row>
    <row r="388" spans="2:2" x14ac:dyDescent="0.25">
      <c r="B388" s="192"/>
    </row>
    <row r="389" spans="2:2" x14ac:dyDescent="0.25">
      <c r="B389" s="192"/>
    </row>
    <row r="390" spans="2:2" x14ac:dyDescent="0.25">
      <c r="B390" s="192"/>
    </row>
    <row r="391" spans="2:2" x14ac:dyDescent="0.25">
      <c r="B391" s="192"/>
    </row>
    <row r="392" spans="2:2" x14ac:dyDescent="0.25">
      <c r="B392" s="192"/>
    </row>
    <row r="393" spans="2:2" x14ac:dyDescent="0.25">
      <c r="B393" s="192"/>
    </row>
    <row r="394" spans="2:2" x14ac:dyDescent="0.25">
      <c r="B394" s="192"/>
    </row>
    <row r="395" spans="2:2" x14ac:dyDescent="0.25">
      <c r="B395" s="192"/>
    </row>
    <row r="396" spans="2:2" x14ac:dyDescent="0.25">
      <c r="B396" s="192"/>
    </row>
    <row r="397" spans="2:2" x14ac:dyDescent="0.25">
      <c r="B397" s="192"/>
    </row>
    <row r="398" spans="2:2" x14ac:dyDescent="0.25">
      <c r="B398" s="192"/>
    </row>
    <row r="399" spans="2:2" x14ac:dyDescent="0.25">
      <c r="B399" s="192"/>
    </row>
    <row r="400" spans="2:2" x14ac:dyDescent="0.25">
      <c r="B400" s="192"/>
    </row>
    <row r="401" spans="2:2" x14ac:dyDescent="0.25">
      <c r="B401" s="192"/>
    </row>
    <row r="402" spans="2:2" x14ac:dyDescent="0.25">
      <c r="B402" s="192"/>
    </row>
    <row r="403" spans="2:2" x14ac:dyDescent="0.25">
      <c r="B403" s="192"/>
    </row>
    <row r="404" spans="2:2" x14ac:dyDescent="0.25">
      <c r="B404" s="192"/>
    </row>
    <row r="405" spans="2:2" x14ac:dyDescent="0.25">
      <c r="B405" s="192"/>
    </row>
    <row r="406" spans="2:2" x14ac:dyDescent="0.25">
      <c r="B406" s="192"/>
    </row>
    <row r="407" spans="2:2" x14ac:dyDescent="0.25">
      <c r="B407" s="192"/>
    </row>
    <row r="408" spans="2:2" x14ac:dyDescent="0.25">
      <c r="B408" s="192"/>
    </row>
    <row r="409" spans="2:2" x14ac:dyDescent="0.25">
      <c r="B409" s="192"/>
    </row>
    <row r="410" spans="2:2" x14ac:dyDescent="0.25">
      <c r="B410" s="192"/>
    </row>
    <row r="411" spans="2:2" x14ac:dyDescent="0.25">
      <c r="B411" s="192"/>
    </row>
    <row r="412" spans="2:2" x14ac:dyDescent="0.25">
      <c r="B412" s="192"/>
    </row>
    <row r="413" spans="2:2" x14ac:dyDescent="0.25">
      <c r="B413" s="192"/>
    </row>
    <row r="414" spans="2:2" x14ac:dyDescent="0.25">
      <c r="B414" s="192"/>
    </row>
    <row r="415" spans="2:2" x14ac:dyDescent="0.25">
      <c r="B415" s="192"/>
    </row>
    <row r="416" spans="2:2" x14ac:dyDescent="0.25">
      <c r="B416" s="192"/>
    </row>
    <row r="417" spans="2:2" x14ac:dyDescent="0.25">
      <c r="B417" s="192"/>
    </row>
    <row r="418" spans="2:2" x14ac:dyDescent="0.25">
      <c r="B418" s="192"/>
    </row>
    <row r="419" spans="2:2" x14ac:dyDescent="0.25">
      <c r="B419" s="192"/>
    </row>
    <row r="420" spans="2:2" x14ac:dyDescent="0.25">
      <c r="B420" s="192"/>
    </row>
    <row r="421" spans="2:2" x14ac:dyDescent="0.25">
      <c r="B421" s="192"/>
    </row>
    <row r="422" spans="2:2" x14ac:dyDescent="0.25">
      <c r="B422" s="192"/>
    </row>
    <row r="423" spans="2:2" x14ac:dyDescent="0.25">
      <c r="B423" s="192"/>
    </row>
    <row r="424" spans="2:2" x14ac:dyDescent="0.25">
      <c r="B424" s="192"/>
    </row>
    <row r="425" spans="2:2" x14ac:dyDescent="0.25">
      <c r="B425" s="192"/>
    </row>
    <row r="426" spans="2:2" x14ac:dyDescent="0.25">
      <c r="B426" s="192"/>
    </row>
    <row r="427" spans="2:2" x14ac:dyDescent="0.25">
      <c r="B427" s="192"/>
    </row>
    <row r="428" spans="2:2" x14ac:dyDescent="0.25">
      <c r="B428" s="192"/>
    </row>
    <row r="429" spans="2:2" x14ac:dyDescent="0.25">
      <c r="B429" s="192"/>
    </row>
    <row r="430" spans="2:2" x14ac:dyDescent="0.25">
      <c r="B430" s="192"/>
    </row>
    <row r="431" spans="2:2" x14ac:dyDescent="0.25">
      <c r="B431" s="192"/>
    </row>
    <row r="432" spans="2:2" x14ac:dyDescent="0.25">
      <c r="B432" s="192"/>
    </row>
    <row r="433" spans="2:2" x14ac:dyDescent="0.25">
      <c r="B433" s="192"/>
    </row>
    <row r="434" spans="2:2" x14ac:dyDescent="0.25">
      <c r="B434" s="192"/>
    </row>
    <row r="435" spans="2:2" x14ac:dyDescent="0.25">
      <c r="B435" s="192"/>
    </row>
    <row r="436" spans="2:2" x14ac:dyDescent="0.25">
      <c r="B436" s="192"/>
    </row>
    <row r="437" spans="2:2" x14ac:dyDescent="0.25">
      <c r="B437" s="192"/>
    </row>
    <row r="438" spans="2:2" x14ac:dyDescent="0.25">
      <c r="B438" s="192"/>
    </row>
    <row r="439" spans="2:2" x14ac:dyDescent="0.25">
      <c r="B439" s="192"/>
    </row>
    <row r="440" spans="2:2" x14ac:dyDescent="0.25">
      <c r="B440" s="192"/>
    </row>
    <row r="441" spans="2:2" x14ac:dyDescent="0.25">
      <c r="B441" s="192"/>
    </row>
    <row r="442" spans="2:2" x14ac:dyDescent="0.25">
      <c r="B442" s="192"/>
    </row>
    <row r="443" spans="2:2" x14ac:dyDescent="0.25">
      <c r="B443" s="192"/>
    </row>
    <row r="444" spans="2:2" x14ac:dyDescent="0.25">
      <c r="B444" s="192"/>
    </row>
    <row r="445" spans="2:2" x14ac:dyDescent="0.25">
      <c r="B445" s="192"/>
    </row>
    <row r="446" spans="2:2" x14ac:dyDescent="0.25">
      <c r="B446" s="192"/>
    </row>
    <row r="447" spans="2:2" x14ac:dyDescent="0.25">
      <c r="B447" s="192"/>
    </row>
    <row r="448" spans="2:2" x14ac:dyDescent="0.25">
      <c r="B448" s="192"/>
    </row>
    <row r="449" spans="2:2" x14ac:dyDescent="0.25">
      <c r="B449" s="192"/>
    </row>
    <row r="450" spans="2:2" x14ac:dyDescent="0.25">
      <c r="B450" s="192"/>
    </row>
    <row r="451" spans="2:2" x14ac:dyDescent="0.25">
      <c r="B451" s="192"/>
    </row>
    <row r="452" spans="2:2" x14ac:dyDescent="0.25">
      <c r="B452" s="192"/>
    </row>
    <row r="453" spans="2:2" x14ac:dyDescent="0.25">
      <c r="B453" s="192"/>
    </row>
    <row r="454" spans="2:2" x14ac:dyDescent="0.25">
      <c r="B454" s="192"/>
    </row>
    <row r="455" spans="2:2" x14ac:dyDescent="0.25">
      <c r="B455" s="192"/>
    </row>
    <row r="456" spans="2:2" x14ac:dyDescent="0.25">
      <c r="B456" s="192"/>
    </row>
    <row r="457" spans="2:2" x14ac:dyDescent="0.25">
      <c r="B457" s="192"/>
    </row>
    <row r="458" spans="2:2" x14ac:dyDescent="0.25">
      <c r="B458" s="192"/>
    </row>
    <row r="459" spans="2:2" x14ac:dyDescent="0.25">
      <c r="B459" s="192"/>
    </row>
    <row r="460" spans="2:2" x14ac:dyDescent="0.25">
      <c r="B460" s="192"/>
    </row>
    <row r="461" spans="2:2" x14ac:dyDescent="0.25">
      <c r="B461" s="192"/>
    </row>
    <row r="462" spans="2:2" x14ac:dyDescent="0.25">
      <c r="B462" s="192"/>
    </row>
    <row r="463" spans="2:2" x14ac:dyDescent="0.25">
      <c r="B463" s="192"/>
    </row>
    <row r="464" spans="2:2" x14ac:dyDescent="0.25">
      <c r="B464" s="192"/>
    </row>
    <row r="465" spans="2:2" x14ac:dyDescent="0.25">
      <c r="B465" s="192"/>
    </row>
    <row r="466" spans="2:2" x14ac:dyDescent="0.25">
      <c r="B466" s="192"/>
    </row>
    <row r="467" spans="2:2" x14ac:dyDescent="0.25">
      <c r="B467" s="192"/>
    </row>
    <row r="468" spans="2:2" x14ac:dyDescent="0.25">
      <c r="B468" s="192"/>
    </row>
    <row r="469" spans="2:2" x14ac:dyDescent="0.25">
      <c r="B469" s="192"/>
    </row>
    <row r="470" spans="2:2" x14ac:dyDescent="0.25">
      <c r="B470" s="192"/>
    </row>
    <row r="471" spans="2:2" x14ac:dyDescent="0.25">
      <c r="B471" s="192"/>
    </row>
    <row r="472" spans="2:2" x14ac:dyDescent="0.25">
      <c r="B472" s="192"/>
    </row>
    <row r="473" spans="2:2" x14ac:dyDescent="0.25">
      <c r="B473" s="192"/>
    </row>
    <row r="474" spans="2:2" x14ac:dyDescent="0.25">
      <c r="B474" s="192"/>
    </row>
    <row r="475" spans="2:2" x14ac:dyDescent="0.25">
      <c r="B475" s="192"/>
    </row>
    <row r="476" spans="2:2" x14ac:dyDescent="0.25">
      <c r="B476" s="192"/>
    </row>
    <row r="477" spans="2:2" x14ac:dyDescent="0.25">
      <c r="B477" s="192"/>
    </row>
    <row r="478" spans="2:2" x14ac:dyDescent="0.25">
      <c r="B478" s="192"/>
    </row>
    <row r="479" spans="2:2" x14ac:dyDescent="0.25">
      <c r="B479" s="192"/>
    </row>
    <row r="480" spans="2:2" x14ac:dyDescent="0.25">
      <c r="B480" s="192"/>
    </row>
    <row r="481" spans="2:2" x14ac:dyDescent="0.25">
      <c r="B481" s="192"/>
    </row>
    <row r="482" spans="2:2" x14ac:dyDescent="0.25">
      <c r="B482" s="192"/>
    </row>
    <row r="483" spans="2:2" x14ac:dyDescent="0.25">
      <c r="B483" s="192"/>
    </row>
    <row r="484" spans="2:2" x14ac:dyDescent="0.25">
      <c r="B484" s="192"/>
    </row>
    <row r="485" spans="2:2" x14ac:dyDescent="0.25">
      <c r="B485" s="192"/>
    </row>
    <row r="486" spans="2:2" x14ac:dyDescent="0.25">
      <c r="B486" s="192"/>
    </row>
    <row r="487" spans="2:2" x14ac:dyDescent="0.25">
      <c r="B487" s="192"/>
    </row>
    <row r="488" spans="2:2" x14ac:dyDescent="0.25">
      <c r="B488" s="192"/>
    </row>
    <row r="489" spans="2:2" x14ac:dyDescent="0.25">
      <c r="B489" s="192"/>
    </row>
    <row r="490" spans="2:2" x14ac:dyDescent="0.25">
      <c r="B490" s="192"/>
    </row>
    <row r="491" spans="2:2" x14ac:dyDescent="0.25">
      <c r="B491" s="192"/>
    </row>
    <row r="492" spans="2:2" x14ac:dyDescent="0.25">
      <c r="B492" s="192"/>
    </row>
    <row r="493" spans="2:2" x14ac:dyDescent="0.25">
      <c r="B493" s="192"/>
    </row>
    <row r="494" spans="2:2" x14ac:dyDescent="0.25">
      <c r="B494" s="192"/>
    </row>
    <row r="495" spans="2:2" x14ac:dyDescent="0.25">
      <c r="B495" s="192"/>
    </row>
    <row r="496" spans="2:2" x14ac:dyDescent="0.25">
      <c r="B496" s="192"/>
    </row>
    <row r="497" spans="2:2" x14ac:dyDescent="0.25">
      <c r="B497" s="192"/>
    </row>
    <row r="498" spans="2:2" x14ac:dyDescent="0.25">
      <c r="B498" s="192"/>
    </row>
    <row r="499" spans="2:2" x14ac:dyDescent="0.25">
      <c r="B499" s="192"/>
    </row>
    <row r="500" spans="2:2" x14ac:dyDescent="0.25">
      <c r="B500" s="192"/>
    </row>
    <row r="501" spans="2:2" x14ac:dyDescent="0.25">
      <c r="B501" s="192"/>
    </row>
    <row r="502" spans="2:2" x14ac:dyDescent="0.25">
      <c r="B502" s="192"/>
    </row>
    <row r="503" spans="2:2" x14ac:dyDescent="0.25">
      <c r="B503" s="192"/>
    </row>
    <row r="504" spans="2:2" x14ac:dyDescent="0.25">
      <c r="B504" s="192"/>
    </row>
    <row r="505" spans="2:2" x14ac:dyDescent="0.25">
      <c r="B505" s="192"/>
    </row>
    <row r="506" spans="2:2" x14ac:dyDescent="0.25">
      <c r="B506" s="192"/>
    </row>
    <row r="507" spans="2:2" x14ac:dyDescent="0.25">
      <c r="B507" s="192"/>
    </row>
    <row r="508" spans="2:2" x14ac:dyDescent="0.25">
      <c r="B508" s="192"/>
    </row>
    <row r="509" spans="2:2" x14ac:dyDescent="0.25">
      <c r="B509" s="192"/>
    </row>
    <row r="510" spans="2:2" x14ac:dyDescent="0.25">
      <c r="B510" s="192"/>
    </row>
    <row r="511" spans="2:2" x14ac:dyDescent="0.25">
      <c r="B511" s="192"/>
    </row>
    <row r="512" spans="2:2" x14ac:dyDescent="0.25">
      <c r="B512" s="192"/>
    </row>
    <row r="513" spans="2:2" x14ac:dyDescent="0.25">
      <c r="B513" s="192"/>
    </row>
    <row r="514" spans="2:2" x14ac:dyDescent="0.25">
      <c r="B514" s="192"/>
    </row>
    <row r="515" spans="2:2" x14ac:dyDescent="0.25">
      <c r="B515" s="192"/>
    </row>
    <row r="516" spans="2:2" x14ac:dyDescent="0.25">
      <c r="B516" s="192"/>
    </row>
    <row r="517" spans="2:2" x14ac:dyDescent="0.25">
      <c r="B517" s="192"/>
    </row>
    <row r="518" spans="2:2" x14ac:dyDescent="0.25">
      <c r="B518" s="192"/>
    </row>
    <row r="519" spans="2:2" x14ac:dyDescent="0.25">
      <c r="B519" s="192"/>
    </row>
    <row r="520" spans="2:2" x14ac:dyDescent="0.25">
      <c r="B520" s="192"/>
    </row>
    <row r="521" spans="2:2" x14ac:dyDescent="0.25">
      <c r="B521" s="192"/>
    </row>
    <row r="522" spans="2:2" x14ac:dyDescent="0.25">
      <c r="B522" s="192"/>
    </row>
    <row r="523" spans="2:2" x14ac:dyDescent="0.25">
      <c r="B523" s="192"/>
    </row>
    <row r="524" spans="2:2" x14ac:dyDescent="0.25">
      <c r="B524" s="192"/>
    </row>
    <row r="525" spans="2:2" x14ac:dyDescent="0.25">
      <c r="B525" s="192"/>
    </row>
    <row r="526" spans="2:2" x14ac:dyDescent="0.25">
      <c r="B526" s="192"/>
    </row>
    <row r="527" spans="2:2" x14ac:dyDescent="0.25">
      <c r="B527" s="192"/>
    </row>
    <row r="528" spans="2:2" x14ac:dyDescent="0.25">
      <c r="B528" s="192"/>
    </row>
    <row r="529" spans="2:2" x14ac:dyDescent="0.25">
      <c r="B529" s="192"/>
    </row>
    <row r="530" spans="2:2" x14ac:dyDescent="0.25">
      <c r="B530" s="192"/>
    </row>
    <row r="531" spans="2:2" x14ac:dyDescent="0.25">
      <c r="B531" s="192"/>
    </row>
    <row r="532" spans="2:2" x14ac:dyDescent="0.25">
      <c r="B532" s="192"/>
    </row>
    <row r="533" spans="2:2" x14ac:dyDescent="0.25">
      <c r="B533" s="192"/>
    </row>
    <row r="534" spans="2:2" x14ac:dyDescent="0.25">
      <c r="B534" s="192"/>
    </row>
    <row r="535" spans="2:2" x14ac:dyDescent="0.25">
      <c r="B535" s="192"/>
    </row>
    <row r="536" spans="2:2" x14ac:dyDescent="0.25">
      <c r="B536" s="192"/>
    </row>
    <row r="537" spans="2:2" x14ac:dyDescent="0.25">
      <c r="B537" s="192"/>
    </row>
    <row r="538" spans="2:2" x14ac:dyDescent="0.25">
      <c r="B538" s="192"/>
    </row>
    <row r="539" spans="2:2" x14ac:dyDescent="0.25">
      <c r="B539" s="192"/>
    </row>
    <row r="540" spans="2:2" x14ac:dyDescent="0.25">
      <c r="B540" s="192"/>
    </row>
    <row r="541" spans="2:2" x14ac:dyDescent="0.25">
      <c r="B541" s="192"/>
    </row>
    <row r="542" spans="2:2" x14ac:dyDescent="0.25">
      <c r="B542" s="192"/>
    </row>
    <row r="543" spans="2:2" x14ac:dyDescent="0.25">
      <c r="B543" s="192"/>
    </row>
    <row r="544" spans="2:2" x14ac:dyDescent="0.25">
      <c r="B544" s="192"/>
    </row>
    <row r="545" spans="2:2" x14ac:dyDescent="0.25">
      <c r="B545" s="192"/>
    </row>
    <row r="546" spans="2:2" x14ac:dyDescent="0.25">
      <c r="B546" s="192"/>
    </row>
    <row r="547" spans="2:2" x14ac:dyDescent="0.25">
      <c r="B547" s="192"/>
    </row>
    <row r="548" spans="2:2" x14ac:dyDescent="0.25">
      <c r="B548" s="192"/>
    </row>
    <row r="549" spans="2:2" x14ac:dyDescent="0.25">
      <c r="B549" s="192"/>
    </row>
    <row r="550" spans="2:2" x14ac:dyDescent="0.25">
      <c r="B550" s="192"/>
    </row>
    <row r="551" spans="2:2" x14ac:dyDescent="0.25">
      <c r="B551" s="192"/>
    </row>
    <row r="552" spans="2:2" x14ac:dyDescent="0.25">
      <c r="B552" s="192"/>
    </row>
    <row r="553" spans="2:2" x14ac:dyDescent="0.25">
      <c r="B553" s="192"/>
    </row>
    <row r="554" spans="2:2" x14ac:dyDescent="0.25">
      <c r="B554" s="192"/>
    </row>
    <row r="555" spans="2:2" x14ac:dyDescent="0.25">
      <c r="B555" s="192"/>
    </row>
    <row r="556" spans="2:2" x14ac:dyDescent="0.25">
      <c r="B556" s="192"/>
    </row>
    <row r="557" spans="2:2" x14ac:dyDescent="0.25">
      <c r="B557" s="192"/>
    </row>
    <row r="558" spans="2:2" x14ac:dyDescent="0.25">
      <c r="B558" s="192"/>
    </row>
    <row r="559" spans="2:2" x14ac:dyDescent="0.25">
      <c r="B559" s="192"/>
    </row>
    <row r="560" spans="2:2" x14ac:dyDescent="0.25">
      <c r="B560" s="192"/>
    </row>
    <row r="561" spans="2:2" x14ac:dyDescent="0.25">
      <c r="B561" s="192"/>
    </row>
    <row r="562" spans="2:2" x14ac:dyDescent="0.25">
      <c r="B562" s="192"/>
    </row>
    <row r="563" spans="2:2" x14ac:dyDescent="0.25">
      <c r="B563" s="192"/>
    </row>
    <row r="564" spans="2:2" x14ac:dyDescent="0.25">
      <c r="B564" s="192"/>
    </row>
    <row r="565" spans="2:2" x14ac:dyDescent="0.25">
      <c r="B565" s="192"/>
    </row>
    <row r="566" spans="2:2" x14ac:dyDescent="0.25">
      <c r="B566" s="192"/>
    </row>
    <row r="567" spans="2:2" x14ac:dyDescent="0.25">
      <c r="B567" s="192"/>
    </row>
    <row r="568" spans="2:2" x14ac:dyDescent="0.25">
      <c r="B568" s="192"/>
    </row>
    <row r="569" spans="2:2" x14ac:dyDescent="0.25">
      <c r="B569" s="192"/>
    </row>
    <row r="570" spans="2:2" x14ac:dyDescent="0.25">
      <c r="B570" s="192"/>
    </row>
    <row r="571" spans="2:2" x14ac:dyDescent="0.25">
      <c r="B571" s="192"/>
    </row>
    <row r="572" spans="2:2" x14ac:dyDescent="0.25">
      <c r="B572" s="192"/>
    </row>
    <row r="573" spans="2:2" x14ac:dyDescent="0.25">
      <c r="B573" s="192"/>
    </row>
    <row r="574" spans="2:2" x14ac:dyDescent="0.25">
      <c r="B574" s="192"/>
    </row>
    <row r="575" spans="2:2" x14ac:dyDescent="0.25">
      <c r="B575" s="192"/>
    </row>
    <row r="576" spans="2:2" x14ac:dyDescent="0.25">
      <c r="B576" s="192"/>
    </row>
    <row r="577" spans="2:2" x14ac:dyDescent="0.25">
      <c r="B577" s="192"/>
    </row>
    <row r="578" spans="2:2" x14ac:dyDescent="0.25">
      <c r="B578" s="192"/>
    </row>
    <row r="579" spans="2:2" x14ac:dyDescent="0.25">
      <c r="B579" s="192"/>
    </row>
    <row r="580" spans="2:2" x14ac:dyDescent="0.25">
      <c r="B580" s="192"/>
    </row>
    <row r="581" spans="2:2" x14ac:dyDescent="0.25">
      <c r="B581" s="192"/>
    </row>
    <row r="582" spans="2:2" x14ac:dyDescent="0.25">
      <c r="B582" s="192"/>
    </row>
    <row r="583" spans="2:2" x14ac:dyDescent="0.25">
      <c r="B583" s="192"/>
    </row>
    <row r="584" spans="2:2" x14ac:dyDescent="0.25">
      <c r="B584" s="192"/>
    </row>
    <row r="585" spans="2:2" x14ac:dyDescent="0.25">
      <c r="B585" s="192"/>
    </row>
    <row r="586" spans="2:2" x14ac:dyDescent="0.25">
      <c r="B586" s="192"/>
    </row>
    <row r="587" spans="2:2" x14ac:dyDescent="0.25">
      <c r="B587" s="192"/>
    </row>
    <row r="588" spans="2:2" x14ac:dyDescent="0.25">
      <c r="B588" s="192"/>
    </row>
    <row r="589" spans="2:2" x14ac:dyDescent="0.25">
      <c r="B589" s="192"/>
    </row>
    <row r="590" spans="2:2" x14ac:dyDescent="0.25">
      <c r="B590" s="192"/>
    </row>
    <row r="591" spans="2:2" x14ac:dyDescent="0.25">
      <c r="B591" s="192"/>
    </row>
    <row r="592" spans="2:2" x14ac:dyDescent="0.25">
      <c r="B592" s="192"/>
    </row>
    <row r="593" spans="2:2" x14ac:dyDescent="0.25">
      <c r="B593" s="192"/>
    </row>
    <row r="594" spans="2:2" x14ac:dyDescent="0.25">
      <c r="B594" s="192"/>
    </row>
    <row r="595" spans="2:2" x14ac:dyDescent="0.25">
      <c r="B595" s="192"/>
    </row>
    <row r="596" spans="2:2" x14ac:dyDescent="0.25">
      <c r="B596" s="192"/>
    </row>
    <row r="597" spans="2:2" x14ac:dyDescent="0.25">
      <c r="B597" s="192"/>
    </row>
    <row r="598" spans="2:2" x14ac:dyDescent="0.25">
      <c r="B598" s="192"/>
    </row>
    <row r="599" spans="2:2" x14ac:dyDescent="0.25">
      <c r="B599" s="192"/>
    </row>
    <row r="600" spans="2:2" x14ac:dyDescent="0.25">
      <c r="B600" s="192"/>
    </row>
    <row r="601" spans="2:2" x14ac:dyDescent="0.25">
      <c r="B601" s="192"/>
    </row>
    <row r="602" spans="2:2" x14ac:dyDescent="0.25">
      <c r="B602" s="192"/>
    </row>
    <row r="603" spans="2:2" x14ac:dyDescent="0.25">
      <c r="B603" s="192"/>
    </row>
    <row r="604" spans="2:2" x14ac:dyDescent="0.25">
      <c r="B604" s="192"/>
    </row>
    <row r="605" spans="2:2" x14ac:dyDescent="0.25">
      <c r="B605" s="192"/>
    </row>
    <row r="606" spans="2:2" x14ac:dyDescent="0.25">
      <c r="B606" s="192"/>
    </row>
    <row r="607" spans="2:2" x14ac:dyDescent="0.25">
      <c r="B607" s="192"/>
    </row>
    <row r="608" spans="2:2" x14ac:dyDescent="0.25">
      <c r="B608" s="192"/>
    </row>
    <row r="609" spans="2:2" x14ac:dyDescent="0.25">
      <c r="B609" s="192"/>
    </row>
    <row r="610" spans="2:2" x14ac:dyDescent="0.25">
      <c r="B610" s="192"/>
    </row>
    <row r="611" spans="2:2" x14ac:dyDescent="0.25">
      <c r="B611" s="192"/>
    </row>
    <row r="612" spans="2:2" x14ac:dyDescent="0.25">
      <c r="B612" s="192"/>
    </row>
    <row r="613" spans="2:2" x14ac:dyDescent="0.25">
      <c r="B613" s="192"/>
    </row>
    <row r="614" spans="2:2" x14ac:dyDescent="0.25">
      <c r="B614" s="192"/>
    </row>
    <row r="615" spans="2:2" x14ac:dyDescent="0.25">
      <c r="B615" s="192"/>
    </row>
    <row r="616" spans="2:2" x14ac:dyDescent="0.25">
      <c r="B616" s="192"/>
    </row>
    <row r="617" spans="2:2" x14ac:dyDescent="0.25">
      <c r="B617" s="192"/>
    </row>
    <row r="618" spans="2:2" x14ac:dyDescent="0.25">
      <c r="B618" s="192"/>
    </row>
    <row r="619" spans="2:2" x14ac:dyDescent="0.25">
      <c r="B619" s="192"/>
    </row>
    <row r="620" spans="2:2" x14ac:dyDescent="0.25">
      <c r="B620" s="192"/>
    </row>
    <row r="621" spans="2:2" x14ac:dyDescent="0.25">
      <c r="B621" s="192"/>
    </row>
    <row r="622" spans="2:2" x14ac:dyDescent="0.25">
      <c r="B622" s="192"/>
    </row>
    <row r="623" spans="2:2" x14ac:dyDescent="0.25">
      <c r="B623" s="192"/>
    </row>
    <row r="624" spans="2:2" x14ac:dyDescent="0.25">
      <c r="B624" s="192"/>
    </row>
    <row r="625" spans="2:2" x14ac:dyDescent="0.25">
      <c r="B625" s="192"/>
    </row>
    <row r="626" spans="2:2" x14ac:dyDescent="0.25">
      <c r="B626" s="192"/>
    </row>
    <row r="627" spans="2:2" x14ac:dyDescent="0.25">
      <c r="B627" s="192"/>
    </row>
    <row r="628" spans="2:2" x14ac:dyDescent="0.25">
      <c r="B628" s="192"/>
    </row>
    <row r="629" spans="2:2" x14ac:dyDescent="0.25">
      <c r="B629" s="192"/>
    </row>
    <row r="630" spans="2:2" x14ac:dyDescent="0.25">
      <c r="B630" s="192"/>
    </row>
    <row r="631" spans="2:2" x14ac:dyDescent="0.25">
      <c r="B631" s="192"/>
    </row>
    <row r="632" spans="2:2" x14ac:dyDescent="0.25">
      <c r="B632" s="192"/>
    </row>
    <row r="633" spans="2:2" x14ac:dyDescent="0.25">
      <c r="B633" s="192"/>
    </row>
    <row r="634" spans="2:2" x14ac:dyDescent="0.25">
      <c r="B634" s="192"/>
    </row>
    <row r="635" spans="2:2" x14ac:dyDescent="0.25">
      <c r="B635" s="192"/>
    </row>
    <row r="636" spans="2:2" x14ac:dyDescent="0.25">
      <c r="B636" s="192"/>
    </row>
    <row r="637" spans="2:2" x14ac:dyDescent="0.25">
      <c r="B637" s="192"/>
    </row>
    <row r="638" spans="2:2" x14ac:dyDescent="0.25">
      <c r="B638" s="192"/>
    </row>
    <row r="639" spans="2:2" x14ac:dyDescent="0.25">
      <c r="B639" s="192"/>
    </row>
    <row r="640" spans="2:2" x14ac:dyDescent="0.25">
      <c r="B640" s="192"/>
    </row>
    <row r="641" spans="2:2" x14ac:dyDescent="0.25">
      <c r="B641" s="192"/>
    </row>
    <row r="642" spans="2:2" x14ac:dyDescent="0.25">
      <c r="B642" s="192"/>
    </row>
    <row r="643" spans="2:2" x14ac:dyDescent="0.25">
      <c r="B643" s="192"/>
    </row>
    <row r="644" spans="2:2" x14ac:dyDescent="0.25">
      <c r="B644" s="192"/>
    </row>
    <row r="645" spans="2:2" x14ac:dyDescent="0.25">
      <c r="B645" s="192"/>
    </row>
    <row r="646" spans="2:2" x14ac:dyDescent="0.25">
      <c r="B646" s="192"/>
    </row>
    <row r="647" spans="2:2" x14ac:dyDescent="0.25">
      <c r="B647" s="192"/>
    </row>
    <row r="648" spans="2:2" x14ac:dyDescent="0.25">
      <c r="B648" s="192"/>
    </row>
    <row r="649" spans="2:2" x14ac:dyDescent="0.25">
      <c r="B649" s="192"/>
    </row>
    <row r="650" spans="2:2" x14ac:dyDescent="0.25">
      <c r="B650" s="192"/>
    </row>
    <row r="651" spans="2:2" x14ac:dyDescent="0.25">
      <c r="B651" s="192"/>
    </row>
    <row r="652" spans="2:2" x14ac:dyDescent="0.25">
      <c r="B652" s="192"/>
    </row>
    <row r="653" spans="2:2" x14ac:dyDescent="0.25">
      <c r="B653" s="192"/>
    </row>
    <row r="654" spans="2:2" x14ac:dyDescent="0.25">
      <c r="B654" s="192"/>
    </row>
    <row r="655" spans="2:2" x14ac:dyDescent="0.25">
      <c r="B655" s="192"/>
    </row>
    <row r="656" spans="2:2" x14ac:dyDescent="0.25">
      <c r="B656" s="192"/>
    </row>
    <row r="657" spans="2:2" x14ac:dyDescent="0.25">
      <c r="B657" s="192"/>
    </row>
    <row r="658" spans="2:2" x14ac:dyDescent="0.25">
      <c r="B658" s="192"/>
    </row>
    <row r="659" spans="2:2" x14ac:dyDescent="0.25">
      <c r="B659" s="192"/>
    </row>
    <row r="660" spans="2:2" x14ac:dyDescent="0.25">
      <c r="B660" s="192"/>
    </row>
    <row r="661" spans="2:2" x14ac:dyDescent="0.25">
      <c r="B661" s="192"/>
    </row>
    <row r="662" spans="2:2" x14ac:dyDescent="0.25">
      <c r="B662" s="192"/>
    </row>
    <row r="663" spans="2:2" x14ac:dyDescent="0.25">
      <c r="B663" s="192"/>
    </row>
    <row r="664" spans="2:2" x14ac:dyDescent="0.25">
      <c r="B664" s="192"/>
    </row>
    <row r="665" spans="2:2" x14ac:dyDescent="0.25">
      <c r="B665" s="192"/>
    </row>
    <row r="666" spans="2:2" x14ac:dyDescent="0.25">
      <c r="B666" s="192"/>
    </row>
    <row r="667" spans="2:2" x14ac:dyDescent="0.25">
      <c r="B667" s="192"/>
    </row>
    <row r="668" spans="2:2" x14ac:dyDescent="0.25">
      <c r="B668" s="192"/>
    </row>
    <row r="669" spans="2:2" x14ac:dyDescent="0.25">
      <c r="B669" s="192"/>
    </row>
    <row r="670" spans="2:2" x14ac:dyDescent="0.25">
      <c r="B670" s="192"/>
    </row>
    <row r="671" spans="2:2" x14ac:dyDescent="0.25">
      <c r="B671" s="192"/>
    </row>
    <row r="672" spans="2:2" x14ac:dyDescent="0.25">
      <c r="B672" s="192"/>
    </row>
    <row r="673" spans="2:2" x14ac:dyDescent="0.25">
      <c r="B673" s="192"/>
    </row>
    <row r="674" spans="2:2" x14ac:dyDescent="0.25">
      <c r="B674" s="192"/>
    </row>
    <row r="675" spans="2:2" x14ac:dyDescent="0.25">
      <c r="B675" s="192"/>
    </row>
    <row r="676" spans="2:2" x14ac:dyDescent="0.25">
      <c r="B676" s="192"/>
    </row>
    <row r="677" spans="2:2" x14ac:dyDescent="0.25">
      <c r="B677" s="192"/>
    </row>
    <row r="678" spans="2:2" x14ac:dyDescent="0.25">
      <c r="B678" s="192"/>
    </row>
    <row r="679" spans="2:2" x14ac:dyDescent="0.25">
      <c r="B679" s="192"/>
    </row>
    <row r="680" spans="2:2" x14ac:dyDescent="0.25">
      <c r="B680" s="192"/>
    </row>
    <row r="681" spans="2:2" x14ac:dyDescent="0.25">
      <c r="B681" s="192"/>
    </row>
    <row r="682" spans="2:2" x14ac:dyDescent="0.25">
      <c r="B682" s="192"/>
    </row>
    <row r="683" spans="2:2" x14ac:dyDescent="0.25">
      <c r="B683" s="192"/>
    </row>
    <row r="684" spans="2:2" x14ac:dyDescent="0.25">
      <c r="B684" s="192"/>
    </row>
    <row r="685" spans="2:2" x14ac:dyDescent="0.25">
      <c r="B685" s="192"/>
    </row>
    <row r="686" spans="2:2" x14ac:dyDescent="0.25">
      <c r="B686" s="192"/>
    </row>
    <row r="687" spans="2:2" x14ac:dyDescent="0.25">
      <c r="B687" s="192"/>
    </row>
    <row r="688" spans="2:2" x14ac:dyDescent="0.25">
      <c r="B688" s="192"/>
    </row>
    <row r="689" spans="2:2" x14ac:dyDescent="0.25">
      <c r="B689" s="192"/>
    </row>
    <row r="690" spans="2:2" x14ac:dyDescent="0.25">
      <c r="B690" s="192"/>
    </row>
    <row r="691" spans="2:2" x14ac:dyDescent="0.25">
      <c r="B691" s="192"/>
    </row>
    <row r="692" spans="2:2" x14ac:dyDescent="0.25">
      <c r="B692" s="192"/>
    </row>
    <row r="693" spans="2:2" x14ac:dyDescent="0.25">
      <c r="B693" s="192"/>
    </row>
    <row r="694" spans="2:2" x14ac:dyDescent="0.25">
      <c r="B694" s="192"/>
    </row>
    <row r="695" spans="2:2" x14ac:dyDescent="0.25">
      <c r="B695" s="192"/>
    </row>
    <row r="696" spans="2:2" x14ac:dyDescent="0.25">
      <c r="B696" s="192"/>
    </row>
    <row r="697" spans="2:2" x14ac:dyDescent="0.25">
      <c r="B697" s="192"/>
    </row>
    <row r="698" spans="2:2" x14ac:dyDescent="0.25">
      <c r="B698" s="192"/>
    </row>
    <row r="699" spans="2:2" x14ac:dyDescent="0.25">
      <c r="B699" s="192"/>
    </row>
    <row r="700" spans="2:2" x14ac:dyDescent="0.25">
      <c r="B700" s="192"/>
    </row>
    <row r="701" spans="2:2" x14ac:dyDescent="0.25">
      <c r="B701" s="192"/>
    </row>
    <row r="702" spans="2:2" x14ac:dyDescent="0.25">
      <c r="B702" s="192"/>
    </row>
    <row r="703" spans="2:2" x14ac:dyDescent="0.25">
      <c r="B703" s="192"/>
    </row>
    <row r="704" spans="2:2" x14ac:dyDescent="0.25">
      <c r="B704" s="192"/>
    </row>
    <row r="705" spans="2:2" x14ac:dyDescent="0.25">
      <c r="B705" s="192"/>
    </row>
    <row r="706" spans="2:2" x14ac:dyDescent="0.25">
      <c r="B706" s="192"/>
    </row>
    <row r="707" spans="2:2" x14ac:dyDescent="0.25">
      <c r="B707" s="192"/>
    </row>
    <row r="708" spans="2:2" x14ac:dyDescent="0.25">
      <c r="B708" s="192"/>
    </row>
    <row r="709" spans="2:2" x14ac:dyDescent="0.25">
      <c r="B709" s="192"/>
    </row>
    <row r="710" spans="2:2" x14ac:dyDescent="0.25">
      <c r="B710" s="192"/>
    </row>
    <row r="711" spans="2:2" x14ac:dyDescent="0.25">
      <c r="B711" s="192"/>
    </row>
    <row r="712" spans="2:2" x14ac:dyDescent="0.25">
      <c r="B712" s="192"/>
    </row>
    <row r="713" spans="2:2" x14ac:dyDescent="0.25">
      <c r="B713" s="192"/>
    </row>
    <row r="714" spans="2:2" x14ac:dyDescent="0.25">
      <c r="B714" s="192"/>
    </row>
    <row r="715" spans="2:2" x14ac:dyDescent="0.25">
      <c r="B715" s="192"/>
    </row>
    <row r="716" spans="2:2" x14ac:dyDescent="0.25">
      <c r="B716" s="192"/>
    </row>
    <row r="717" spans="2:2" x14ac:dyDescent="0.25">
      <c r="B717" s="192"/>
    </row>
    <row r="718" spans="2:2" x14ac:dyDescent="0.25">
      <c r="B718" s="192"/>
    </row>
    <row r="719" spans="2:2" x14ac:dyDescent="0.25">
      <c r="B719" s="192"/>
    </row>
    <row r="720" spans="2:2" x14ac:dyDescent="0.25">
      <c r="B720" s="192"/>
    </row>
    <row r="721" spans="2:2" x14ac:dyDescent="0.25">
      <c r="B721" s="192"/>
    </row>
    <row r="722" spans="2:2" x14ac:dyDescent="0.25">
      <c r="B722" s="192"/>
    </row>
    <row r="723" spans="2:2" x14ac:dyDescent="0.25">
      <c r="B723" s="192"/>
    </row>
    <row r="724" spans="2:2" x14ac:dyDescent="0.25">
      <c r="B724" s="192"/>
    </row>
    <row r="725" spans="2:2" x14ac:dyDescent="0.25">
      <c r="B725" s="192"/>
    </row>
    <row r="726" spans="2:2" x14ac:dyDescent="0.25">
      <c r="B726" s="192"/>
    </row>
    <row r="727" spans="2:2" x14ac:dyDescent="0.25">
      <c r="B727" s="192"/>
    </row>
    <row r="728" spans="2:2" x14ac:dyDescent="0.25">
      <c r="B728" s="192"/>
    </row>
    <row r="729" spans="2:2" x14ac:dyDescent="0.25">
      <c r="B729" s="192"/>
    </row>
    <row r="730" spans="2:2" x14ac:dyDescent="0.25">
      <c r="B730" s="192"/>
    </row>
    <row r="731" spans="2:2" x14ac:dyDescent="0.25">
      <c r="B731" s="192"/>
    </row>
    <row r="732" spans="2:2" x14ac:dyDescent="0.25">
      <c r="B732" s="192"/>
    </row>
    <row r="733" spans="2:2" x14ac:dyDescent="0.25">
      <c r="B733" s="192"/>
    </row>
    <row r="734" spans="2:2" x14ac:dyDescent="0.25">
      <c r="B734" s="192"/>
    </row>
    <row r="735" spans="2:2" x14ac:dyDescent="0.25">
      <c r="B735" s="192"/>
    </row>
    <row r="736" spans="2:2" x14ac:dyDescent="0.25">
      <c r="B736" s="192"/>
    </row>
    <row r="737" spans="2:2" x14ac:dyDescent="0.25">
      <c r="B737" s="192"/>
    </row>
    <row r="738" spans="2:2" x14ac:dyDescent="0.25">
      <c r="B738" s="192"/>
    </row>
    <row r="739" spans="2:2" x14ac:dyDescent="0.25">
      <c r="B739" s="192"/>
    </row>
    <row r="740" spans="2:2" x14ac:dyDescent="0.25">
      <c r="B740" s="192"/>
    </row>
    <row r="741" spans="2:2" x14ac:dyDescent="0.25">
      <c r="B741" s="192"/>
    </row>
    <row r="742" spans="2:2" x14ac:dyDescent="0.25">
      <c r="B742" s="192"/>
    </row>
    <row r="743" spans="2:2" x14ac:dyDescent="0.25">
      <c r="B743" s="192"/>
    </row>
    <row r="744" spans="2:2" x14ac:dyDescent="0.25">
      <c r="B744" s="192"/>
    </row>
    <row r="745" spans="2:2" x14ac:dyDescent="0.25">
      <c r="B745" s="192"/>
    </row>
    <row r="746" spans="2:2" x14ac:dyDescent="0.25">
      <c r="B746" s="192"/>
    </row>
    <row r="747" spans="2:2" x14ac:dyDescent="0.25">
      <c r="B747" s="192"/>
    </row>
    <row r="748" spans="2:2" x14ac:dyDescent="0.25">
      <c r="B748" s="192"/>
    </row>
    <row r="749" spans="2:2" x14ac:dyDescent="0.25">
      <c r="B749" s="192"/>
    </row>
    <row r="750" spans="2:2" x14ac:dyDescent="0.25">
      <c r="B750" s="192"/>
    </row>
    <row r="751" spans="2:2" x14ac:dyDescent="0.25">
      <c r="B751" s="192"/>
    </row>
    <row r="752" spans="2:2" x14ac:dyDescent="0.25">
      <c r="B752" s="192"/>
    </row>
    <row r="753" spans="2:2" x14ac:dyDescent="0.25">
      <c r="B753" s="192"/>
    </row>
    <row r="754" spans="2:2" x14ac:dyDescent="0.25">
      <c r="B754" s="192"/>
    </row>
    <row r="755" spans="2:2" x14ac:dyDescent="0.25">
      <c r="B755" s="192"/>
    </row>
    <row r="756" spans="2:2" x14ac:dyDescent="0.25">
      <c r="B756" s="192"/>
    </row>
    <row r="757" spans="2:2" x14ac:dyDescent="0.25">
      <c r="B757" s="192"/>
    </row>
    <row r="758" spans="2:2" x14ac:dyDescent="0.25">
      <c r="B758" s="192"/>
    </row>
    <row r="759" spans="2:2" x14ac:dyDescent="0.25">
      <c r="B759" s="192"/>
    </row>
    <row r="760" spans="2:2" x14ac:dyDescent="0.25">
      <c r="B760" s="192"/>
    </row>
    <row r="761" spans="2:2" x14ac:dyDescent="0.25">
      <c r="B761" s="192"/>
    </row>
    <row r="762" spans="2:2" x14ac:dyDescent="0.25">
      <c r="B762" s="192"/>
    </row>
    <row r="763" spans="2:2" x14ac:dyDescent="0.25">
      <c r="B763" s="192"/>
    </row>
    <row r="764" spans="2:2" x14ac:dyDescent="0.25">
      <c r="B764" s="192"/>
    </row>
    <row r="765" spans="2:2" x14ac:dyDescent="0.25">
      <c r="B765" s="192"/>
    </row>
    <row r="766" spans="2:2" x14ac:dyDescent="0.25">
      <c r="B766" s="192"/>
    </row>
    <row r="767" spans="2:2" x14ac:dyDescent="0.25">
      <c r="B767" s="192"/>
    </row>
    <row r="768" spans="2:2" x14ac:dyDescent="0.25">
      <c r="B768" s="192"/>
    </row>
    <row r="769" spans="2:2" x14ac:dyDescent="0.25">
      <c r="B769" s="192"/>
    </row>
    <row r="770" spans="2:2" x14ac:dyDescent="0.25">
      <c r="B770" s="192"/>
    </row>
    <row r="771" spans="2:2" x14ac:dyDescent="0.25">
      <c r="B771" s="192"/>
    </row>
    <row r="772" spans="2:2" x14ac:dyDescent="0.25">
      <c r="B772" s="192"/>
    </row>
    <row r="773" spans="2:2" x14ac:dyDescent="0.25">
      <c r="B773" s="192"/>
    </row>
    <row r="774" spans="2:2" x14ac:dyDescent="0.25">
      <c r="B774" s="192"/>
    </row>
    <row r="775" spans="2:2" x14ac:dyDescent="0.25">
      <c r="B775" s="192"/>
    </row>
    <row r="776" spans="2:2" x14ac:dyDescent="0.25">
      <c r="B776" s="192"/>
    </row>
    <row r="777" spans="2:2" x14ac:dyDescent="0.25">
      <c r="B777" s="192"/>
    </row>
    <row r="778" spans="2:2" x14ac:dyDescent="0.25">
      <c r="B778" s="192"/>
    </row>
    <row r="779" spans="2:2" x14ac:dyDescent="0.25">
      <c r="B779" s="192"/>
    </row>
    <row r="780" spans="2:2" x14ac:dyDescent="0.25">
      <c r="B780" s="192"/>
    </row>
    <row r="781" spans="2:2" x14ac:dyDescent="0.25">
      <c r="B781" s="192"/>
    </row>
    <row r="782" spans="2:2" x14ac:dyDescent="0.25">
      <c r="B782" s="192"/>
    </row>
    <row r="783" spans="2:2" x14ac:dyDescent="0.25">
      <c r="B783" s="192"/>
    </row>
    <row r="784" spans="2:2" x14ac:dyDescent="0.25">
      <c r="B784" s="192"/>
    </row>
    <row r="785" spans="2:2" x14ac:dyDescent="0.25">
      <c r="B785" s="192"/>
    </row>
    <row r="786" spans="2:2" x14ac:dyDescent="0.25">
      <c r="B786" s="192"/>
    </row>
    <row r="787" spans="2:2" x14ac:dyDescent="0.25">
      <c r="B787" s="192"/>
    </row>
    <row r="788" spans="2:2" x14ac:dyDescent="0.25">
      <c r="B788" s="192"/>
    </row>
    <row r="789" spans="2:2" x14ac:dyDescent="0.25">
      <c r="B789" s="192"/>
    </row>
    <row r="790" spans="2:2" x14ac:dyDescent="0.25">
      <c r="B790" s="192"/>
    </row>
    <row r="791" spans="2:2" x14ac:dyDescent="0.25">
      <c r="B791" s="192"/>
    </row>
    <row r="792" spans="2:2" x14ac:dyDescent="0.25">
      <c r="B792" s="192"/>
    </row>
    <row r="793" spans="2:2" x14ac:dyDescent="0.25">
      <c r="B793" s="192"/>
    </row>
    <row r="794" spans="2:2" x14ac:dyDescent="0.25">
      <c r="B794" s="192"/>
    </row>
    <row r="795" spans="2:2" x14ac:dyDescent="0.25">
      <c r="B795" s="192"/>
    </row>
    <row r="796" spans="2:2" x14ac:dyDescent="0.25">
      <c r="B796" s="192"/>
    </row>
    <row r="797" spans="2:2" x14ac:dyDescent="0.25">
      <c r="B797" s="192"/>
    </row>
    <row r="798" spans="2:2" x14ac:dyDescent="0.25">
      <c r="B798" s="192"/>
    </row>
    <row r="799" spans="2:2" x14ac:dyDescent="0.25">
      <c r="B799" s="192"/>
    </row>
    <row r="800" spans="2:2" x14ac:dyDescent="0.25">
      <c r="B800" s="192"/>
    </row>
    <row r="801" spans="2:2" x14ac:dyDescent="0.25">
      <c r="B801" s="192"/>
    </row>
    <row r="802" spans="2:2" x14ac:dyDescent="0.25">
      <c r="B802" s="192"/>
    </row>
    <row r="803" spans="2:2" x14ac:dyDescent="0.25">
      <c r="B803" s="192"/>
    </row>
    <row r="804" spans="2:2" x14ac:dyDescent="0.25">
      <c r="B804" s="192"/>
    </row>
    <row r="805" spans="2:2" x14ac:dyDescent="0.25">
      <c r="B805" s="192"/>
    </row>
    <row r="806" spans="2:2" x14ac:dyDescent="0.25">
      <c r="B806" s="192"/>
    </row>
    <row r="807" spans="2:2" x14ac:dyDescent="0.25">
      <c r="B807" s="192"/>
    </row>
    <row r="808" spans="2:2" x14ac:dyDescent="0.25">
      <c r="B808" s="192"/>
    </row>
    <row r="809" spans="2:2" x14ac:dyDescent="0.25">
      <c r="B809" s="192"/>
    </row>
    <row r="810" spans="2:2" x14ac:dyDescent="0.25">
      <c r="B810" s="192"/>
    </row>
    <row r="811" spans="2:2" x14ac:dyDescent="0.25">
      <c r="B811" s="192"/>
    </row>
    <row r="812" spans="2:2" x14ac:dyDescent="0.25">
      <c r="B812" s="192"/>
    </row>
    <row r="813" spans="2:2" x14ac:dyDescent="0.25">
      <c r="B813" s="192"/>
    </row>
    <row r="814" spans="2:2" x14ac:dyDescent="0.25">
      <c r="B814" s="192"/>
    </row>
    <row r="815" spans="2:2" x14ac:dyDescent="0.25">
      <c r="B815" s="192"/>
    </row>
    <row r="816" spans="2:2" x14ac:dyDescent="0.25">
      <c r="B816" s="192"/>
    </row>
    <row r="817" spans="2:2" x14ac:dyDescent="0.25">
      <c r="B817" s="192"/>
    </row>
    <row r="818" spans="2:2" x14ac:dyDescent="0.25">
      <c r="B818" s="192"/>
    </row>
    <row r="819" spans="2:2" x14ac:dyDescent="0.25">
      <c r="B819" s="192"/>
    </row>
    <row r="820" spans="2:2" x14ac:dyDescent="0.25">
      <c r="B820" s="192"/>
    </row>
    <row r="821" spans="2:2" x14ac:dyDescent="0.25">
      <c r="B821" s="192"/>
    </row>
    <row r="822" spans="2:2" x14ac:dyDescent="0.25">
      <c r="B822" s="192"/>
    </row>
    <row r="823" spans="2:2" x14ac:dyDescent="0.25">
      <c r="B823" s="192"/>
    </row>
    <row r="824" spans="2:2" x14ac:dyDescent="0.25">
      <c r="B824" s="192"/>
    </row>
    <row r="825" spans="2:2" x14ac:dyDescent="0.25">
      <c r="B825" s="192"/>
    </row>
    <row r="826" spans="2:2" x14ac:dyDescent="0.25">
      <c r="B826" s="192"/>
    </row>
    <row r="827" spans="2:2" x14ac:dyDescent="0.25">
      <c r="B827" s="192"/>
    </row>
    <row r="828" spans="2:2" x14ac:dyDescent="0.25">
      <c r="B828" s="192"/>
    </row>
    <row r="829" spans="2:2" x14ac:dyDescent="0.25">
      <c r="B829" s="192"/>
    </row>
    <row r="830" spans="2:2" x14ac:dyDescent="0.25">
      <c r="B830" s="192"/>
    </row>
    <row r="831" spans="2:2" x14ac:dyDescent="0.25">
      <c r="B831" s="192"/>
    </row>
    <row r="832" spans="2:2" x14ac:dyDescent="0.25">
      <c r="B832" s="192"/>
    </row>
    <row r="833" spans="2:2" x14ac:dyDescent="0.25">
      <c r="B833" s="192"/>
    </row>
    <row r="834" spans="2:2" x14ac:dyDescent="0.25">
      <c r="B834" s="192"/>
    </row>
    <row r="835" spans="2:2" x14ac:dyDescent="0.25">
      <c r="B835" s="192"/>
    </row>
    <row r="836" spans="2:2" x14ac:dyDescent="0.25">
      <c r="B836" s="192"/>
    </row>
    <row r="837" spans="2:2" x14ac:dyDescent="0.25">
      <c r="B837" s="192"/>
    </row>
    <row r="838" spans="2:2" x14ac:dyDescent="0.25">
      <c r="B838" s="192"/>
    </row>
    <row r="839" spans="2:2" x14ac:dyDescent="0.25">
      <c r="B839" s="192"/>
    </row>
    <row r="840" spans="2:2" x14ac:dyDescent="0.25">
      <c r="B840" s="192"/>
    </row>
    <row r="841" spans="2:2" x14ac:dyDescent="0.25">
      <c r="B841" s="192"/>
    </row>
    <row r="842" spans="2:2" x14ac:dyDescent="0.25">
      <c r="B842" s="192"/>
    </row>
    <row r="843" spans="2:2" x14ac:dyDescent="0.25">
      <c r="B843" s="192"/>
    </row>
    <row r="844" spans="2:2" x14ac:dyDescent="0.25">
      <c r="B844" s="192"/>
    </row>
    <row r="845" spans="2:2" x14ac:dyDescent="0.25">
      <c r="B845" s="192"/>
    </row>
    <row r="846" spans="2:2" x14ac:dyDescent="0.25">
      <c r="B846" s="192"/>
    </row>
    <row r="847" spans="2:2" x14ac:dyDescent="0.25">
      <c r="B847" s="192"/>
    </row>
    <row r="848" spans="2:2" x14ac:dyDescent="0.25">
      <c r="B848" s="192"/>
    </row>
    <row r="849" spans="2:2" x14ac:dyDescent="0.25">
      <c r="B849" s="192"/>
    </row>
    <row r="850" spans="2:2" x14ac:dyDescent="0.25">
      <c r="B850" s="192"/>
    </row>
    <row r="851" spans="2:2" x14ac:dyDescent="0.25">
      <c r="B851" s="192"/>
    </row>
    <row r="852" spans="2:2" x14ac:dyDescent="0.25">
      <c r="B852" s="192"/>
    </row>
    <row r="853" spans="2:2" x14ac:dyDescent="0.25">
      <c r="B853" s="192"/>
    </row>
    <row r="854" spans="2:2" x14ac:dyDescent="0.25">
      <c r="B854" s="192"/>
    </row>
    <row r="855" spans="2:2" x14ac:dyDescent="0.25">
      <c r="B855" s="192"/>
    </row>
    <row r="856" spans="2:2" x14ac:dyDescent="0.25">
      <c r="B856" s="192"/>
    </row>
    <row r="857" spans="2:2" x14ac:dyDescent="0.25">
      <c r="B857" s="192"/>
    </row>
    <row r="858" spans="2:2" x14ac:dyDescent="0.25">
      <c r="B858" s="192"/>
    </row>
    <row r="859" spans="2:2" x14ac:dyDescent="0.25">
      <c r="B859" s="192"/>
    </row>
    <row r="860" spans="2:2" x14ac:dyDescent="0.25">
      <c r="B860" s="192"/>
    </row>
    <row r="861" spans="2:2" x14ac:dyDescent="0.25">
      <c r="B861" s="192"/>
    </row>
    <row r="862" spans="2:2" x14ac:dyDescent="0.25">
      <c r="B862" s="192"/>
    </row>
    <row r="863" spans="2:2" x14ac:dyDescent="0.25">
      <c r="B863" s="192"/>
    </row>
    <row r="864" spans="2:2" x14ac:dyDescent="0.25">
      <c r="B864" s="192"/>
    </row>
    <row r="865" spans="2:2" x14ac:dyDescent="0.25">
      <c r="B865" s="192"/>
    </row>
    <row r="866" spans="2:2" x14ac:dyDescent="0.25">
      <c r="B866" s="192"/>
    </row>
    <row r="867" spans="2:2" x14ac:dyDescent="0.25">
      <c r="B867" s="192"/>
    </row>
    <row r="868" spans="2:2" x14ac:dyDescent="0.25">
      <c r="B868" s="192"/>
    </row>
    <row r="869" spans="2:2" x14ac:dyDescent="0.25">
      <c r="B869" s="192"/>
    </row>
    <row r="870" spans="2:2" x14ac:dyDescent="0.25">
      <c r="B870" s="192"/>
    </row>
    <row r="871" spans="2:2" x14ac:dyDescent="0.25">
      <c r="B871" s="192"/>
    </row>
    <row r="872" spans="2:2" x14ac:dyDescent="0.25">
      <c r="B872" s="192"/>
    </row>
    <row r="873" spans="2:2" x14ac:dyDescent="0.25">
      <c r="B873" s="192"/>
    </row>
    <row r="874" spans="2:2" x14ac:dyDescent="0.25">
      <c r="B874" s="192"/>
    </row>
    <row r="875" spans="2:2" x14ac:dyDescent="0.25">
      <c r="B875" s="192"/>
    </row>
    <row r="876" spans="2:2" x14ac:dyDescent="0.25">
      <c r="B876" s="192"/>
    </row>
    <row r="877" spans="2:2" x14ac:dyDescent="0.25">
      <c r="B877" s="192"/>
    </row>
    <row r="878" spans="2:2" x14ac:dyDescent="0.25">
      <c r="B878" s="192"/>
    </row>
    <row r="879" spans="2:2" x14ac:dyDescent="0.25">
      <c r="B879" s="192"/>
    </row>
    <row r="880" spans="2:2" x14ac:dyDescent="0.25">
      <c r="B880" s="192"/>
    </row>
    <row r="881" spans="2:2" x14ac:dyDescent="0.25">
      <c r="B881" s="192"/>
    </row>
    <row r="882" spans="2:2" x14ac:dyDescent="0.25">
      <c r="B882" s="192"/>
    </row>
    <row r="883" spans="2:2" x14ac:dyDescent="0.25">
      <c r="B883" s="192"/>
    </row>
    <row r="884" spans="2:2" x14ac:dyDescent="0.25">
      <c r="B884" s="192"/>
    </row>
    <row r="885" spans="2:2" x14ac:dyDescent="0.25">
      <c r="B885" s="192"/>
    </row>
    <row r="886" spans="2:2" x14ac:dyDescent="0.25">
      <c r="B886" s="192"/>
    </row>
    <row r="887" spans="2:2" x14ac:dyDescent="0.25">
      <c r="B887" s="192"/>
    </row>
    <row r="888" spans="2:2" x14ac:dyDescent="0.25">
      <c r="B888" s="192"/>
    </row>
    <row r="889" spans="2:2" x14ac:dyDescent="0.25">
      <c r="B889" s="192"/>
    </row>
    <row r="890" spans="2:2" x14ac:dyDescent="0.25">
      <c r="B890" s="192"/>
    </row>
    <row r="891" spans="2:2" x14ac:dyDescent="0.25">
      <c r="B891" s="192"/>
    </row>
    <row r="892" spans="2:2" x14ac:dyDescent="0.25">
      <c r="B892" s="192"/>
    </row>
    <row r="893" spans="2:2" x14ac:dyDescent="0.25">
      <c r="B893" s="192"/>
    </row>
    <row r="894" spans="2:2" x14ac:dyDescent="0.25">
      <c r="B894" s="192"/>
    </row>
    <row r="895" spans="2:2" x14ac:dyDescent="0.25">
      <c r="B895" s="192"/>
    </row>
    <row r="896" spans="2:2" x14ac:dyDescent="0.25">
      <c r="B896" s="192"/>
    </row>
    <row r="897" spans="2:2" x14ac:dyDescent="0.25">
      <c r="B897" s="192"/>
    </row>
    <row r="898" spans="2:2" x14ac:dyDescent="0.25">
      <c r="B898" s="192"/>
    </row>
    <row r="899" spans="2:2" x14ac:dyDescent="0.25">
      <c r="B899" s="192"/>
    </row>
    <row r="900" spans="2:2" x14ac:dyDescent="0.25">
      <c r="B900" s="192"/>
    </row>
    <row r="901" spans="2:2" x14ac:dyDescent="0.25">
      <c r="B901" s="192"/>
    </row>
    <row r="902" spans="2:2" x14ac:dyDescent="0.25">
      <c r="B902" s="192"/>
    </row>
    <row r="903" spans="2:2" x14ac:dyDescent="0.25">
      <c r="B903" s="192"/>
    </row>
    <row r="904" spans="2:2" x14ac:dyDescent="0.25">
      <c r="B904" s="192"/>
    </row>
    <row r="905" spans="2:2" x14ac:dyDescent="0.25">
      <c r="B905" s="192"/>
    </row>
    <row r="906" spans="2:2" x14ac:dyDescent="0.25">
      <c r="B906" s="192"/>
    </row>
    <row r="907" spans="2:2" x14ac:dyDescent="0.25">
      <c r="B907" s="192"/>
    </row>
    <row r="908" spans="2:2" x14ac:dyDescent="0.25">
      <c r="B908" s="192"/>
    </row>
    <row r="909" spans="2:2" x14ac:dyDescent="0.25">
      <c r="B909" s="192"/>
    </row>
    <row r="910" spans="2:2" x14ac:dyDescent="0.25">
      <c r="B910" s="192"/>
    </row>
    <row r="911" spans="2:2" x14ac:dyDescent="0.25">
      <c r="B911" s="192"/>
    </row>
    <row r="912" spans="2:2" x14ac:dyDescent="0.25">
      <c r="B912" s="192"/>
    </row>
    <row r="913" spans="2:2" x14ac:dyDescent="0.25">
      <c r="B913" s="192"/>
    </row>
    <row r="914" spans="2:2" x14ac:dyDescent="0.25">
      <c r="B914" s="192"/>
    </row>
    <row r="915" spans="2:2" x14ac:dyDescent="0.25">
      <c r="B915" s="192"/>
    </row>
    <row r="916" spans="2:2" x14ac:dyDescent="0.25">
      <c r="B916" s="192"/>
    </row>
    <row r="917" spans="2:2" x14ac:dyDescent="0.25">
      <c r="B917" s="192"/>
    </row>
    <row r="918" spans="2:2" x14ac:dyDescent="0.25">
      <c r="B918" s="192"/>
    </row>
    <row r="919" spans="2:2" x14ac:dyDescent="0.25">
      <c r="B919" s="192"/>
    </row>
    <row r="920" spans="2:2" x14ac:dyDescent="0.25">
      <c r="B920" s="192"/>
    </row>
    <row r="921" spans="2:2" x14ac:dyDescent="0.25">
      <c r="B921" s="192"/>
    </row>
    <row r="922" spans="2:2" x14ac:dyDescent="0.25">
      <c r="B922" s="192"/>
    </row>
    <row r="923" spans="2:2" x14ac:dyDescent="0.25">
      <c r="B923" s="192"/>
    </row>
    <row r="924" spans="2:2" x14ac:dyDescent="0.25">
      <c r="B924" s="192"/>
    </row>
    <row r="925" spans="2:2" x14ac:dyDescent="0.25">
      <c r="B925" s="192"/>
    </row>
    <row r="926" spans="2:2" x14ac:dyDescent="0.25">
      <c r="B926" s="192"/>
    </row>
    <row r="927" spans="2:2" x14ac:dyDescent="0.25">
      <c r="B927" s="192"/>
    </row>
    <row r="928" spans="2:2" x14ac:dyDescent="0.25">
      <c r="B928" s="192"/>
    </row>
    <row r="929" spans="2:2" x14ac:dyDescent="0.25">
      <c r="B929" s="192"/>
    </row>
    <row r="930" spans="2:2" x14ac:dyDescent="0.25">
      <c r="B930" s="192"/>
    </row>
    <row r="931" spans="2:2" x14ac:dyDescent="0.25">
      <c r="B931" s="192"/>
    </row>
    <row r="932" spans="2:2" x14ac:dyDescent="0.25">
      <c r="B932" s="192"/>
    </row>
    <row r="933" spans="2:2" x14ac:dyDescent="0.25">
      <c r="B933" s="192"/>
    </row>
    <row r="934" spans="2:2" x14ac:dyDescent="0.25">
      <c r="B934" s="192"/>
    </row>
    <row r="935" spans="2:2" x14ac:dyDescent="0.25">
      <c r="B935" s="192"/>
    </row>
    <row r="936" spans="2:2" x14ac:dyDescent="0.25">
      <c r="B936" s="192"/>
    </row>
    <row r="937" spans="2:2" x14ac:dyDescent="0.25">
      <c r="B937" s="192"/>
    </row>
    <row r="938" spans="2:2" x14ac:dyDescent="0.25">
      <c r="B938" s="192"/>
    </row>
    <row r="939" spans="2:2" x14ac:dyDescent="0.25">
      <c r="B939" s="192"/>
    </row>
    <row r="940" spans="2:2" x14ac:dyDescent="0.25">
      <c r="B940" s="192"/>
    </row>
    <row r="941" spans="2:2" x14ac:dyDescent="0.25">
      <c r="B941" s="192"/>
    </row>
    <row r="942" spans="2:2" x14ac:dyDescent="0.25">
      <c r="B942" s="192"/>
    </row>
    <row r="943" spans="2:2" x14ac:dyDescent="0.25">
      <c r="B943" s="192"/>
    </row>
    <row r="944" spans="2:2" x14ac:dyDescent="0.25">
      <c r="B944" s="192"/>
    </row>
    <row r="945" spans="2:2" x14ac:dyDescent="0.25">
      <c r="B945" s="192"/>
    </row>
    <row r="946" spans="2:2" x14ac:dyDescent="0.25">
      <c r="B946" s="192"/>
    </row>
    <row r="947" spans="2:2" x14ac:dyDescent="0.25">
      <c r="B947" s="192"/>
    </row>
    <row r="948" spans="2:2" x14ac:dyDescent="0.25">
      <c r="B948" s="192"/>
    </row>
    <row r="949" spans="2:2" x14ac:dyDescent="0.25">
      <c r="B949" s="192"/>
    </row>
    <row r="950" spans="2:2" x14ac:dyDescent="0.25">
      <c r="B950" s="192"/>
    </row>
    <row r="951" spans="2:2" x14ac:dyDescent="0.25">
      <c r="B951" s="192"/>
    </row>
    <row r="952" spans="2:2" x14ac:dyDescent="0.25">
      <c r="B952" s="192"/>
    </row>
    <row r="953" spans="2:2" x14ac:dyDescent="0.25">
      <c r="B953" s="192"/>
    </row>
    <row r="954" spans="2:2" x14ac:dyDescent="0.25">
      <c r="B954" s="192"/>
    </row>
    <row r="955" spans="2:2" x14ac:dyDescent="0.25">
      <c r="B955" s="192"/>
    </row>
    <row r="956" spans="2:2" x14ac:dyDescent="0.25">
      <c r="B956" s="192"/>
    </row>
    <row r="957" spans="2:2" x14ac:dyDescent="0.25">
      <c r="B957" s="192"/>
    </row>
    <row r="958" spans="2:2" x14ac:dyDescent="0.25">
      <c r="B958" s="192"/>
    </row>
    <row r="959" spans="2:2" x14ac:dyDescent="0.25">
      <c r="B959" s="192"/>
    </row>
    <row r="960" spans="2:2" x14ac:dyDescent="0.25">
      <c r="B960" s="192"/>
    </row>
    <row r="961" spans="2:2" x14ac:dyDescent="0.25">
      <c r="B961" s="192"/>
    </row>
    <row r="962" spans="2:2" x14ac:dyDescent="0.25">
      <c r="B962" s="192"/>
    </row>
    <row r="963" spans="2:2" x14ac:dyDescent="0.25">
      <c r="B963" s="192"/>
    </row>
    <row r="964" spans="2:2" x14ac:dyDescent="0.25">
      <c r="B964" s="192"/>
    </row>
    <row r="965" spans="2:2" x14ac:dyDescent="0.25">
      <c r="B965" s="192"/>
    </row>
    <row r="966" spans="2:2" x14ac:dyDescent="0.25">
      <c r="B966" s="192"/>
    </row>
    <row r="967" spans="2:2" x14ac:dyDescent="0.25">
      <c r="B967" s="192"/>
    </row>
    <row r="968" spans="2:2" x14ac:dyDescent="0.25">
      <c r="B968" s="192"/>
    </row>
    <row r="969" spans="2:2" x14ac:dyDescent="0.25">
      <c r="B969" s="192"/>
    </row>
    <row r="970" spans="2:2" x14ac:dyDescent="0.25">
      <c r="B970" s="192"/>
    </row>
    <row r="971" spans="2:2" x14ac:dyDescent="0.25">
      <c r="B971" s="192"/>
    </row>
    <row r="972" spans="2:2" x14ac:dyDescent="0.25">
      <c r="B972" s="192"/>
    </row>
    <row r="973" spans="2:2" x14ac:dyDescent="0.25">
      <c r="B973" s="192"/>
    </row>
    <row r="974" spans="2:2" x14ac:dyDescent="0.25">
      <c r="B974" s="192"/>
    </row>
    <row r="975" spans="2:2" x14ac:dyDescent="0.25">
      <c r="B975" s="192"/>
    </row>
    <row r="976" spans="2:2" x14ac:dyDescent="0.25">
      <c r="B976" s="192"/>
    </row>
    <row r="977" spans="2:2" x14ac:dyDescent="0.25">
      <c r="B977" s="192"/>
    </row>
    <row r="978" spans="2:2" x14ac:dyDescent="0.25">
      <c r="B978" s="192"/>
    </row>
    <row r="979" spans="2:2" x14ac:dyDescent="0.25">
      <c r="B979" s="192"/>
    </row>
    <row r="980" spans="2:2" x14ac:dyDescent="0.25">
      <c r="B980" s="192"/>
    </row>
    <row r="981" spans="2:2" x14ac:dyDescent="0.25">
      <c r="B981" s="192"/>
    </row>
    <row r="982" spans="2:2" x14ac:dyDescent="0.25">
      <c r="B982" s="192"/>
    </row>
    <row r="983" spans="2:2" x14ac:dyDescent="0.25">
      <c r="B983" s="192"/>
    </row>
    <row r="984" spans="2:2" x14ac:dyDescent="0.25">
      <c r="B984" s="192"/>
    </row>
    <row r="985" spans="2:2" x14ac:dyDescent="0.25">
      <c r="B985" s="192"/>
    </row>
    <row r="986" spans="2:2" x14ac:dyDescent="0.25">
      <c r="B986" s="192"/>
    </row>
    <row r="987" spans="2:2" x14ac:dyDescent="0.25">
      <c r="B987" s="192"/>
    </row>
    <row r="988" spans="2:2" x14ac:dyDescent="0.25">
      <c r="B988" s="192"/>
    </row>
    <row r="989" spans="2:2" x14ac:dyDescent="0.25">
      <c r="B989" s="192"/>
    </row>
    <row r="990" spans="2:2" x14ac:dyDescent="0.25">
      <c r="B990" s="192"/>
    </row>
    <row r="991" spans="2:2" x14ac:dyDescent="0.25">
      <c r="B991" s="192"/>
    </row>
    <row r="992" spans="2:2" x14ac:dyDescent="0.25">
      <c r="B992" s="192"/>
    </row>
    <row r="993" spans="2:2" x14ac:dyDescent="0.25">
      <c r="B993" s="192"/>
    </row>
    <row r="994" spans="2:2" x14ac:dyDescent="0.25">
      <c r="B994" s="192"/>
    </row>
    <row r="995" spans="2:2" x14ac:dyDescent="0.25">
      <c r="B995" s="192"/>
    </row>
    <row r="996" spans="2:2" x14ac:dyDescent="0.25">
      <c r="B996" s="192"/>
    </row>
    <row r="997" spans="2:2" x14ac:dyDescent="0.25">
      <c r="B997" s="192"/>
    </row>
    <row r="998" spans="2:2" x14ac:dyDescent="0.25">
      <c r="B998" s="192"/>
    </row>
    <row r="999" spans="2:2" x14ac:dyDescent="0.25">
      <c r="B999" s="192"/>
    </row>
    <row r="1000" spans="2:2" x14ac:dyDescent="0.25">
      <c r="B1000" s="192"/>
    </row>
    <row r="1001" spans="2:2" x14ac:dyDescent="0.25">
      <c r="B1001" s="192"/>
    </row>
    <row r="1002" spans="2:2" x14ac:dyDescent="0.25">
      <c r="B1002" s="192"/>
    </row>
    <row r="1003" spans="2:2" x14ac:dyDescent="0.25">
      <c r="B1003" s="192"/>
    </row>
    <row r="1004" spans="2:2" x14ac:dyDescent="0.25">
      <c r="B1004" s="192"/>
    </row>
    <row r="1005" spans="2:2" x14ac:dyDescent="0.25">
      <c r="B1005" s="192"/>
    </row>
    <row r="1006" spans="2:2" x14ac:dyDescent="0.25">
      <c r="B1006" s="192"/>
    </row>
    <row r="1007" spans="2:2" x14ac:dyDescent="0.25">
      <c r="B1007" s="192"/>
    </row>
    <row r="1008" spans="2:2" x14ac:dyDescent="0.25">
      <c r="B1008" s="192"/>
    </row>
    <row r="1009" spans="2:2" x14ac:dyDescent="0.25">
      <c r="B1009" s="192"/>
    </row>
    <row r="1010" spans="2:2" x14ac:dyDescent="0.25">
      <c r="B1010" s="192"/>
    </row>
    <row r="1011" spans="2:2" x14ac:dyDescent="0.25">
      <c r="B1011" s="192"/>
    </row>
    <row r="1012" spans="2:2" x14ac:dyDescent="0.25">
      <c r="B1012" s="192"/>
    </row>
    <row r="1013" spans="2:2" x14ac:dyDescent="0.25">
      <c r="B1013" s="192"/>
    </row>
    <row r="1014" spans="2:2" x14ac:dyDescent="0.25">
      <c r="B1014" s="192"/>
    </row>
    <row r="1015" spans="2:2" x14ac:dyDescent="0.25">
      <c r="B1015" s="192"/>
    </row>
    <row r="1016" spans="2:2" x14ac:dyDescent="0.25">
      <c r="B1016" s="192"/>
    </row>
    <row r="1017" spans="2:2" x14ac:dyDescent="0.25">
      <c r="B1017" s="192"/>
    </row>
    <row r="1018" spans="2:2" x14ac:dyDescent="0.25">
      <c r="B1018" s="192"/>
    </row>
    <row r="1019" spans="2:2" x14ac:dyDescent="0.25">
      <c r="B1019" s="192"/>
    </row>
    <row r="1020" spans="2:2" x14ac:dyDescent="0.25">
      <c r="B1020" s="192"/>
    </row>
    <row r="1021" spans="2:2" x14ac:dyDescent="0.25">
      <c r="B1021" s="192"/>
    </row>
    <row r="1022" spans="2:2" x14ac:dyDescent="0.25">
      <c r="B1022" s="192"/>
    </row>
    <row r="1023" spans="2:2" x14ac:dyDescent="0.25">
      <c r="B1023" s="192"/>
    </row>
    <row r="1024" spans="2:2" x14ac:dyDescent="0.25">
      <c r="B1024" s="192"/>
    </row>
    <row r="1025" spans="2:2" x14ac:dyDescent="0.25">
      <c r="B1025" s="192"/>
    </row>
    <row r="1026" spans="2:2" x14ac:dyDescent="0.25">
      <c r="B1026" s="192"/>
    </row>
    <row r="1027" spans="2:2" x14ac:dyDescent="0.25">
      <c r="B1027" s="192"/>
    </row>
    <row r="1028" spans="2:2" x14ac:dyDescent="0.25">
      <c r="B1028" s="192"/>
    </row>
    <row r="1029" spans="2:2" x14ac:dyDescent="0.25">
      <c r="B1029" s="192"/>
    </row>
    <row r="1030" spans="2:2" x14ac:dyDescent="0.25">
      <c r="B1030" s="192"/>
    </row>
    <row r="1031" spans="2:2" x14ac:dyDescent="0.25">
      <c r="B1031" s="192"/>
    </row>
    <row r="1032" spans="2:2" x14ac:dyDescent="0.25">
      <c r="B1032" s="192"/>
    </row>
    <row r="1033" spans="2:2" x14ac:dyDescent="0.25">
      <c r="B1033" s="192"/>
    </row>
    <row r="1034" spans="2:2" x14ac:dyDescent="0.25">
      <c r="B1034" s="192"/>
    </row>
    <row r="1035" spans="2:2" x14ac:dyDescent="0.25">
      <c r="B1035" s="192"/>
    </row>
    <row r="1036" spans="2:2" x14ac:dyDescent="0.25">
      <c r="B1036" s="192"/>
    </row>
    <row r="1037" spans="2:2" x14ac:dyDescent="0.25">
      <c r="B1037" s="192"/>
    </row>
    <row r="1038" spans="2:2" x14ac:dyDescent="0.25">
      <c r="B1038" s="192"/>
    </row>
    <row r="1039" spans="2:2" x14ac:dyDescent="0.25">
      <c r="B1039" s="192"/>
    </row>
    <row r="1040" spans="2:2" x14ac:dyDescent="0.25">
      <c r="B1040" s="192"/>
    </row>
    <row r="1041" spans="2:2" x14ac:dyDescent="0.25">
      <c r="B1041" s="192"/>
    </row>
    <row r="1042" spans="2:2" x14ac:dyDescent="0.25">
      <c r="B1042" s="192"/>
    </row>
    <row r="1043" spans="2:2" x14ac:dyDescent="0.25">
      <c r="B1043" s="192"/>
    </row>
    <row r="1044" spans="2:2" x14ac:dyDescent="0.25">
      <c r="B1044" s="192"/>
    </row>
    <row r="1045" spans="2:2" x14ac:dyDescent="0.25">
      <c r="B1045" s="192"/>
    </row>
    <row r="1046" spans="2:2" x14ac:dyDescent="0.25">
      <c r="B1046" s="192"/>
    </row>
    <row r="1047" spans="2:2" x14ac:dyDescent="0.25">
      <c r="B1047" s="192"/>
    </row>
    <row r="1048" spans="2:2" x14ac:dyDescent="0.25">
      <c r="B1048" s="192"/>
    </row>
    <row r="1049" spans="2:2" x14ac:dyDescent="0.25">
      <c r="B1049" s="192"/>
    </row>
    <row r="1050" spans="2:2" x14ac:dyDescent="0.25">
      <c r="B1050" s="192"/>
    </row>
    <row r="1051" spans="2:2" x14ac:dyDescent="0.25">
      <c r="B1051" s="192"/>
    </row>
    <row r="1052" spans="2:2" x14ac:dyDescent="0.25">
      <c r="B1052" s="192"/>
    </row>
    <row r="1053" spans="2:2" x14ac:dyDescent="0.25">
      <c r="B1053" s="192"/>
    </row>
    <row r="1054" spans="2:2" x14ac:dyDescent="0.25">
      <c r="B1054" s="192"/>
    </row>
    <row r="1055" spans="2:2" x14ac:dyDescent="0.25">
      <c r="B1055" s="192"/>
    </row>
    <row r="1056" spans="2:2" x14ac:dyDescent="0.25">
      <c r="B1056" s="192"/>
    </row>
    <row r="1057" spans="2:2" x14ac:dyDescent="0.25">
      <c r="B1057" s="192"/>
    </row>
    <row r="1058" spans="2:2" x14ac:dyDescent="0.25">
      <c r="B1058" s="192"/>
    </row>
    <row r="1059" spans="2:2" x14ac:dyDescent="0.25">
      <c r="B1059" s="192"/>
    </row>
    <row r="1060" spans="2:2" x14ac:dyDescent="0.25">
      <c r="B1060" s="192"/>
    </row>
    <row r="1061" spans="2:2" x14ac:dyDescent="0.25">
      <c r="B1061" s="192"/>
    </row>
    <row r="1062" spans="2:2" x14ac:dyDescent="0.25">
      <c r="B1062" s="192"/>
    </row>
    <row r="1063" spans="2:2" x14ac:dyDescent="0.25">
      <c r="B1063" s="192"/>
    </row>
    <row r="1064" spans="2:2" x14ac:dyDescent="0.25">
      <c r="B1064" s="192"/>
    </row>
    <row r="1065" spans="2:2" x14ac:dyDescent="0.25">
      <c r="B1065" s="192"/>
    </row>
    <row r="1066" spans="2:2" x14ac:dyDescent="0.25">
      <c r="B1066" s="192"/>
    </row>
    <row r="1067" spans="2:2" x14ac:dyDescent="0.25">
      <c r="B1067" s="192"/>
    </row>
    <row r="1068" spans="2:2" x14ac:dyDescent="0.25">
      <c r="B1068" s="192"/>
    </row>
    <row r="1069" spans="2:2" x14ac:dyDescent="0.25">
      <c r="B1069" s="192"/>
    </row>
    <row r="1070" spans="2:2" x14ac:dyDescent="0.25">
      <c r="B1070" s="192"/>
    </row>
    <row r="1071" spans="2:2" x14ac:dyDescent="0.25">
      <c r="B1071" s="192"/>
    </row>
    <row r="1072" spans="2:2" x14ac:dyDescent="0.25">
      <c r="B1072" s="192"/>
    </row>
    <row r="1073" spans="2:2" x14ac:dyDescent="0.25">
      <c r="B1073" s="192"/>
    </row>
    <row r="1074" spans="2:2" x14ac:dyDescent="0.25">
      <c r="B1074" s="192"/>
    </row>
    <row r="1075" spans="2:2" x14ac:dyDescent="0.25">
      <c r="B1075" s="192"/>
    </row>
    <row r="1076" spans="2:2" x14ac:dyDescent="0.25">
      <c r="B1076" s="192"/>
    </row>
    <row r="1077" spans="2:2" x14ac:dyDescent="0.25">
      <c r="B1077" s="192"/>
    </row>
    <row r="1078" spans="2:2" x14ac:dyDescent="0.25">
      <c r="B1078" s="192"/>
    </row>
    <row r="1079" spans="2:2" x14ac:dyDescent="0.25">
      <c r="B1079" s="192"/>
    </row>
    <row r="1080" spans="2:2" x14ac:dyDescent="0.25">
      <c r="B1080" s="192"/>
    </row>
    <row r="1081" spans="2:2" x14ac:dyDescent="0.25">
      <c r="B1081" s="192"/>
    </row>
    <row r="1082" spans="2:2" x14ac:dyDescent="0.25">
      <c r="B1082" s="192"/>
    </row>
    <row r="1083" spans="2:2" x14ac:dyDescent="0.25">
      <c r="B1083" s="192"/>
    </row>
    <row r="1084" spans="2:2" x14ac:dyDescent="0.25">
      <c r="B1084" s="192"/>
    </row>
    <row r="1085" spans="2:2" x14ac:dyDescent="0.25">
      <c r="B1085" s="192"/>
    </row>
    <row r="1086" spans="2:2" x14ac:dyDescent="0.25">
      <c r="B1086" s="192"/>
    </row>
    <row r="1087" spans="2:2" x14ac:dyDescent="0.25">
      <c r="B1087" s="192"/>
    </row>
    <row r="1088" spans="2:2" x14ac:dyDescent="0.25">
      <c r="B1088" s="192"/>
    </row>
    <row r="1089" spans="2:2" x14ac:dyDescent="0.25">
      <c r="B1089" s="192"/>
    </row>
    <row r="1090" spans="2:2" x14ac:dyDescent="0.25">
      <c r="B1090" s="192"/>
    </row>
    <row r="1091" spans="2:2" x14ac:dyDescent="0.25">
      <c r="B1091" s="192"/>
    </row>
    <row r="1092" spans="2:2" x14ac:dyDescent="0.25">
      <c r="B1092" s="192"/>
    </row>
    <row r="1093" spans="2:2" x14ac:dyDescent="0.25">
      <c r="B1093" s="192"/>
    </row>
    <row r="1094" spans="2:2" x14ac:dyDescent="0.25">
      <c r="B1094" s="192"/>
    </row>
    <row r="1095" spans="2:2" x14ac:dyDescent="0.25">
      <c r="B1095" s="192"/>
    </row>
    <row r="1096" spans="2:2" x14ac:dyDescent="0.25">
      <c r="B1096" s="192"/>
    </row>
    <row r="1097" spans="2:2" x14ac:dyDescent="0.25">
      <c r="B1097" s="192"/>
    </row>
    <row r="1098" spans="2:2" x14ac:dyDescent="0.25">
      <c r="B1098" s="192"/>
    </row>
    <row r="1099" spans="2:2" x14ac:dyDescent="0.25">
      <c r="B1099" s="192"/>
    </row>
    <row r="1100" spans="2:2" x14ac:dyDescent="0.25">
      <c r="B1100" s="192"/>
    </row>
    <row r="1101" spans="2:2" x14ac:dyDescent="0.25">
      <c r="B1101" s="192"/>
    </row>
    <row r="1102" spans="2:2" x14ac:dyDescent="0.25">
      <c r="B1102" s="192"/>
    </row>
    <row r="1103" spans="2:2" x14ac:dyDescent="0.25">
      <c r="B1103" s="192"/>
    </row>
    <row r="1104" spans="2:2" x14ac:dyDescent="0.25">
      <c r="B1104" s="192"/>
    </row>
    <row r="1105" spans="2:2" x14ac:dyDescent="0.25">
      <c r="B1105" s="192"/>
    </row>
    <row r="1106" spans="2:2" x14ac:dyDescent="0.25">
      <c r="B1106" s="192"/>
    </row>
    <row r="1107" spans="2:2" x14ac:dyDescent="0.25">
      <c r="B1107" s="192"/>
    </row>
    <row r="1108" spans="2:2" x14ac:dyDescent="0.25">
      <c r="B1108" s="192"/>
    </row>
    <row r="1109" spans="2:2" x14ac:dyDescent="0.25">
      <c r="B1109" s="192"/>
    </row>
    <row r="1110" spans="2:2" x14ac:dyDescent="0.25">
      <c r="B1110" s="192"/>
    </row>
    <row r="1111" spans="2:2" x14ac:dyDescent="0.25">
      <c r="B1111" s="192"/>
    </row>
    <row r="1112" spans="2:2" x14ac:dyDescent="0.25">
      <c r="B1112" s="192"/>
    </row>
    <row r="1113" spans="2:2" x14ac:dyDescent="0.25">
      <c r="B1113" s="192"/>
    </row>
    <row r="1114" spans="2:2" x14ac:dyDescent="0.25">
      <c r="B1114" s="192"/>
    </row>
    <row r="1115" spans="2:2" x14ac:dyDescent="0.25">
      <c r="B1115" s="192"/>
    </row>
    <row r="1116" spans="2:2" x14ac:dyDescent="0.25">
      <c r="B1116" s="192"/>
    </row>
    <row r="1117" spans="2:2" x14ac:dyDescent="0.25">
      <c r="B1117" s="192"/>
    </row>
    <row r="1118" spans="2:2" x14ac:dyDescent="0.25">
      <c r="B1118" s="192"/>
    </row>
    <row r="1119" spans="2:2" x14ac:dyDescent="0.25">
      <c r="B1119" s="192"/>
    </row>
    <row r="1120" spans="2:2" x14ac:dyDescent="0.25">
      <c r="B1120" s="192"/>
    </row>
    <row r="1121" spans="2:2" x14ac:dyDescent="0.25">
      <c r="B1121" s="192"/>
    </row>
    <row r="1122" spans="2:2" x14ac:dyDescent="0.25">
      <c r="B1122" s="192"/>
    </row>
    <row r="1123" spans="2:2" x14ac:dyDescent="0.25">
      <c r="B1123" s="192"/>
    </row>
    <row r="1124" spans="2:2" x14ac:dyDescent="0.25">
      <c r="B1124" s="192"/>
    </row>
    <row r="1125" spans="2:2" x14ac:dyDescent="0.25">
      <c r="B1125" s="192"/>
    </row>
    <row r="1126" spans="2:2" x14ac:dyDescent="0.25">
      <c r="B1126" s="192"/>
    </row>
    <row r="1127" spans="2:2" x14ac:dyDescent="0.25">
      <c r="B1127" s="192"/>
    </row>
    <row r="1128" spans="2:2" x14ac:dyDescent="0.25">
      <c r="B1128" s="192"/>
    </row>
    <row r="1129" spans="2:2" x14ac:dyDescent="0.25">
      <c r="B1129" s="192"/>
    </row>
    <row r="1130" spans="2:2" x14ac:dyDescent="0.25">
      <c r="B1130" s="192"/>
    </row>
    <row r="1131" spans="2:2" x14ac:dyDescent="0.25">
      <c r="B1131" s="192"/>
    </row>
    <row r="1132" spans="2:2" x14ac:dyDescent="0.25">
      <c r="B1132" s="192"/>
    </row>
    <row r="1133" spans="2:2" x14ac:dyDescent="0.25">
      <c r="B1133" s="192"/>
    </row>
    <row r="1134" spans="2:2" x14ac:dyDescent="0.25">
      <c r="B1134" s="192"/>
    </row>
    <row r="1135" spans="2:2" x14ac:dyDescent="0.25">
      <c r="B1135" s="192"/>
    </row>
    <row r="1136" spans="2:2" x14ac:dyDescent="0.25">
      <c r="B1136" s="192"/>
    </row>
    <row r="1137" spans="2:2" x14ac:dyDescent="0.25">
      <c r="B1137" s="192"/>
    </row>
    <row r="1138" spans="2:2" x14ac:dyDescent="0.25">
      <c r="B1138" s="192"/>
    </row>
    <row r="1139" spans="2:2" x14ac:dyDescent="0.25">
      <c r="B1139" s="192"/>
    </row>
    <row r="1140" spans="2:2" x14ac:dyDescent="0.25">
      <c r="B1140" s="192"/>
    </row>
    <row r="1141" spans="2:2" x14ac:dyDescent="0.25">
      <c r="B1141" s="192"/>
    </row>
    <row r="1142" spans="2:2" x14ac:dyDescent="0.25">
      <c r="B1142" s="192"/>
    </row>
    <row r="1143" spans="2:2" x14ac:dyDescent="0.25">
      <c r="B1143" s="192"/>
    </row>
    <row r="1144" spans="2:2" x14ac:dyDescent="0.25">
      <c r="B1144" s="192"/>
    </row>
    <row r="1145" spans="2:2" x14ac:dyDescent="0.25">
      <c r="B1145" s="192"/>
    </row>
    <row r="1146" spans="2:2" x14ac:dyDescent="0.25">
      <c r="B1146" s="192"/>
    </row>
    <row r="1147" spans="2:2" x14ac:dyDescent="0.25">
      <c r="B1147" s="192"/>
    </row>
    <row r="1148" spans="2:2" x14ac:dyDescent="0.25">
      <c r="B1148" s="192"/>
    </row>
    <row r="1149" spans="2:2" x14ac:dyDescent="0.25">
      <c r="B1149" s="192"/>
    </row>
    <row r="1150" spans="2:2" x14ac:dyDescent="0.25">
      <c r="B1150" s="192"/>
    </row>
    <row r="1151" spans="2:2" x14ac:dyDescent="0.25">
      <c r="B1151" s="192"/>
    </row>
    <row r="1152" spans="2:2" x14ac:dyDescent="0.25">
      <c r="B1152" s="192"/>
    </row>
    <row r="1153" spans="2:2" x14ac:dyDescent="0.25">
      <c r="B1153" s="192"/>
    </row>
    <row r="1154" spans="2:2" x14ac:dyDescent="0.25">
      <c r="B1154" s="192"/>
    </row>
    <row r="1155" spans="2:2" x14ac:dyDescent="0.25">
      <c r="B1155" s="192"/>
    </row>
    <row r="1156" spans="2:2" x14ac:dyDescent="0.25">
      <c r="B1156" s="192"/>
    </row>
    <row r="1157" spans="2:2" x14ac:dyDescent="0.25">
      <c r="B1157" s="192"/>
    </row>
    <row r="1158" spans="2:2" x14ac:dyDescent="0.25">
      <c r="B1158" s="192"/>
    </row>
    <row r="1159" spans="2:2" x14ac:dyDescent="0.25">
      <c r="B1159" s="192"/>
    </row>
    <row r="1160" spans="2:2" x14ac:dyDescent="0.25">
      <c r="B1160" s="192"/>
    </row>
    <row r="1161" spans="2:2" x14ac:dyDescent="0.25">
      <c r="B1161" s="192"/>
    </row>
    <row r="1162" spans="2:2" x14ac:dyDescent="0.25">
      <c r="B1162" s="192"/>
    </row>
    <row r="1163" spans="2:2" x14ac:dyDescent="0.25">
      <c r="B1163" s="192"/>
    </row>
    <row r="1164" spans="2:2" x14ac:dyDescent="0.25">
      <c r="B1164" s="192"/>
    </row>
    <row r="1165" spans="2:2" x14ac:dyDescent="0.25">
      <c r="B1165" s="192"/>
    </row>
    <row r="1166" spans="2:2" x14ac:dyDescent="0.25">
      <c r="B1166" s="192"/>
    </row>
    <row r="1167" spans="2:2" x14ac:dyDescent="0.25">
      <c r="B1167" s="192"/>
    </row>
    <row r="1168" spans="2:2" x14ac:dyDescent="0.25">
      <c r="B1168" s="192"/>
    </row>
    <row r="1169" spans="2:2" x14ac:dyDescent="0.25">
      <c r="B1169" s="192"/>
    </row>
    <row r="1170" spans="2:2" x14ac:dyDescent="0.25">
      <c r="B1170" s="192"/>
    </row>
    <row r="1171" spans="2:2" x14ac:dyDescent="0.25">
      <c r="B1171" s="192"/>
    </row>
    <row r="1172" spans="2:2" x14ac:dyDescent="0.25">
      <c r="B1172" s="192"/>
    </row>
    <row r="1173" spans="2:2" x14ac:dyDescent="0.25">
      <c r="B1173" s="192"/>
    </row>
    <row r="1174" spans="2:2" x14ac:dyDescent="0.25">
      <c r="B1174" s="192"/>
    </row>
    <row r="1175" spans="2:2" x14ac:dyDescent="0.25">
      <c r="B1175" s="192"/>
    </row>
    <row r="1176" spans="2:2" x14ac:dyDescent="0.25">
      <c r="B1176" s="192"/>
    </row>
    <row r="1177" spans="2:2" x14ac:dyDescent="0.25">
      <c r="B1177" s="192"/>
    </row>
    <row r="1178" spans="2:2" x14ac:dyDescent="0.25">
      <c r="B1178" s="192"/>
    </row>
    <row r="1179" spans="2:2" x14ac:dyDescent="0.25">
      <c r="B1179" s="192"/>
    </row>
    <row r="1180" spans="2:2" x14ac:dyDescent="0.25">
      <c r="B1180" s="192"/>
    </row>
    <row r="1181" spans="2:2" x14ac:dyDescent="0.25">
      <c r="B1181" s="192"/>
    </row>
    <row r="1182" spans="2:2" x14ac:dyDescent="0.25">
      <c r="B1182" s="192"/>
    </row>
    <row r="1183" spans="2:2" x14ac:dyDescent="0.25">
      <c r="B1183" s="192"/>
    </row>
    <row r="1184" spans="2:2" x14ac:dyDescent="0.25">
      <c r="B1184" s="192"/>
    </row>
    <row r="1185" spans="2:2" x14ac:dyDescent="0.25">
      <c r="B1185" s="192"/>
    </row>
    <row r="1186" spans="2:2" x14ac:dyDescent="0.25">
      <c r="B1186" s="192"/>
    </row>
    <row r="1187" spans="2:2" x14ac:dyDescent="0.25">
      <c r="B1187" s="192"/>
    </row>
    <row r="1188" spans="2:2" x14ac:dyDescent="0.25">
      <c r="B1188" s="192"/>
    </row>
    <row r="1189" spans="2:2" x14ac:dyDescent="0.25">
      <c r="B1189" s="192"/>
    </row>
    <row r="1190" spans="2:2" x14ac:dyDescent="0.25">
      <c r="B1190" s="192"/>
    </row>
    <row r="1191" spans="2:2" x14ac:dyDescent="0.25">
      <c r="B1191" s="192"/>
    </row>
    <row r="1192" spans="2:2" x14ac:dyDescent="0.25">
      <c r="B1192" s="192"/>
    </row>
    <row r="1193" spans="2:2" x14ac:dyDescent="0.25">
      <c r="B1193" s="192"/>
    </row>
    <row r="1194" spans="2:2" x14ac:dyDescent="0.25">
      <c r="B1194" s="192"/>
    </row>
    <row r="1195" spans="2:2" x14ac:dyDescent="0.25">
      <c r="B1195" s="192"/>
    </row>
    <row r="1196" spans="2:2" x14ac:dyDescent="0.25">
      <c r="B1196" s="192"/>
    </row>
    <row r="1197" spans="2:2" x14ac:dyDescent="0.25">
      <c r="B1197" s="192"/>
    </row>
    <row r="1198" spans="2:2" x14ac:dyDescent="0.25">
      <c r="B1198" s="192"/>
    </row>
    <row r="1199" spans="2:2" x14ac:dyDescent="0.25">
      <c r="B1199" s="192"/>
    </row>
    <row r="1200" spans="2:2" x14ac:dyDescent="0.25">
      <c r="B1200" s="192"/>
    </row>
    <row r="1201" spans="2:2" x14ac:dyDescent="0.25">
      <c r="B1201" s="192"/>
    </row>
    <row r="1202" spans="2:2" x14ac:dyDescent="0.25">
      <c r="B1202" s="192"/>
    </row>
    <row r="1203" spans="2:2" x14ac:dyDescent="0.25">
      <c r="B1203" s="192"/>
    </row>
    <row r="1204" spans="2:2" x14ac:dyDescent="0.25">
      <c r="B1204" s="192"/>
    </row>
    <row r="1205" spans="2:2" x14ac:dyDescent="0.25">
      <c r="B1205" s="192"/>
    </row>
    <row r="1206" spans="2:2" x14ac:dyDescent="0.25">
      <c r="B1206" s="192"/>
    </row>
    <row r="1207" spans="2:2" x14ac:dyDescent="0.25">
      <c r="B1207" s="192"/>
    </row>
    <row r="1208" spans="2:2" x14ac:dyDescent="0.25">
      <c r="B1208" s="192"/>
    </row>
    <row r="1209" spans="2:2" x14ac:dyDescent="0.25">
      <c r="B1209" s="192"/>
    </row>
    <row r="1210" spans="2:2" x14ac:dyDescent="0.25">
      <c r="B1210" s="192"/>
    </row>
    <row r="1211" spans="2:2" x14ac:dyDescent="0.25">
      <c r="B1211" s="192"/>
    </row>
    <row r="1212" spans="2:2" x14ac:dyDescent="0.25">
      <c r="B1212" s="192"/>
    </row>
    <row r="1213" spans="2:2" x14ac:dyDescent="0.25">
      <c r="B1213" s="192"/>
    </row>
    <row r="1214" spans="2:2" x14ac:dyDescent="0.25">
      <c r="B1214" s="192"/>
    </row>
    <row r="1215" spans="2:2" x14ac:dyDescent="0.25">
      <c r="B1215" s="192"/>
    </row>
    <row r="1216" spans="2:2" x14ac:dyDescent="0.25">
      <c r="B1216" s="192"/>
    </row>
    <row r="1217" spans="2:2" x14ac:dyDescent="0.25">
      <c r="B1217" s="192"/>
    </row>
    <row r="1218" spans="2:2" x14ac:dyDescent="0.25">
      <c r="B1218" s="192"/>
    </row>
    <row r="1219" spans="2:2" x14ac:dyDescent="0.25">
      <c r="B1219" s="192"/>
    </row>
    <row r="1220" spans="2:2" x14ac:dyDescent="0.25">
      <c r="B1220" s="192"/>
    </row>
    <row r="1221" spans="2:2" x14ac:dyDescent="0.25">
      <c r="B1221" s="192"/>
    </row>
    <row r="1222" spans="2:2" x14ac:dyDescent="0.25">
      <c r="B1222" s="192"/>
    </row>
    <row r="1223" spans="2:2" x14ac:dyDescent="0.25">
      <c r="B1223" s="192"/>
    </row>
    <row r="1224" spans="2:2" x14ac:dyDescent="0.25">
      <c r="B1224" s="192"/>
    </row>
    <row r="1225" spans="2:2" x14ac:dyDescent="0.25">
      <c r="B1225" s="192"/>
    </row>
    <row r="1226" spans="2:2" x14ac:dyDescent="0.25">
      <c r="B1226" s="192"/>
    </row>
    <row r="1227" spans="2:2" x14ac:dyDescent="0.25">
      <c r="B1227" s="192"/>
    </row>
    <row r="1228" spans="2:2" x14ac:dyDescent="0.25">
      <c r="B1228" s="192"/>
    </row>
    <row r="1229" spans="2:2" x14ac:dyDescent="0.25">
      <c r="B1229" s="192"/>
    </row>
    <row r="1230" spans="2:2" x14ac:dyDescent="0.25">
      <c r="B1230" s="192"/>
    </row>
    <row r="1231" spans="2:2" x14ac:dyDescent="0.25">
      <c r="B1231" s="192"/>
    </row>
    <row r="1232" spans="2:2" x14ac:dyDescent="0.25">
      <c r="B1232" s="192"/>
    </row>
    <row r="1233" spans="2:2" x14ac:dyDescent="0.25">
      <c r="B1233" s="192"/>
    </row>
    <row r="1234" spans="2:2" x14ac:dyDescent="0.25">
      <c r="B1234" s="192"/>
    </row>
    <row r="1235" spans="2:2" x14ac:dyDescent="0.25">
      <c r="B1235" s="192"/>
    </row>
    <row r="1236" spans="2:2" x14ac:dyDescent="0.25">
      <c r="B1236" s="192"/>
    </row>
    <row r="1237" spans="2:2" x14ac:dyDescent="0.25">
      <c r="B1237" s="192"/>
    </row>
    <row r="1238" spans="2:2" x14ac:dyDescent="0.25">
      <c r="B1238" s="192"/>
    </row>
    <row r="1239" spans="2:2" x14ac:dyDescent="0.25">
      <c r="B1239" s="192"/>
    </row>
    <row r="1240" spans="2:2" x14ac:dyDescent="0.25">
      <c r="B1240" s="192"/>
    </row>
    <row r="1241" spans="2:2" x14ac:dyDescent="0.25">
      <c r="B1241" s="192"/>
    </row>
    <row r="1242" spans="2:2" x14ac:dyDescent="0.25">
      <c r="B1242" s="192"/>
    </row>
    <row r="1243" spans="2:2" x14ac:dyDescent="0.25">
      <c r="B1243" s="192"/>
    </row>
    <row r="1244" spans="2:2" x14ac:dyDescent="0.25">
      <c r="B1244" s="192"/>
    </row>
    <row r="1245" spans="2:2" x14ac:dyDescent="0.25">
      <c r="B1245" s="192"/>
    </row>
    <row r="1246" spans="2:2" x14ac:dyDescent="0.25">
      <c r="B1246" s="192"/>
    </row>
    <row r="1247" spans="2:2" x14ac:dyDescent="0.25">
      <c r="B1247" s="192"/>
    </row>
    <row r="1248" spans="2:2" x14ac:dyDescent="0.25">
      <c r="B1248" s="192"/>
    </row>
    <row r="1249" spans="2:2" x14ac:dyDescent="0.25">
      <c r="B1249" s="192"/>
    </row>
    <row r="1250" spans="2:2" x14ac:dyDescent="0.25">
      <c r="B1250" s="192"/>
    </row>
    <row r="1251" spans="2:2" x14ac:dyDescent="0.25">
      <c r="B1251" s="192"/>
    </row>
    <row r="1252" spans="2:2" x14ac:dyDescent="0.25">
      <c r="B1252" s="192"/>
    </row>
    <row r="1253" spans="2:2" x14ac:dyDescent="0.25">
      <c r="B1253" s="192"/>
    </row>
    <row r="1254" spans="2:2" x14ac:dyDescent="0.25">
      <c r="B1254" s="192"/>
    </row>
    <row r="1255" spans="2:2" x14ac:dyDescent="0.25">
      <c r="B1255" s="192"/>
    </row>
    <row r="1256" spans="2:2" x14ac:dyDescent="0.25">
      <c r="B1256" s="192"/>
    </row>
    <row r="1257" spans="2:2" x14ac:dyDescent="0.25">
      <c r="B1257" s="192"/>
    </row>
    <row r="1258" spans="2:2" x14ac:dyDescent="0.25">
      <c r="B1258" s="192"/>
    </row>
    <row r="1259" spans="2:2" x14ac:dyDescent="0.25">
      <c r="B1259" s="192"/>
    </row>
    <row r="1260" spans="2:2" x14ac:dyDescent="0.25">
      <c r="B1260" s="192"/>
    </row>
    <row r="1261" spans="2:2" x14ac:dyDescent="0.25">
      <c r="B1261" s="192"/>
    </row>
    <row r="1262" spans="2:2" x14ac:dyDescent="0.25">
      <c r="B1262" s="192"/>
    </row>
    <row r="1263" spans="2:2" x14ac:dyDescent="0.25">
      <c r="B1263" s="192"/>
    </row>
    <row r="1264" spans="2:2" x14ac:dyDescent="0.25">
      <c r="B1264" s="192"/>
    </row>
    <row r="1265" spans="2:2" x14ac:dyDescent="0.25">
      <c r="B1265" s="192"/>
    </row>
    <row r="1266" spans="2:2" x14ac:dyDescent="0.25">
      <c r="B1266" s="192"/>
    </row>
    <row r="1267" spans="2:2" x14ac:dyDescent="0.25">
      <c r="B1267" s="192"/>
    </row>
    <row r="1268" spans="2:2" x14ac:dyDescent="0.25">
      <c r="B1268" s="192"/>
    </row>
    <row r="1269" spans="2:2" x14ac:dyDescent="0.25">
      <c r="B1269" s="192"/>
    </row>
    <row r="1270" spans="2:2" x14ac:dyDescent="0.25">
      <c r="B1270" s="192"/>
    </row>
    <row r="1271" spans="2:2" x14ac:dyDescent="0.25">
      <c r="B1271" s="192"/>
    </row>
    <row r="1272" spans="2:2" x14ac:dyDescent="0.25">
      <c r="B1272" s="192"/>
    </row>
    <row r="1273" spans="2:2" x14ac:dyDescent="0.25">
      <c r="B1273" s="192"/>
    </row>
    <row r="1274" spans="2:2" x14ac:dyDescent="0.25">
      <c r="B1274" s="192"/>
    </row>
    <row r="1275" spans="2:2" x14ac:dyDescent="0.25">
      <c r="B1275" s="192"/>
    </row>
    <row r="1276" spans="2:2" x14ac:dyDescent="0.25">
      <c r="B1276" s="192"/>
    </row>
    <row r="1277" spans="2:2" x14ac:dyDescent="0.25">
      <c r="B1277" s="192"/>
    </row>
    <row r="1278" spans="2:2" x14ac:dyDescent="0.25">
      <c r="B1278" s="192"/>
    </row>
    <row r="1279" spans="2:2" x14ac:dyDescent="0.25">
      <c r="B1279" s="192"/>
    </row>
    <row r="1280" spans="2:2" x14ac:dyDescent="0.25">
      <c r="B1280" s="192"/>
    </row>
    <row r="1281" spans="2:2" x14ac:dyDescent="0.25">
      <c r="B1281" s="192"/>
    </row>
    <row r="1282" spans="2:2" x14ac:dyDescent="0.25">
      <c r="B1282" s="192"/>
    </row>
    <row r="1283" spans="2:2" x14ac:dyDescent="0.25">
      <c r="B1283" s="192"/>
    </row>
    <row r="1284" spans="2:2" x14ac:dyDescent="0.25">
      <c r="B1284" s="192"/>
    </row>
    <row r="1285" spans="2:2" x14ac:dyDescent="0.25">
      <c r="B1285" s="192"/>
    </row>
    <row r="1286" spans="2:2" x14ac:dyDescent="0.25">
      <c r="B1286" s="192"/>
    </row>
    <row r="1287" spans="2:2" x14ac:dyDescent="0.25">
      <c r="B1287" s="192"/>
    </row>
    <row r="1288" spans="2:2" x14ac:dyDescent="0.25">
      <c r="B1288" s="192"/>
    </row>
    <row r="1289" spans="2:2" x14ac:dyDescent="0.25">
      <c r="B1289" s="192"/>
    </row>
    <row r="1290" spans="2:2" x14ac:dyDescent="0.25">
      <c r="B1290" s="192"/>
    </row>
    <row r="1291" spans="2:2" x14ac:dyDescent="0.25">
      <c r="B1291" s="192"/>
    </row>
    <row r="1292" spans="2:2" x14ac:dyDescent="0.25">
      <c r="B1292" s="192"/>
    </row>
    <row r="1293" spans="2:2" x14ac:dyDescent="0.25">
      <c r="B1293" s="192"/>
    </row>
    <row r="1294" spans="2:2" x14ac:dyDescent="0.25">
      <c r="B1294" s="192"/>
    </row>
    <row r="1295" spans="2:2" x14ac:dyDescent="0.25">
      <c r="B1295" s="192"/>
    </row>
    <row r="1296" spans="2:2" x14ac:dyDescent="0.25">
      <c r="B1296" s="192"/>
    </row>
    <row r="1297" spans="2:2" x14ac:dyDescent="0.25">
      <c r="B1297" s="192"/>
    </row>
    <row r="1298" spans="2:2" x14ac:dyDescent="0.25">
      <c r="B1298" s="192"/>
    </row>
    <row r="1299" spans="2:2" x14ac:dyDescent="0.25">
      <c r="B1299" s="192"/>
    </row>
    <row r="1300" spans="2:2" x14ac:dyDescent="0.25">
      <c r="B1300" s="192"/>
    </row>
    <row r="1301" spans="2:2" x14ac:dyDescent="0.25">
      <c r="B1301" s="192"/>
    </row>
    <row r="1302" spans="2:2" x14ac:dyDescent="0.25">
      <c r="B1302" s="192"/>
    </row>
    <row r="1303" spans="2:2" x14ac:dyDescent="0.25">
      <c r="B1303" s="192"/>
    </row>
    <row r="1304" spans="2:2" x14ac:dyDescent="0.25">
      <c r="B1304" s="192"/>
    </row>
    <row r="1305" spans="2:2" x14ac:dyDescent="0.25">
      <c r="B1305" s="192"/>
    </row>
    <row r="1306" spans="2:2" x14ac:dyDescent="0.25">
      <c r="B1306" s="192"/>
    </row>
    <row r="1307" spans="2:2" x14ac:dyDescent="0.25">
      <c r="B1307" s="192"/>
    </row>
    <row r="1308" spans="2:2" x14ac:dyDescent="0.25">
      <c r="B1308" s="192"/>
    </row>
    <row r="1309" spans="2:2" x14ac:dyDescent="0.25">
      <c r="B1309" s="192"/>
    </row>
    <row r="1310" spans="2:2" x14ac:dyDescent="0.25">
      <c r="B1310" s="192"/>
    </row>
    <row r="1311" spans="2:2" x14ac:dyDescent="0.25">
      <c r="B1311" s="192"/>
    </row>
    <row r="1312" spans="2:2" x14ac:dyDescent="0.25">
      <c r="B1312" s="192"/>
    </row>
    <row r="1313" spans="2:2" x14ac:dyDescent="0.25">
      <c r="B1313" s="192"/>
    </row>
    <row r="1314" spans="2:2" x14ac:dyDescent="0.25">
      <c r="B1314" s="192"/>
    </row>
    <row r="1315" spans="2:2" x14ac:dyDescent="0.25">
      <c r="B1315" s="192"/>
    </row>
    <row r="1316" spans="2:2" x14ac:dyDescent="0.25">
      <c r="B1316" s="192"/>
    </row>
    <row r="1317" spans="2:2" x14ac:dyDescent="0.25">
      <c r="B1317" s="192"/>
    </row>
    <row r="1318" spans="2:2" x14ac:dyDescent="0.25">
      <c r="B1318" s="192"/>
    </row>
    <row r="1319" spans="2:2" x14ac:dyDescent="0.25">
      <c r="B1319" s="192"/>
    </row>
    <row r="1320" spans="2:2" x14ac:dyDescent="0.25">
      <c r="B1320" s="192"/>
    </row>
    <row r="1321" spans="2:2" x14ac:dyDescent="0.25">
      <c r="B1321" s="192"/>
    </row>
    <row r="1322" spans="2:2" x14ac:dyDescent="0.25">
      <c r="B1322" s="192"/>
    </row>
    <row r="1323" spans="2:2" x14ac:dyDescent="0.25">
      <c r="B1323" s="192"/>
    </row>
    <row r="1324" spans="2:2" x14ac:dyDescent="0.25">
      <c r="B1324" s="192"/>
    </row>
    <row r="1325" spans="2:2" x14ac:dyDescent="0.25">
      <c r="B1325" s="192"/>
    </row>
    <row r="1326" spans="2:2" x14ac:dyDescent="0.25">
      <c r="B1326" s="192"/>
    </row>
    <row r="1327" spans="2:2" x14ac:dyDescent="0.25">
      <c r="B1327" s="192"/>
    </row>
    <row r="1328" spans="2:2" x14ac:dyDescent="0.25">
      <c r="B1328" s="192"/>
    </row>
    <row r="1329" spans="2:2" x14ac:dyDescent="0.25">
      <c r="B1329" s="192"/>
    </row>
    <row r="1330" spans="2:2" x14ac:dyDescent="0.25">
      <c r="B1330" s="192"/>
    </row>
    <row r="1331" spans="2:2" x14ac:dyDescent="0.25">
      <c r="B1331" s="192"/>
    </row>
    <row r="1332" spans="2:2" x14ac:dyDescent="0.25">
      <c r="B1332" s="192"/>
    </row>
    <row r="1333" spans="2:2" x14ac:dyDescent="0.25">
      <c r="B1333" s="192"/>
    </row>
    <row r="1334" spans="2:2" x14ac:dyDescent="0.25">
      <c r="B1334" s="192"/>
    </row>
    <row r="1335" spans="2:2" x14ac:dyDescent="0.25">
      <c r="B1335" s="192"/>
    </row>
    <row r="1336" spans="2:2" x14ac:dyDescent="0.25">
      <c r="B1336" s="192"/>
    </row>
    <row r="1337" spans="2:2" x14ac:dyDescent="0.25">
      <c r="B1337" s="192"/>
    </row>
    <row r="1338" spans="2:2" x14ac:dyDescent="0.25">
      <c r="B1338" s="192"/>
    </row>
    <row r="1339" spans="2:2" x14ac:dyDescent="0.25">
      <c r="B1339" s="192"/>
    </row>
    <row r="1340" spans="2:2" x14ac:dyDescent="0.25">
      <c r="B1340" s="192"/>
    </row>
    <row r="1341" spans="2:2" x14ac:dyDescent="0.25">
      <c r="B1341" s="192"/>
    </row>
    <row r="1342" spans="2:2" x14ac:dyDescent="0.25">
      <c r="B1342" s="192"/>
    </row>
    <row r="1343" spans="2:2" x14ac:dyDescent="0.25">
      <c r="B1343" s="192"/>
    </row>
    <row r="1344" spans="2:2" x14ac:dyDescent="0.25">
      <c r="B1344" s="192"/>
    </row>
    <row r="1345" spans="2:2" x14ac:dyDescent="0.25">
      <c r="B1345" s="192"/>
    </row>
    <row r="1346" spans="2:2" x14ac:dyDescent="0.25">
      <c r="B1346" s="192"/>
    </row>
    <row r="1347" spans="2:2" x14ac:dyDescent="0.25">
      <c r="B1347" s="192"/>
    </row>
    <row r="1348" spans="2:2" x14ac:dyDescent="0.25">
      <c r="B1348" s="192"/>
    </row>
    <row r="1349" spans="2:2" x14ac:dyDescent="0.25">
      <c r="B1349" s="192"/>
    </row>
    <row r="1350" spans="2:2" x14ac:dyDescent="0.25">
      <c r="B1350" s="192"/>
    </row>
    <row r="1351" spans="2:2" x14ac:dyDescent="0.25">
      <c r="B1351" s="192"/>
    </row>
    <row r="1352" spans="2:2" x14ac:dyDescent="0.25">
      <c r="B1352" s="192"/>
    </row>
    <row r="1353" spans="2:2" x14ac:dyDescent="0.25">
      <c r="B1353" s="192"/>
    </row>
    <row r="1354" spans="2:2" x14ac:dyDescent="0.25">
      <c r="B1354" s="192"/>
    </row>
    <row r="1355" spans="2:2" x14ac:dyDescent="0.25">
      <c r="B1355" s="192"/>
    </row>
    <row r="1356" spans="2:2" x14ac:dyDescent="0.25">
      <c r="B1356" s="192"/>
    </row>
    <row r="1357" spans="2:2" x14ac:dyDescent="0.25">
      <c r="B1357" s="192"/>
    </row>
    <row r="1358" spans="2:2" x14ac:dyDescent="0.25">
      <c r="B1358" s="192"/>
    </row>
    <row r="1359" spans="2:2" x14ac:dyDescent="0.25">
      <c r="B1359" s="192"/>
    </row>
    <row r="1360" spans="2:2" x14ac:dyDescent="0.25">
      <c r="B1360" s="192"/>
    </row>
    <row r="1361" spans="2:2" x14ac:dyDescent="0.25">
      <c r="B1361" s="192"/>
    </row>
    <row r="1362" spans="2:2" x14ac:dyDescent="0.25">
      <c r="B1362" s="192"/>
    </row>
    <row r="1363" spans="2:2" x14ac:dyDescent="0.25">
      <c r="B1363" s="192"/>
    </row>
    <row r="1364" spans="2:2" x14ac:dyDescent="0.25">
      <c r="B1364" s="192"/>
    </row>
    <row r="1365" spans="2:2" x14ac:dyDescent="0.25">
      <c r="B1365" s="192"/>
    </row>
    <row r="1366" spans="2:2" x14ac:dyDescent="0.25">
      <c r="B1366" s="192"/>
    </row>
    <row r="1367" spans="2:2" x14ac:dyDescent="0.25">
      <c r="B1367" s="192"/>
    </row>
    <row r="1368" spans="2:2" x14ac:dyDescent="0.25">
      <c r="B1368" s="192"/>
    </row>
    <row r="1369" spans="2:2" x14ac:dyDescent="0.25">
      <c r="B1369" s="192"/>
    </row>
    <row r="1370" spans="2:2" x14ac:dyDescent="0.25">
      <c r="B1370" s="192"/>
    </row>
    <row r="1371" spans="2:2" x14ac:dyDescent="0.25">
      <c r="B1371" s="192"/>
    </row>
    <row r="1372" spans="2:2" x14ac:dyDescent="0.25">
      <c r="B1372" s="192"/>
    </row>
    <row r="1373" spans="2:2" x14ac:dyDescent="0.25">
      <c r="B1373" s="192"/>
    </row>
    <row r="1374" spans="2:2" x14ac:dyDescent="0.25">
      <c r="B1374" s="192"/>
    </row>
    <row r="1375" spans="2:2" x14ac:dyDescent="0.25">
      <c r="B1375" s="192"/>
    </row>
    <row r="1376" spans="2:2" x14ac:dyDescent="0.25">
      <c r="B1376" s="192"/>
    </row>
    <row r="1377" spans="2:2" x14ac:dyDescent="0.25">
      <c r="B1377" s="192"/>
    </row>
    <row r="1378" spans="2:2" x14ac:dyDescent="0.25">
      <c r="B1378" s="192"/>
    </row>
    <row r="1379" spans="2:2" x14ac:dyDescent="0.25">
      <c r="B1379" s="192"/>
    </row>
    <row r="1380" spans="2:2" x14ac:dyDescent="0.25">
      <c r="B1380" s="192"/>
    </row>
    <row r="1381" spans="2:2" x14ac:dyDescent="0.25">
      <c r="B1381" s="192"/>
    </row>
    <row r="1382" spans="2:2" x14ac:dyDescent="0.25">
      <c r="B1382" s="192"/>
    </row>
    <row r="1383" spans="2:2" x14ac:dyDescent="0.25">
      <c r="B1383" s="192"/>
    </row>
    <row r="1384" spans="2:2" x14ac:dyDescent="0.25">
      <c r="B1384" s="192"/>
    </row>
    <row r="1385" spans="2:2" x14ac:dyDescent="0.25">
      <c r="B1385" s="192"/>
    </row>
    <row r="1386" spans="2:2" x14ac:dyDescent="0.25">
      <c r="B1386" s="192"/>
    </row>
    <row r="1387" spans="2:2" x14ac:dyDescent="0.25">
      <c r="B1387" s="192"/>
    </row>
    <row r="1388" spans="2:2" x14ac:dyDescent="0.25">
      <c r="B1388" s="192"/>
    </row>
    <row r="1389" spans="2:2" x14ac:dyDescent="0.25">
      <c r="B1389" s="192"/>
    </row>
    <row r="1390" spans="2:2" x14ac:dyDescent="0.25">
      <c r="B1390" s="192"/>
    </row>
    <row r="1391" spans="2:2" x14ac:dyDescent="0.25">
      <c r="B1391" s="192"/>
    </row>
    <row r="1392" spans="2:2" x14ac:dyDescent="0.25">
      <c r="B1392" s="192"/>
    </row>
    <row r="1393" spans="2:2" x14ac:dyDescent="0.25">
      <c r="B1393" s="192"/>
    </row>
    <row r="1394" spans="2:2" x14ac:dyDescent="0.25">
      <c r="B1394" s="192"/>
    </row>
    <row r="1395" spans="2:2" x14ac:dyDescent="0.25">
      <c r="B1395" s="192"/>
    </row>
    <row r="1396" spans="2:2" x14ac:dyDescent="0.25">
      <c r="B1396" s="192"/>
    </row>
    <row r="1397" spans="2:2" x14ac:dyDescent="0.25">
      <c r="B1397" s="192"/>
    </row>
    <row r="1398" spans="2:2" x14ac:dyDescent="0.25">
      <c r="B1398" s="192"/>
    </row>
    <row r="1399" spans="2:2" x14ac:dyDescent="0.25">
      <c r="B1399" s="192"/>
    </row>
    <row r="1400" spans="2:2" x14ac:dyDescent="0.25">
      <c r="B1400" s="192"/>
    </row>
    <row r="1401" spans="2:2" x14ac:dyDescent="0.25">
      <c r="B1401" s="192"/>
    </row>
    <row r="1402" spans="2:2" x14ac:dyDescent="0.25">
      <c r="B1402" s="192"/>
    </row>
    <row r="1403" spans="2:2" x14ac:dyDescent="0.25">
      <c r="B1403" s="192"/>
    </row>
    <row r="1404" spans="2:2" x14ac:dyDescent="0.25">
      <c r="B1404" s="192"/>
    </row>
    <row r="1405" spans="2:2" x14ac:dyDescent="0.25">
      <c r="B1405" s="192"/>
    </row>
    <row r="1406" spans="2:2" x14ac:dyDescent="0.25">
      <c r="B1406" s="192"/>
    </row>
    <row r="1407" spans="2:2" x14ac:dyDescent="0.25">
      <c r="B1407" s="192"/>
    </row>
    <row r="1408" spans="2:2" x14ac:dyDescent="0.25">
      <c r="B1408" s="192"/>
    </row>
    <row r="1409" spans="2:2" x14ac:dyDescent="0.25">
      <c r="B1409" s="192"/>
    </row>
    <row r="1410" spans="2:2" x14ac:dyDescent="0.25">
      <c r="B1410" s="192"/>
    </row>
    <row r="1411" spans="2:2" x14ac:dyDescent="0.25">
      <c r="B1411" s="192"/>
    </row>
    <row r="1412" spans="2:2" x14ac:dyDescent="0.25">
      <c r="B1412" s="192"/>
    </row>
    <row r="1413" spans="2:2" x14ac:dyDescent="0.25">
      <c r="B1413" s="192"/>
    </row>
    <row r="1414" spans="2:2" x14ac:dyDescent="0.25">
      <c r="B1414" s="192"/>
    </row>
    <row r="1415" spans="2:2" x14ac:dyDescent="0.25">
      <c r="B1415" s="192"/>
    </row>
    <row r="1416" spans="2:2" x14ac:dyDescent="0.25">
      <c r="B1416" s="192"/>
    </row>
    <row r="1417" spans="2:2" x14ac:dyDescent="0.25">
      <c r="B1417" s="192"/>
    </row>
    <row r="1418" spans="2:2" x14ac:dyDescent="0.25">
      <c r="B1418" s="192"/>
    </row>
    <row r="1419" spans="2:2" x14ac:dyDescent="0.25">
      <c r="B1419" s="192"/>
    </row>
    <row r="1420" spans="2:2" x14ac:dyDescent="0.25">
      <c r="B1420" s="192"/>
    </row>
    <row r="1421" spans="2:2" x14ac:dyDescent="0.25">
      <c r="B1421" s="192"/>
    </row>
    <row r="1422" spans="2:2" x14ac:dyDescent="0.25">
      <c r="B1422" s="192"/>
    </row>
    <row r="1423" spans="2:2" x14ac:dyDescent="0.25">
      <c r="B1423" s="192"/>
    </row>
    <row r="1424" spans="2:2" x14ac:dyDescent="0.25">
      <c r="B1424" s="192"/>
    </row>
    <row r="1425" spans="2:2" x14ac:dyDescent="0.25">
      <c r="B1425" s="192"/>
    </row>
    <row r="1426" spans="2:2" x14ac:dyDescent="0.25">
      <c r="B1426" s="192"/>
    </row>
    <row r="1427" spans="2:2" x14ac:dyDescent="0.25">
      <c r="B1427" s="192"/>
    </row>
    <row r="1428" spans="2:2" x14ac:dyDescent="0.25">
      <c r="B1428" s="192"/>
    </row>
    <row r="1429" spans="2:2" x14ac:dyDescent="0.25">
      <c r="B1429" s="192"/>
    </row>
    <row r="1430" spans="2:2" x14ac:dyDescent="0.25">
      <c r="B1430" s="192"/>
    </row>
    <row r="1431" spans="2:2" x14ac:dyDescent="0.25">
      <c r="B1431" s="192"/>
    </row>
    <row r="1432" spans="2:2" x14ac:dyDescent="0.25">
      <c r="B1432" s="192"/>
    </row>
    <row r="1433" spans="2:2" x14ac:dyDescent="0.25">
      <c r="B1433" s="192"/>
    </row>
    <row r="1434" spans="2:2" x14ac:dyDescent="0.25">
      <c r="B1434" s="192"/>
    </row>
    <row r="1435" spans="2:2" x14ac:dyDescent="0.25">
      <c r="B1435" s="192"/>
    </row>
    <row r="1436" spans="2:2" x14ac:dyDescent="0.25">
      <c r="B1436" s="192"/>
    </row>
    <row r="1437" spans="2:2" x14ac:dyDescent="0.25">
      <c r="B1437" s="192"/>
    </row>
    <row r="1438" spans="2:2" x14ac:dyDescent="0.25">
      <c r="B1438" s="192"/>
    </row>
    <row r="1439" spans="2:2" x14ac:dyDescent="0.25">
      <c r="B1439" s="192"/>
    </row>
    <row r="1440" spans="2:2" x14ac:dyDescent="0.25">
      <c r="B1440" s="192"/>
    </row>
    <row r="1441" spans="2:2" x14ac:dyDescent="0.25">
      <c r="B1441" s="192"/>
    </row>
    <row r="1442" spans="2:2" x14ac:dyDescent="0.25">
      <c r="B1442" s="192"/>
    </row>
    <row r="1443" spans="2:2" x14ac:dyDescent="0.25">
      <c r="B1443" s="192"/>
    </row>
    <row r="1444" spans="2:2" x14ac:dyDescent="0.25">
      <c r="B1444" s="192"/>
    </row>
    <row r="1445" spans="2:2" x14ac:dyDescent="0.25">
      <c r="B1445" s="192"/>
    </row>
    <row r="1446" spans="2:2" x14ac:dyDescent="0.25">
      <c r="B1446" s="192"/>
    </row>
    <row r="1447" spans="2:2" x14ac:dyDescent="0.25">
      <c r="B1447" s="192"/>
    </row>
    <row r="1448" spans="2:2" x14ac:dyDescent="0.25">
      <c r="B1448" s="192"/>
    </row>
    <row r="1449" spans="2:2" x14ac:dyDescent="0.25">
      <c r="B1449" s="192"/>
    </row>
    <row r="1450" spans="2:2" x14ac:dyDescent="0.25">
      <c r="B1450" s="192"/>
    </row>
    <row r="1451" spans="2:2" x14ac:dyDescent="0.25">
      <c r="B1451" s="192"/>
    </row>
    <row r="1452" spans="2:2" x14ac:dyDescent="0.25">
      <c r="B1452" s="192"/>
    </row>
    <row r="1453" spans="2:2" x14ac:dyDescent="0.25">
      <c r="B1453" s="192"/>
    </row>
    <row r="1454" spans="2:2" x14ac:dyDescent="0.25">
      <c r="B1454" s="192"/>
    </row>
    <row r="1455" spans="2:2" x14ac:dyDescent="0.25">
      <c r="B1455" s="192"/>
    </row>
    <row r="1456" spans="2:2" x14ac:dyDescent="0.25">
      <c r="B1456" s="192"/>
    </row>
    <row r="1457" spans="2:2" x14ac:dyDescent="0.25">
      <c r="B1457" s="192"/>
    </row>
    <row r="1458" spans="2:2" x14ac:dyDescent="0.25">
      <c r="B1458" s="192"/>
    </row>
    <row r="1459" spans="2:2" x14ac:dyDescent="0.25">
      <c r="B1459" s="192"/>
    </row>
    <row r="1460" spans="2:2" x14ac:dyDescent="0.25">
      <c r="B1460" s="192"/>
    </row>
    <row r="1461" spans="2:2" x14ac:dyDescent="0.25">
      <c r="B1461" s="192"/>
    </row>
    <row r="1462" spans="2:2" x14ac:dyDescent="0.25">
      <c r="B1462" s="192"/>
    </row>
    <row r="1463" spans="2:2" x14ac:dyDescent="0.25">
      <c r="B1463" s="192"/>
    </row>
    <row r="1464" spans="2:2" x14ac:dyDescent="0.25">
      <c r="B1464" s="192"/>
    </row>
    <row r="1465" spans="2:2" x14ac:dyDescent="0.25">
      <c r="B1465" s="192"/>
    </row>
    <row r="1466" spans="2:2" x14ac:dyDescent="0.25">
      <c r="B1466" s="192"/>
    </row>
    <row r="1467" spans="2:2" x14ac:dyDescent="0.25">
      <c r="B1467" s="192"/>
    </row>
    <row r="1468" spans="2:2" x14ac:dyDescent="0.25">
      <c r="B1468" s="192"/>
    </row>
    <row r="1469" spans="2:2" x14ac:dyDescent="0.25">
      <c r="B1469" s="192"/>
    </row>
    <row r="1470" spans="2:2" x14ac:dyDescent="0.25">
      <c r="B1470" s="192"/>
    </row>
    <row r="1471" spans="2:2" x14ac:dyDescent="0.25">
      <c r="B1471" s="192"/>
    </row>
    <row r="1472" spans="2:2" x14ac:dyDescent="0.25">
      <c r="B1472" s="192"/>
    </row>
    <row r="1473" spans="2:2" x14ac:dyDescent="0.25">
      <c r="B1473" s="192"/>
    </row>
    <row r="1474" spans="2:2" x14ac:dyDescent="0.25">
      <c r="B1474" s="192"/>
    </row>
    <row r="1475" spans="2:2" x14ac:dyDescent="0.25">
      <c r="B1475" s="192"/>
    </row>
    <row r="1476" spans="2:2" x14ac:dyDescent="0.25">
      <c r="B1476" s="192"/>
    </row>
    <row r="1477" spans="2:2" x14ac:dyDescent="0.25">
      <c r="B1477" s="192"/>
    </row>
    <row r="1478" spans="2:2" x14ac:dyDescent="0.25">
      <c r="B1478" s="192"/>
    </row>
    <row r="1479" spans="2:2" x14ac:dyDescent="0.25">
      <c r="B1479" s="192"/>
    </row>
    <row r="1480" spans="2:2" x14ac:dyDescent="0.25">
      <c r="B1480" s="192"/>
    </row>
    <row r="1481" spans="2:2" x14ac:dyDescent="0.25">
      <c r="B1481" s="192"/>
    </row>
    <row r="1482" spans="2:2" x14ac:dyDescent="0.25">
      <c r="B1482" s="192"/>
    </row>
    <row r="1483" spans="2:2" x14ac:dyDescent="0.25">
      <c r="B1483" s="192"/>
    </row>
    <row r="1484" spans="2:2" x14ac:dyDescent="0.25">
      <c r="B1484" s="192"/>
    </row>
    <row r="1485" spans="2:2" x14ac:dyDescent="0.25">
      <c r="B1485" s="192"/>
    </row>
    <row r="1486" spans="2:2" x14ac:dyDescent="0.25">
      <c r="B1486" s="192"/>
    </row>
    <row r="1487" spans="2:2" x14ac:dyDescent="0.25">
      <c r="B1487" s="192"/>
    </row>
    <row r="1488" spans="2:2" x14ac:dyDescent="0.25">
      <c r="B1488" s="192"/>
    </row>
    <row r="1489" spans="2:2" x14ac:dyDescent="0.25">
      <c r="B1489" s="192"/>
    </row>
    <row r="1490" spans="2:2" x14ac:dyDescent="0.25">
      <c r="B1490" s="192"/>
    </row>
    <row r="1491" spans="2:2" x14ac:dyDescent="0.25">
      <c r="B1491" s="192"/>
    </row>
    <row r="1492" spans="2:2" x14ac:dyDescent="0.25">
      <c r="B1492" s="192"/>
    </row>
    <row r="1493" spans="2:2" x14ac:dyDescent="0.25">
      <c r="B1493" s="192"/>
    </row>
    <row r="1494" spans="2:2" x14ac:dyDescent="0.25">
      <c r="B1494" s="192"/>
    </row>
    <row r="1495" spans="2:2" x14ac:dyDescent="0.25">
      <c r="B1495" s="192"/>
    </row>
    <row r="1496" spans="2:2" x14ac:dyDescent="0.25">
      <c r="B1496" s="192"/>
    </row>
    <row r="1497" spans="2:2" x14ac:dyDescent="0.25">
      <c r="B1497" s="192"/>
    </row>
    <row r="1498" spans="2:2" x14ac:dyDescent="0.25">
      <c r="B1498" s="192"/>
    </row>
    <row r="1499" spans="2:2" x14ac:dyDescent="0.25">
      <c r="B1499" s="192"/>
    </row>
    <row r="1500" spans="2:2" x14ac:dyDescent="0.25">
      <c r="B1500" s="192"/>
    </row>
    <row r="1501" spans="2:2" x14ac:dyDescent="0.25">
      <c r="B1501" s="192"/>
    </row>
    <row r="1502" spans="2:2" x14ac:dyDescent="0.25">
      <c r="B1502" s="192"/>
    </row>
    <row r="1503" spans="2:2" x14ac:dyDescent="0.25">
      <c r="B1503" s="192"/>
    </row>
    <row r="1504" spans="2:2" x14ac:dyDescent="0.25">
      <c r="B1504" s="192"/>
    </row>
    <row r="1505" spans="2:2" x14ac:dyDescent="0.25">
      <c r="B1505" s="192"/>
    </row>
    <row r="1506" spans="2:2" x14ac:dyDescent="0.25">
      <c r="B1506" s="192"/>
    </row>
    <row r="1507" spans="2:2" x14ac:dyDescent="0.25">
      <c r="B1507" s="192"/>
    </row>
    <row r="1508" spans="2:2" x14ac:dyDescent="0.25">
      <c r="B1508" s="192"/>
    </row>
    <row r="1509" spans="2:2" x14ac:dyDescent="0.25">
      <c r="B1509" s="192"/>
    </row>
    <row r="1510" spans="2:2" x14ac:dyDescent="0.25">
      <c r="B1510" s="192"/>
    </row>
    <row r="1511" spans="2:2" x14ac:dyDescent="0.25">
      <c r="B1511" s="192"/>
    </row>
    <row r="1512" spans="2:2" x14ac:dyDescent="0.25">
      <c r="B1512" s="192"/>
    </row>
    <row r="1513" spans="2:2" x14ac:dyDescent="0.25">
      <c r="B1513" s="192"/>
    </row>
    <row r="1514" spans="2:2" x14ac:dyDescent="0.25">
      <c r="B1514" s="192"/>
    </row>
    <row r="1515" spans="2:2" x14ac:dyDescent="0.25">
      <c r="B1515" s="192"/>
    </row>
    <row r="1516" spans="2:2" x14ac:dyDescent="0.25">
      <c r="B1516" s="192"/>
    </row>
    <row r="1517" spans="2:2" x14ac:dyDescent="0.25">
      <c r="B1517" s="192"/>
    </row>
    <row r="1518" spans="2:2" x14ac:dyDescent="0.25">
      <c r="B1518" s="192"/>
    </row>
    <row r="1519" spans="2:2" x14ac:dyDescent="0.25">
      <c r="B1519" s="192"/>
    </row>
    <row r="1520" spans="2:2" x14ac:dyDescent="0.25">
      <c r="B1520" s="192"/>
    </row>
    <row r="1521" spans="2:2" x14ac:dyDescent="0.25">
      <c r="B1521" s="192"/>
    </row>
    <row r="1522" spans="2:2" x14ac:dyDescent="0.25">
      <c r="B1522" s="192"/>
    </row>
    <row r="1523" spans="2:2" x14ac:dyDescent="0.25">
      <c r="B1523" s="192"/>
    </row>
    <row r="1524" spans="2:2" x14ac:dyDescent="0.25">
      <c r="B1524" s="192"/>
    </row>
    <row r="1525" spans="2:2" x14ac:dyDescent="0.25">
      <c r="B1525" s="192"/>
    </row>
    <row r="1526" spans="2:2" x14ac:dyDescent="0.25">
      <c r="B1526" s="192"/>
    </row>
    <row r="1527" spans="2:2" x14ac:dyDescent="0.25">
      <c r="B1527" s="192"/>
    </row>
    <row r="1528" spans="2:2" x14ac:dyDescent="0.25">
      <c r="B1528" s="192"/>
    </row>
    <row r="1529" spans="2:2" x14ac:dyDescent="0.25">
      <c r="B1529" s="192"/>
    </row>
    <row r="1530" spans="2:2" x14ac:dyDescent="0.25">
      <c r="B1530" s="192"/>
    </row>
    <row r="1531" spans="2:2" x14ac:dyDescent="0.25">
      <c r="B1531" s="192"/>
    </row>
    <row r="1532" spans="2:2" x14ac:dyDescent="0.25">
      <c r="B1532" s="192"/>
    </row>
    <row r="1533" spans="2:2" x14ac:dyDescent="0.25">
      <c r="B1533" s="192"/>
    </row>
    <row r="1534" spans="2:2" x14ac:dyDescent="0.25">
      <c r="B1534" s="192"/>
    </row>
    <row r="1535" spans="2:2" x14ac:dyDescent="0.25">
      <c r="B1535" s="192"/>
    </row>
    <row r="1536" spans="2:2" x14ac:dyDescent="0.25">
      <c r="B1536" s="192"/>
    </row>
    <row r="1537" spans="2:2" x14ac:dyDescent="0.25">
      <c r="B1537" s="192"/>
    </row>
    <row r="1538" spans="2:2" x14ac:dyDescent="0.25">
      <c r="B1538" s="192"/>
    </row>
    <row r="1539" spans="2:2" x14ac:dyDescent="0.25">
      <c r="B1539" s="192"/>
    </row>
    <row r="1540" spans="2:2" x14ac:dyDescent="0.25">
      <c r="B1540" s="192"/>
    </row>
    <row r="1541" spans="2:2" x14ac:dyDescent="0.25">
      <c r="B1541" s="192"/>
    </row>
    <row r="1542" spans="2:2" x14ac:dyDescent="0.25">
      <c r="B1542" s="192"/>
    </row>
    <row r="1543" spans="2:2" x14ac:dyDescent="0.25">
      <c r="B1543" s="192"/>
    </row>
    <row r="1544" spans="2:2" x14ac:dyDescent="0.25">
      <c r="B1544" s="192"/>
    </row>
    <row r="1545" spans="2:2" x14ac:dyDescent="0.25">
      <c r="B1545" s="192"/>
    </row>
    <row r="1546" spans="2:2" x14ac:dyDescent="0.25">
      <c r="B1546" s="192"/>
    </row>
    <row r="1547" spans="2:2" x14ac:dyDescent="0.25">
      <c r="B1547" s="192"/>
    </row>
    <row r="1548" spans="2:2" x14ac:dyDescent="0.25">
      <c r="B1548" s="192"/>
    </row>
    <row r="1549" spans="2:2" x14ac:dyDescent="0.25">
      <c r="B1549" s="192"/>
    </row>
    <row r="1550" spans="2:2" x14ac:dyDescent="0.25">
      <c r="B1550" s="192"/>
    </row>
    <row r="1551" spans="2:2" x14ac:dyDescent="0.25">
      <c r="B1551" s="192"/>
    </row>
    <row r="1552" spans="2:2" x14ac:dyDescent="0.25">
      <c r="B1552" s="192"/>
    </row>
    <row r="1553" spans="2:2" x14ac:dyDescent="0.25">
      <c r="B1553" s="192"/>
    </row>
    <row r="1554" spans="2:2" x14ac:dyDescent="0.25">
      <c r="B1554" s="192"/>
    </row>
    <row r="1555" spans="2:2" x14ac:dyDescent="0.25">
      <c r="B1555" s="192"/>
    </row>
    <row r="1556" spans="2:2" x14ac:dyDescent="0.25">
      <c r="B1556" s="192"/>
    </row>
    <row r="1557" spans="2:2" x14ac:dyDescent="0.25">
      <c r="B1557" s="192"/>
    </row>
    <row r="1558" spans="2:2" x14ac:dyDescent="0.25">
      <c r="B1558" s="192"/>
    </row>
    <row r="1559" spans="2:2" x14ac:dyDescent="0.25">
      <c r="B1559" s="192"/>
    </row>
    <row r="1560" spans="2:2" x14ac:dyDescent="0.25">
      <c r="B1560" s="192"/>
    </row>
    <row r="1561" spans="2:2" x14ac:dyDescent="0.25">
      <c r="B1561" s="192"/>
    </row>
    <row r="1562" spans="2:2" x14ac:dyDescent="0.25">
      <c r="B1562" s="192"/>
    </row>
    <row r="1563" spans="2:2" x14ac:dyDescent="0.25">
      <c r="B1563" s="192"/>
    </row>
    <row r="1564" spans="2:2" x14ac:dyDescent="0.25">
      <c r="B1564" s="192"/>
    </row>
    <row r="1565" spans="2:2" x14ac:dyDescent="0.25">
      <c r="B1565" s="192"/>
    </row>
    <row r="1566" spans="2:2" x14ac:dyDescent="0.25">
      <c r="B1566" s="192"/>
    </row>
    <row r="1567" spans="2:2" x14ac:dyDescent="0.25">
      <c r="B1567" s="192"/>
    </row>
    <row r="1568" spans="2:2" x14ac:dyDescent="0.25">
      <c r="B1568" s="192"/>
    </row>
    <row r="1569" spans="2:2" x14ac:dyDescent="0.25">
      <c r="B1569" s="192"/>
    </row>
    <row r="1570" spans="2:2" x14ac:dyDescent="0.25">
      <c r="B1570" s="192"/>
    </row>
    <row r="1571" spans="2:2" x14ac:dyDescent="0.25">
      <c r="B1571" s="192"/>
    </row>
    <row r="1572" spans="2:2" x14ac:dyDescent="0.25">
      <c r="B1572" s="192"/>
    </row>
    <row r="1573" spans="2:2" x14ac:dyDescent="0.25">
      <c r="B1573" s="192"/>
    </row>
    <row r="1574" spans="2:2" x14ac:dyDescent="0.25">
      <c r="B1574" s="192"/>
    </row>
    <row r="1575" spans="2:2" x14ac:dyDescent="0.25">
      <c r="B1575" s="192"/>
    </row>
    <row r="1576" spans="2:2" x14ac:dyDescent="0.25">
      <c r="B1576" s="192"/>
    </row>
    <row r="1577" spans="2:2" x14ac:dyDescent="0.25">
      <c r="B1577" s="192"/>
    </row>
    <row r="1578" spans="2:2" x14ac:dyDescent="0.25">
      <c r="B1578" s="192"/>
    </row>
    <row r="1579" spans="2:2" x14ac:dyDescent="0.25">
      <c r="B1579" s="192"/>
    </row>
    <row r="1580" spans="2:2" x14ac:dyDescent="0.25">
      <c r="B1580" s="192"/>
    </row>
    <row r="1581" spans="2:2" x14ac:dyDescent="0.25">
      <c r="B1581" s="192"/>
    </row>
    <row r="1582" spans="2:2" x14ac:dyDescent="0.25">
      <c r="B1582" s="192"/>
    </row>
    <row r="1583" spans="2:2" x14ac:dyDescent="0.25">
      <c r="B1583" s="192"/>
    </row>
    <row r="1584" spans="2:2" x14ac:dyDescent="0.25">
      <c r="B1584" s="192"/>
    </row>
    <row r="1585" spans="2:2" x14ac:dyDescent="0.25">
      <c r="B1585" s="192"/>
    </row>
    <row r="1586" spans="2:2" x14ac:dyDescent="0.25">
      <c r="B1586" s="192"/>
    </row>
    <row r="1587" spans="2:2" x14ac:dyDescent="0.25">
      <c r="B1587" s="192"/>
    </row>
    <row r="1588" spans="2:2" x14ac:dyDescent="0.25">
      <c r="B1588" s="192"/>
    </row>
    <row r="1589" spans="2:2" x14ac:dyDescent="0.25">
      <c r="B1589" s="192"/>
    </row>
    <row r="1590" spans="2:2" x14ac:dyDescent="0.25">
      <c r="B1590" s="192"/>
    </row>
    <row r="1591" spans="2:2" x14ac:dyDescent="0.25">
      <c r="B1591" s="192"/>
    </row>
    <row r="1592" spans="2:2" x14ac:dyDescent="0.25">
      <c r="B1592" s="192"/>
    </row>
    <row r="1593" spans="2:2" x14ac:dyDescent="0.25">
      <c r="B1593" s="192"/>
    </row>
    <row r="1594" spans="2:2" x14ac:dyDescent="0.25">
      <c r="B1594" s="192"/>
    </row>
    <row r="1595" spans="2:2" x14ac:dyDescent="0.25">
      <c r="B1595" s="192"/>
    </row>
    <row r="1596" spans="2:2" x14ac:dyDescent="0.25">
      <c r="B1596" s="192"/>
    </row>
    <row r="1597" spans="2:2" x14ac:dyDescent="0.25">
      <c r="B1597" s="192"/>
    </row>
    <row r="1598" spans="2:2" x14ac:dyDescent="0.25">
      <c r="B1598" s="192"/>
    </row>
    <row r="1599" spans="2:2" x14ac:dyDescent="0.25">
      <c r="B1599" s="192"/>
    </row>
    <row r="1600" spans="2:2" x14ac:dyDescent="0.25">
      <c r="B1600" s="192"/>
    </row>
    <row r="1601" spans="2:2" x14ac:dyDescent="0.25">
      <c r="B1601" s="192"/>
    </row>
    <row r="1602" spans="2:2" x14ac:dyDescent="0.25">
      <c r="B1602" s="192"/>
    </row>
    <row r="1603" spans="2:2" x14ac:dyDescent="0.25">
      <c r="B1603" s="192"/>
    </row>
    <row r="1604" spans="2:2" x14ac:dyDescent="0.25">
      <c r="B1604" s="192"/>
    </row>
    <row r="1605" spans="2:2" x14ac:dyDescent="0.25">
      <c r="B1605" s="192"/>
    </row>
    <row r="1606" spans="2:2" x14ac:dyDescent="0.25">
      <c r="B1606" s="192"/>
    </row>
    <row r="1607" spans="2:2" x14ac:dyDescent="0.25">
      <c r="B1607" s="192"/>
    </row>
    <row r="1608" spans="2:2" x14ac:dyDescent="0.25">
      <c r="B1608" s="192"/>
    </row>
    <row r="1609" spans="2:2" x14ac:dyDescent="0.25">
      <c r="B1609" s="192"/>
    </row>
    <row r="1610" spans="2:2" x14ac:dyDescent="0.25">
      <c r="B1610" s="192"/>
    </row>
    <row r="1611" spans="2:2" x14ac:dyDescent="0.25">
      <c r="B1611" s="192"/>
    </row>
    <row r="1612" spans="2:2" x14ac:dyDescent="0.25">
      <c r="B1612" s="192"/>
    </row>
    <row r="1613" spans="2:2" x14ac:dyDescent="0.25">
      <c r="B1613" s="192"/>
    </row>
    <row r="1614" spans="2:2" x14ac:dyDescent="0.25">
      <c r="B1614" s="192"/>
    </row>
    <row r="1615" spans="2:2" x14ac:dyDescent="0.25">
      <c r="B1615" s="192"/>
    </row>
    <row r="1616" spans="2:2" x14ac:dyDescent="0.25">
      <c r="B1616" s="192"/>
    </row>
    <row r="1617" spans="2:2" x14ac:dyDescent="0.25">
      <c r="B1617" s="192"/>
    </row>
    <row r="1618" spans="2:2" x14ac:dyDescent="0.25">
      <c r="B1618" s="192"/>
    </row>
    <row r="1619" spans="2:2" x14ac:dyDescent="0.25">
      <c r="B1619" s="192"/>
    </row>
    <row r="1620" spans="2:2" x14ac:dyDescent="0.25">
      <c r="B1620" s="192"/>
    </row>
    <row r="1621" spans="2:2" x14ac:dyDescent="0.25">
      <c r="B1621" s="192"/>
    </row>
    <row r="1622" spans="2:2" x14ac:dyDescent="0.25">
      <c r="B1622" s="192"/>
    </row>
    <row r="1623" spans="2:2" x14ac:dyDescent="0.25">
      <c r="B1623" s="192"/>
    </row>
    <row r="1624" spans="2:2" x14ac:dyDescent="0.25">
      <c r="B1624" s="192"/>
    </row>
    <row r="1625" spans="2:2" x14ac:dyDescent="0.25">
      <c r="B1625" s="192"/>
    </row>
    <row r="1626" spans="2:2" x14ac:dyDescent="0.25">
      <c r="B1626" s="192"/>
    </row>
    <row r="1627" spans="2:2" x14ac:dyDescent="0.25">
      <c r="B1627" s="192"/>
    </row>
    <row r="1628" spans="2:2" x14ac:dyDescent="0.25">
      <c r="B1628" s="192"/>
    </row>
    <row r="1629" spans="2:2" x14ac:dyDescent="0.25">
      <c r="B1629" s="192"/>
    </row>
    <row r="1630" spans="2:2" x14ac:dyDescent="0.25">
      <c r="B1630" s="192"/>
    </row>
    <row r="1631" spans="2:2" x14ac:dyDescent="0.25">
      <c r="B1631" s="192"/>
    </row>
    <row r="1632" spans="2:2" x14ac:dyDescent="0.25">
      <c r="B1632" s="192"/>
    </row>
    <row r="1633" spans="2:2" x14ac:dyDescent="0.25">
      <c r="B1633" s="192"/>
    </row>
    <row r="1634" spans="2:2" x14ac:dyDescent="0.25">
      <c r="B1634" s="192"/>
    </row>
    <row r="1635" spans="2:2" x14ac:dyDescent="0.25">
      <c r="B1635" s="192"/>
    </row>
    <row r="1636" spans="2:2" x14ac:dyDescent="0.25">
      <c r="B1636" s="192"/>
    </row>
    <row r="1637" spans="2:2" x14ac:dyDescent="0.25">
      <c r="B1637" s="192"/>
    </row>
    <row r="1638" spans="2:2" x14ac:dyDescent="0.25">
      <c r="B1638" s="192"/>
    </row>
    <row r="1639" spans="2:2" x14ac:dyDescent="0.25">
      <c r="B1639" s="192"/>
    </row>
    <row r="1640" spans="2:2" x14ac:dyDescent="0.25">
      <c r="B1640" s="192"/>
    </row>
    <row r="1641" spans="2:2" x14ac:dyDescent="0.25">
      <c r="B1641" s="192"/>
    </row>
    <row r="1642" spans="2:2" x14ac:dyDescent="0.25">
      <c r="B1642" s="192"/>
    </row>
    <row r="1643" spans="2:2" x14ac:dyDescent="0.25">
      <c r="B1643" s="192"/>
    </row>
    <row r="1644" spans="2:2" x14ac:dyDescent="0.25">
      <c r="B1644" s="192"/>
    </row>
    <row r="1645" spans="2:2" x14ac:dyDescent="0.25">
      <c r="B1645" s="192"/>
    </row>
    <row r="1646" spans="2:2" x14ac:dyDescent="0.25">
      <c r="B1646" s="192"/>
    </row>
    <row r="1647" spans="2:2" x14ac:dyDescent="0.25">
      <c r="B1647" s="192"/>
    </row>
    <row r="1648" spans="2:2" x14ac:dyDescent="0.25">
      <c r="B1648" s="192"/>
    </row>
    <row r="1649" spans="2:2" x14ac:dyDescent="0.25">
      <c r="B1649" s="192"/>
    </row>
    <row r="1650" spans="2:2" x14ac:dyDescent="0.25">
      <c r="B1650" s="192"/>
    </row>
    <row r="1651" spans="2:2" x14ac:dyDescent="0.25">
      <c r="B1651" s="192"/>
    </row>
    <row r="1652" spans="2:2" x14ac:dyDescent="0.25">
      <c r="B1652" s="192"/>
    </row>
    <row r="1653" spans="2:2" x14ac:dyDescent="0.25">
      <c r="B1653" s="192"/>
    </row>
    <row r="1654" spans="2:2" x14ac:dyDescent="0.25">
      <c r="B1654" s="192"/>
    </row>
    <row r="1655" spans="2:2" x14ac:dyDescent="0.25">
      <c r="B1655" s="192"/>
    </row>
    <row r="1656" spans="2:2" x14ac:dyDescent="0.25">
      <c r="B1656" s="192"/>
    </row>
    <row r="1657" spans="2:2" x14ac:dyDescent="0.25">
      <c r="B1657" s="192"/>
    </row>
    <row r="1658" spans="2:2" x14ac:dyDescent="0.25">
      <c r="B1658" s="192"/>
    </row>
    <row r="1659" spans="2:2" x14ac:dyDescent="0.25">
      <c r="B1659" s="192"/>
    </row>
    <row r="1660" spans="2:2" x14ac:dyDescent="0.25">
      <c r="B1660" s="192"/>
    </row>
    <row r="1661" spans="2:2" x14ac:dyDescent="0.25">
      <c r="B1661" s="192"/>
    </row>
    <row r="1662" spans="2:2" x14ac:dyDescent="0.25">
      <c r="B1662" s="192"/>
    </row>
    <row r="1663" spans="2:2" x14ac:dyDescent="0.25">
      <c r="B1663" s="192"/>
    </row>
    <row r="1664" spans="2:2" x14ac:dyDescent="0.25">
      <c r="B1664" s="192"/>
    </row>
    <row r="1665" spans="2:2" x14ac:dyDescent="0.25">
      <c r="B1665" s="192"/>
    </row>
    <row r="1666" spans="2:2" x14ac:dyDescent="0.25">
      <c r="B1666" s="192"/>
    </row>
    <row r="1667" spans="2:2" x14ac:dyDescent="0.25">
      <c r="B1667" s="192"/>
    </row>
    <row r="1668" spans="2:2" x14ac:dyDescent="0.25">
      <c r="B1668" s="192"/>
    </row>
    <row r="1669" spans="2:2" x14ac:dyDescent="0.25">
      <c r="B1669" s="192"/>
    </row>
    <row r="1670" spans="2:2" x14ac:dyDescent="0.25">
      <c r="B1670" s="192"/>
    </row>
    <row r="1671" spans="2:2" x14ac:dyDescent="0.25">
      <c r="B1671" s="192"/>
    </row>
    <row r="1672" spans="2:2" x14ac:dyDescent="0.25">
      <c r="B1672" s="192"/>
    </row>
    <row r="1673" spans="2:2" x14ac:dyDescent="0.25">
      <c r="B1673" s="192"/>
    </row>
    <row r="1674" spans="2:2" x14ac:dyDescent="0.25">
      <c r="B1674" s="192"/>
    </row>
    <row r="1675" spans="2:2" x14ac:dyDescent="0.25">
      <c r="B1675" s="192"/>
    </row>
    <row r="1676" spans="2:2" x14ac:dyDescent="0.25">
      <c r="B1676" s="192"/>
    </row>
    <row r="1677" spans="2:2" x14ac:dyDescent="0.25">
      <c r="B1677" s="192"/>
    </row>
    <row r="1678" spans="2:2" x14ac:dyDescent="0.25">
      <c r="B1678" s="192"/>
    </row>
    <row r="1679" spans="2:2" x14ac:dyDescent="0.25">
      <c r="B1679" s="192"/>
    </row>
    <row r="1680" spans="2:2" x14ac:dyDescent="0.25">
      <c r="B1680" s="192"/>
    </row>
    <row r="1681" spans="2:2" x14ac:dyDescent="0.25">
      <c r="B1681" s="192"/>
    </row>
    <row r="1682" spans="2:2" x14ac:dyDescent="0.25">
      <c r="B1682" s="192"/>
    </row>
    <row r="1683" spans="2:2" x14ac:dyDescent="0.25">
      <c r="B1683" s="192"/>
    </row>
    <row r="1684" spans="2:2" x14ac:dyDescent="0.25">
      <c r="B1684" s="192"/>
    </row>
    <row r="1685" spans="2:2" x14ac:dyDescent="0.25">
      <c r="B1685" s="192"/>
    </row>
    <row r="1686" spans="2:2" x14ac:dyDescent="0.25">
      <c r="B1686" s="192"/>
    </row>
    <row r="1687" spans="2:2" x14ac:dyDescent="0.25">
      <c r="B1687" s="192"/>
    </row>
    <row r="1688" spans="2:2" x14ac:dyDescent="0.25">
      <c r="B1688" s="192"/>
    </row>
    <row r="1689" spans="2:2" x14ac:dyDescent="0.25">
      <c r="B1689" s="192"/>
    </row>
    <row r="1690" spans="2:2" x14ac:dyDescent="0.25">
      <c r="B1690" s="192"/>
    </row>
    <row r="1691" spans="2:2" x14ac:dyDescent="0.25">
      <c r="B1691" s="192"/>
    </row>
    <row r="1692" spans="2:2" x14ac:dyDescent="0.25">
      <c r="B1692" s="192"/>
    </row>
    <row r="1693" spans="2:2" x14ac:dyDescent="0.25">
      <c r="B1693" s="192"/>
    </row>
    <row r="1694" spans="2:2" x14ac:dyDescent="0.25">
      <c r="B1694" s="192"/>
    </row>
    <row r="1695" spans="2:2" x14ac:dyDescent="0.25">
      <c r="B1695" s="192"/>
    </row>
    <row r="1696" spans="2:2" x14ac:dyDescent="0.25">
      <c r="B1696" s="192"/>
    </row>
    <row r="1697" spans="2:2" x14ac:dyDescent="0.25">
      <c r="B1697" s="192"/>
    </row>
    <row r="1698" spans="2:2" x14ac:dyDescent="0.25">
      <c r="B1698" s="192"/>
    </row>
    <row r="1699" spans="2:2" x14ac:dyDescent="0.25">
      <c r="B1699" s="192"/>
    </row>
    <row r="1700" spans="2:2" x14ac:dyDescent="0.25">
      <c r="B1700" s="192"/>
    </row>
    <row r="1701" spans="2:2" x14ac:dyDescent="0.25">
      <c r="B1701" s="192"/>
    </row>
    <row r="1702" spans="2:2" x14ac:dyDescent="0.25">
      <c r="B1702" s="192"/>
    </row>
    <row r="1703" spans="2:2" x14ac:dyDescent="0.25">
      <c r="B1703" s="192"/>
    </row>
    <row r="1704" spans="2:2" x14ac:dyDescent="0.25">
      <c r="B1704" s="192"/>
    </row>
    <row r="1705" spans="2:2" x14ac:dyDescent="0.25">
      <c r="B1705" s="192"/>
    </row>
    <row r="1706" spans="2:2" x14ac:dyDescent="0.25">
      <c r="B1706" s="192"/>
    </row>
    <row r="1707" spans="2:2" x14ac:dyDescent="0.25">
      <c r="B1707" s="192"/>
    </row>
    <row r="1708" spans="2:2" x14ac:dyDescent="0.25">
      <c r="B1708" s="192"/>
    </row>
    <row r="1709" spans="2:2" x14ac:dyDescent="0.25">
      <c r="B1709" s="192"/>
    </row>
    <row r="1710" spans="2:2" x14ac:dyDescent="0.25">
      <c r="B1710" s="192"/>
    </row>
    <row r="1711" spans="2:2" x14ac:dyDescent="0.25">
      <c r="B1711" s="192"/>
    </row>
    <row r="1712" spans="2:2" x14ac:dyDescent="0.25">
      <c r="B1712" s="192"/>
    </row>
    <row r="1713" spans="2:2" x14ac:dyDescent="0.25">
      <c r="B1713" s="192"/>
    </row>
    <row r="1714" spans="2:2" x14ac:dyDescent="0.25">
      <c r="B1714" s="192"/>
    </row>
    <row r="1715" spans="2:2" x14ac:dyDescent="0.25">
      <c r="B1715" s="192"/>
    </row>
    <row r="1716" spans="2:2" x14ac:dyDescent="0.25">
      <c r="B1716" s="192"/>
    </row>
    <row r="1717" spans="2:2" x14ac:dyDescent="0.25">
      <c r="B1717" s="192"/>
    </row>
    <row r="1718" spans="2:2" x14ac:dyDescent="0.25">
      <c r="B1718" s="192"/>
    </row>
    <row r="1719" spans="2:2" x14ac:dyDescent="0.25">
      <c r="B1719" s="192"/>
    </row>
    <row r="1720" spans="2:2" x14ac:dyDescent="0.25">
      <c r="B1720" s="192"/>
    </row>
    <row r="1721" spans="2:2" x14ac:dyDescent="0.25">
      <c r="B1721" s="192"/>
    </row>
    <row r="1722" spans="2:2" x14ac:dyDescent="0.25">
      <c r="B1722" s="192"/>
    </row>
    <row r="1723" spans="2:2" x14ac:dyDescent="0.25">
      <c r="B1723" s="192"/>
    </row>
    <row r="1724" spans="2:2" x14ac:dyDescent="0.25">
      <c r="B1724" s="192"/>
    </row>
    <row r="1725" spans="2:2" x14ac:dyDescent="0.25">
      <c r="B1725" s="192"/>
    </row>
    <row r="1726" spans="2:2" x14ac:dyDescent="0.25">
      <c r="B1726" s="192"/>
    </row>
    <row r="1727" spans="2:2" x14ac:dyDescent="0.25">
      <c r="B1727" s="192"/>
    </row>
    <row r="1728" spans="2:2" x14ac:dyDescent="0.25">
      <c r="B1728" s="192"/>
    </row>
    <row r="1729" spans="2:2" x14ac:dyDescent="0.25">
      <c r="B1729" s="192"/>
    </row>
    <row r="1730" spans="2:2" x14ac:dyDescent="0.25">
      <c r="B1730" s="192"/>
    </row>
    <row r="1731" spans="2:2" x14ac:dyDescent="0.25">
      <c r="B1731" s="192"/>
    </row>
    <row r="1732" spans="2:2" x14ac:dyDescent="0.25">
      <c r="B1732" s="192"/>
    </row>
    <row r="1733" spans="2:2" x14ac:dyDescent="0.25">
      <c r="B1733" s="192"/>
    </row>
    <row r="1734" spans="2:2" x14ac:dyDescent="0.25">
      <c r="B1734" s="192"/>
    </row>
    <row r="1735" spans="2:2" x14ac:dyDescent="0.25">
      <c r="B1735" s="192"/>
    </row>
    <row r="1736" spans="2:2" x14ac:dyDescent="0.25">
      <c r="B1736" s="192"/>
    </row>
    <row r="1737" spans="2:2" x14ac:dyDescent="0.25">
      <c r="B1737" s="192"/>
    </row>
    <row r="1738" spans="2:2" x14ac:dyDescent="0.25">
      <c r="B1738" s="192"/>
    </row>
    <row r="1739" spans="2:2" x14ac:dyDescent="0.25">
      <c r="B1739" s="192"/>
    </row>
    <row r="1740" spans="2:2" x14ac:dyDescent="0.25">
      <c r="B1740" s="192"/>
    </row>
    <row r="1741" spans="2:2" x14ac:dyDescent="0.25">
      <c r="B1741" s="192"/>
    </row>
    <row r="1742" spans="2:2" x14ac:dyDescent="0.25">
      <c r="B1742" s="192"/>
    </row>
    <row r="1743" spans="2:2" x14ac:dyDescent="0.25">
      <c r="B1743" s="192"/>
    </row>
    <row r="1744" spans="2:2" x14ac:dyDescent="0.25">
      <c r="B1744" s="192"/>
    </row>
    <row r="1745" spans="2:2" x14ac:dyDescent="0.25">
      <c r="B1745" s="192"/>
    </row>
    <row r="1746" spans="2:2" x14ac:dyDescent="0.25">
      <c r="B1746" s="192"/>
    </row>
    <row r="1747" spans="2:2" x14ac:dyDescent="0.25">
      <c r="B1747" s="192"/>
    </row>
    <row r="1748" spans="2:2" x14ac:dyDescent="0.25">
      <c r="B1748" s="192"/>
    </row>
    <row r="1749" spans="2:2" x14ac:dyDescent="0.25">
      <c r="B1749" s="192"/>
    </row>
    <row r="1750" spans="2:2" x14ac:dyDescent="0.25">
      <c r="B1750" s="192"/>
    </row>
    <row r="1751" spans="2:2" x14ac:dyDescent="0.25">
      <c r="B1751" s="192"/>
    </row>
    <row r="1752" spans="2:2" x14ac:dyDescent="0.25">
      <c r="B1752" s="192"/>
    </row>
    <row r="1753" spans="2:2" x14ac:dyDescent="0.25">
      <c r="B1753" s="192"/>
    </row>
    <row r="1754" spans="2:2" x14ac:dyDescent="0.25">
      <c r="B1754" s="192"/>
    </row>
    <row r="1755" spans="2:2" x14ac:dyDescent="0.25">
      <c r="B1755" s="192"/>
    </row>
    <row r="1756" spans="2:2" x14ac:dyDescent="0.25">
      <c r="B1756" s="192"/>
    </row>
    <row r="1757" spans="2:2" x14ac:dyDescent="0.25">
      <c r="B1757" s="192"/>
    </row>
    <row r="1758" spans="2:2" x14ac:dyDescent="0.25">
      <c r="B1758" s="192"/>
    </row>
    <row r="1759" spans="2:2" x14ac:dyDescent="0.25">
      <c r="B1759" s="192"/>
    </row>
    <row r="1760" spans="2:2" x14ac:dyDescent="0.25">
      <c r="B1760" s="192"/>
    </row>
    <row r="1761" spans="2:2" x14ac:dyDescent="0.25">
      <c r="B1761" s="192"/>
    </row>
    <row r="1762" spans="2:2" x14ac:dyDescent="0.25">
      <c r="B1762" s="192"/>
    </row>
    <row r="1763" spans="2:2" x14ac:dyDescent="0.25">
      <c r="B1763" s="192"/>
    </row>
    <row r="1764" spans="2:2" x14ac:dyDescent="0.25">
      <c r="B1764" s="192"/>
    </row>
    <row r="1765" spans="2:2" x14ac:dyDescent="0.25">
      <c r="B1765" s="192"/>
    </row>
    <row r="1766" spans="2:2" x14ac:dyDescent="0.25">
      <c r="B1766" s="192"/>
    </row>
    <row r="1767" spans="2:2" x14ac:dyDescent="0.25">
      <c r="B1767" s="192"/>
    </row>
    <row r="1768" spans="2:2" x14ac:dyDescent="0.25">
      <c r="B1768" s="192"/>
    </row>
    <row r="1769" spans="2:2" x14ac:dyDescent="0.25">
      <c r="B1769" s="192"/>
    </row>
    <row r="1770" spans="2:2" x14ac:dyDescent="0.25">
      <c r="B1770" s="192"/>
    </row>
    <row r="1771" spans="2:2" x14ac:dyDescent="0.25">
      <c r="B1771" s="192"/>
    </row>
    <row r="1772" spans="2:2" x14ac:dyDescent="0.25">
      <c r="B1772" s="192"/>
    </row>
    <row r="1773" spans="2:2" x14ac:dyDescent="0.25">
      <c r="B1773" s="192"/>
    </row>
    <row r="1774" spans="2:2" x14ac:dyDescent="0.25">
      <c r="B1774" s="192"/>
    </row>
    <row r="1775" spans="2:2" x14ac:dyDescent="0.25">
      <c r="B1775" s="192"/>
    </row>
    <row r="1776" spans="2:2" x14ac:dyDescent="0.25">
      <c r="B1776" s="192"/>
    </row>
    <row r="1777" spans="2:2" x14ac:dyDescent="0.25">
      <c r="B1777" s="192"/>
    </row>
    <row r="1778" spans="2:2" x14ac:dyDescent="0.25">
      <c r="B1778" s="192"/>
    </row>
    <row r="1779" spans="2:2" x14ac:dyDescent="0.25">
      <c r="B1779" s="192"/>
    </row>
    <row r="1780" spans="2:2" x14ac:dyDescent="0.25">
      <c r="B1780" s="192"/>
    </row>
    <row r="1781" spans="2:2" x14ac:dyDescent="0.25">
      <c r="B1781" s="192"/>
    </row>
    <row r="1782" spans="2:2" x14ac:dyDescent="0.25">
      <c r="B1782" s="192"/>
    </row>
    <row r="1783" spans="2:2" x14ac:dyDescent="0.25">
      <c r="B1783" s="192"/>
    </row>
    <row r="1784" spans="2:2" x14ac:dyDescent="0.25">
      <c r="B1784" s="192"/>
    </row>
    <row r="1785" spans="2:2" x14ac:dyDescent="0.25">
      <c r="B1785" s="192"/>
    </row>
    <row r="1786" spans="2:2" x14ac:dyDescent="0.25">
      <c r="B1786" s="192"/>
    </row>
    <row r="1787" spans="2:2" x14ac:dyDescent="0.25">
      <c r="B1787" s="192"/>
    </row>
    <row r="1788" spans="2:2" x14ac:dyDescent="0.25">
      <c r="B1788" s="192"/>
    </row>
    <row r="1789" spans="2:2" x14ac:dyDescent="0.25">
      <c r="B1789" s="192"/>
    </row>
    <row r="1790" spans="2:2" x14ac:dyDescent="0.25">
      <c r="B1790" s="192"/>
    </row>
    <row r="1791" spans="2:2" x14ac:dyDescent="0.25">
      <c r="B1791" s="192"/>
    </row>
    <row r="1792" spans="2:2" x14ac:dyDescent="0.25">
      <c r="B1792" s="192"/>
    </row>
    <row r="1793" spans="2:2" x14ac:dyDescent="0.25">
      <c r="B1793" s="192"/>
    </row>
    <row r="1794" spans="2:2" x14ac:dyDescent="0.25">
      <c r="B1794" s="192"/>
    </row>
    <row r="1795" spans="2:2" x14ac:dyDescent="0.25">
      <c r="B1795" s="192"/>
    </row>
    <row r="1796" spans="2:2" x14ac:dyDescent="0.25">
      <c r="B1796" s="192"/>
    </row>
    <row r="1797" spans="2:2" x14ac:dyDescent="0.25">
      <c r="B1797" s="192"/>
    </row>
    <row r="1798" spans="2:2" x14ac:dyDescent="0.25">
      <c r="B1798" s="192"/>
    </row>
    <row r="1799" spans="2:2" x14ac:dyDescent="0.25">
      <c r="B1799" s="192"/>
    </row>
    <row r="1800" spans="2:2" x14ac:dyDescent="0.25">
      <c r="B1800" s="192"/>
    </row>
    <row r="1801" spans="2:2" x14ac:dyDescent="0.25">
      <c r="B1801" s="192"/>
    </row>
    <row r="1802" spans="2:2" x14ac:dyDescent="0.25">
      <c r="B1802" s="192"/>
    </row>
    <row r="1803" spans="2:2" x14ac:dyDescent="0.25">
      <c r="B1803" s="192"/>
    </row>
    <row r="1804" spans="2:2" x14ac:dyDescent="0.25">
      <c r="B1804" s="192"/>
    </row>
    <row r="1805" spans="2:2" x14ac:dyDescent="0.25">
      <c r="B1805" s="192"/>
    </row>
    <row r="1806" spans="2:2" x14ac:dyDescent="0.25">
      <c r="B1806" s="192"/>
    </row>
    <row r="1807" spans="2:2" x14ac:dyDescent="0.25">
      <c r="B1807" s="192"/>
    </row>
    <row r="1808" spans="2:2" x14ac:dyDescent="0.25">
      <c r="B1808" s="192"/>
    </row>
    <row r="1809" spans="2:2" x14ac:dyDescent="0.25">
      <c r="B1809" s="192"/>
    </row>
    <row r="1810" spans="2:2" x14ac:dyDescent="0.25">
      <c r="B1810" s="192"/>
    </row>
    <row r="1811" spans="2:2" x14ac:dyDescent="0.25">
      <c r="B1811" s="192"/>
    </row>
    <row r="1812" spans="2:2" x14ac:dyDescent="0.25">
      <c r="B1812" s="192"/>
    </row>
    <row r="1813" spans="2:2" x14ac:dyDescent="0.25">
      <c r="B1813" s="192"/>
    </row>
    <row r="1814" spans="2:2" x14ac:dyDescent="0.25">
      <c r="B1814" s="192"/>
    </row>
    <row r="1815" spans="2:2" x14ac:dyDescent="0.25">
      <c r="B1815" s="192"/>
    </row>
    <row r="1816" spans="2:2" x14ac:dyDescent="0.25">
      <c r="B1816" s="192"/>
    </row>
    <row r="1817" spans="2:2" x14ac:dyDescent="0.25">
      <c r="B1817" s="192"/>
    </row>
    <row r="1818" spans="2:2" x14ac:dyDescent="0.25">
      <c r="B1818" s="192"/>
    </row>
    <row r="1819" spans="2:2" x14ac:dyDescent="0.25">
      <c r="B1819" s="192"/>
    </row>
    <row r="1820" spans="2:2" x14ac:dyDescent="0.25">
      <c r="B1820" s="192"/>
    </row>
    <row r="1821" spans="2:2" x14ac:dyDescent="0.25">
      <c r="B1821" s="192"/>
    </row>
    <row r="1822" spans="2:2" x14ac:dyDescent="0.25">
      <c r="B1822" s="192"/>
    </row>
    <row r="1823" spans="2:2" x14ac:dyDescent="0.25">
      <c r="B1823" s="192"/>
    </row>
    <row r="1824" spans="2:2" x14ac:dyDescent="0.25">
      <c r="B1824" s="192"/>
    </row>
    <row r="1825" spans="2:2" x14ac:dyDescent="0.25">
      <c r="B1825" s="192"/>
    </row>
    <row r="1826" spans="2:2" x14ac:dyDescent="0.25">
      <c r="B1826" s="192"/>
    </row>
    <row r="1827" spans="2:2" x14ac:dyDescent="0.25">
      <c r="B1827" s="192"/>
    </row>
    <row r="1828" spans="2:2" x14ac:dyDescent="0.25">
      <c r="B1828" s="192"/>
    </row>
    <row r="1829" spans="2:2" x14ac:dyDescent="0.25">
      <c r="B1829" s="192"/>
    </row>
    <row r="1830" spans="2:2" x14ac:dyDescent="0.25">
      <c r="B1830" s="192"/>
    </row>
    <row r="1831" spans="2:2" x14ac:dyDescent="0.25">
      <c r="B1831" s="192"/>
    </row>
    <row r="1832" spans="2:2" x14ac:dyDescent="0.25">
      <c r="B1832" s="192"/>
    </row>
    <row r="1833" spans="2:2" x14ac:dyDescent="0.25">
      <c r="B1833" s="192"/>
    </row>
    <row r="1834" spans="2:2" x14ac:dyDescent="0.25">
      <c r="B1834" s="192"/>
    </row>
    <row r="1835" spans="2:2" x14ac:dyDescent="0.25">
      <c r="B1835" s="192"/>
    </row>
    <row r="1836" spans="2:2" x14ac:dyDescent="0.25">
      <c r="B1836" s="192"/>
    </row>
    <row r="1837" spans="2:2" x14ac:dyDescent="0.25">
      <c r="B1837" s="192"/>
    </row>
    <row r="1838" spans="2:2" x14ac:dyDescent="0.25">
      <c r="B1838" s="192"/>
    </row>
    <row r="1839" spans="2:2" x14ac:dyDescent="0.25">
      <c r="B1839" s="192"/>
    </row>
    <row r="1840" spans="2:2" x14ac:dyDescent="0.25">
      <c r="B1840" s="192"/>
    </row>
    <row r="1841" spans="2:2" x14ac:dyDescent="0.25">
      <c r="B1841" s="192"/>
    </row>
    <row r="1842" spans="2:2" x14ac:dyDescent="0.25">
      <c r="B1842" s="192"/>
    </row>
    <row r="1843" spans="2:2" x14ac:dyDescent="0.25">
      <c r="B1843" s="192"/>
    </row>
    <row r="1844" spans="2:2" x14ac:dyDescent="0.25">
      <c r="B1844" s="192"/>
    </row>
    <row r="1845" spans="2:2" x14ac:dyDescent="0.25">
      <c r="B1845" s="192"/>
    </row>
    <row r="1846" spans="2:2" x14ac:dyDescent="0.25">
      <c r="B1846" s="192"/>
    </row>
    <row r="1847" spans="2:2" x14ac:dyDescent="0.25">
      <c r="B1847" s="192"/>
    </row>
    <row r="1848" spans="2:2" x14ac:dyDescent="0.25">
      <c r="B1848" s="192"/>
    </row>
    <row r="1849" spans="2:2" x14ac:dyDescent="0.25">
      <c r="B1849" s="192"/>
    </row>
    <row r="1850" spans="2:2" x14ac:dyDescent="0.25">
      <c r="B1850" s="192"/>
    </row>
    <row r="1851" spans="2:2" x14ac:dyDescent="0.25">
      <c r="B1851" s="192"/>
    </row>
    <row r="1852" spans="2:2" x14ac:dyDescent="0.25">
      <c r="B1852" s="192"/>
    </row>
    <row r="1853" spans="2:2" x14ac:dyDescent="0.25">
      <c r="B1853" s="192"/>
    </row>
    <row r="1854" spans="2:2" x14ac:dyDescent="0.25">
      <c r="B1854" s="192"/>
    </row>
    <row r="1855" spans="2:2" x14ac:dyDescent="0.25">
      <c r="B1855" s="192"/>
    </row>
    <row r="1856" spans="2:2" x14ac:dyDescent="0.25">
      <c r="B1856" s="192"/>
    </row>
    <row r="1857" spans="2:2" x14ac:dyDescent="0.25">
      <c r="B1857" s="192"/>
    </row>
    <row r="1858" spans="2:2" x14ac:dyDescent="0.25">
      <c r="B1858" s="192"/>
    </row>
    <row r="1859" spans="2:2" x14ac:dyDescent="0.25">
      <c r="B1859" s="192"/>
    </row>
    <row r="1860" spans="2:2" x14ac:dyDescent="0.25">
      <c r="B1860" s="192"/>
    </row>
    <row r="1861" spans="2:2" x14ac:dyDescent="0.25">
      <c r="B1861" s="192"/>
    </row>
    <row r="1862" spans="2:2" x14ac:dyDescent="0.25">
      <c r="B1862" s="192"/>
    </row>
    <row r="1863" spans="2:2" x14ac:dyDescent="0.25">
      <c r="B1863" s="192"/>
    </row>
    <row r="1864" spans="2:2" x14ac:dyDescent="0.25">
      <c r="B1864" s="192"/>
    </row>
    <row r="1865" spans="2:2" x14ac:dyDescent="0.25">
      <c r="B1865" s="192"/>
    </row>
    <row r="1866" spans="2:2" x14ac:dyDescent="0.25">
      <c r="B1866" s="192"/>
    </row>
    <row r="1867" spans="2:2" x14ac:dyDescent="0.25">
      <c r="B1867" s="192"/>
    </row>
    <row r="1868" spans="2:2" x14ac:dyDescent="0.25">
      <c r="B1868" s="192"/>
    </row>
    <row r="1869" spans="2:2" x14ac:dyDescent="0.25">
      <c r="B1869" s="192"/>
    </row>
    <row r="1870" spans="2:2" x14ac:dyDescent="0.25">
      <c r="B1870" s="192"/>
    </row>
    <row r="1871" spans="2:2" x14ac:dyDescent="0.25">
      <c r="B1871" s="192"/>
    </row>
    <row r="1872" spans="2:2" x14ac:dyDescent="0.25">
      <c r="B1872" s="192"/>
    </row>
    <row r="1873" spans="2:2" x14ac:dyDescent="0.25">
      <c r="B1873" s="192"/>
    </row>
    <row r="1874" spans="2:2" x14ac:dyDescent="0.25">
      <c r="B1874" s="192"/>
    </row>
    <row r="1875" spans="2:2" x14ac:dyDescent="0.25">
      <c r="B1875" s="192"/>
    </row>
    <row r="1876" spans="2:2" x14ac:dyDescent="0.25">
      <c r="B1876" s="192"/>
    </row>
    <row r="1877" spans="2:2" x14ac:dyDescent="0.25">
      <c r="B1877" s="192"/>
    </row>
    <row r="1878" spans="2:2" x14ac:dyDescent="0.25">
      <c r="B1878" s="192"/>
    </row>
    <row r="1879" spans="2:2" x14ac:dyDescent="0.25">
      <c r="B1879" s="192"/>
    </row>
    <row r="1880" spans="2:2" x14ac:dyDescent="0.25">
      <c r="B1880" s="192"/>
    </row>
    <row r="1881" spans="2:2" x14ac:dyDescent="0.25">
      <c r="B1881" s="192"/>
    </row>
    <row r="1882" spans="2:2" x14ac:dyDescent="0.25">
      <c r="B1882" s="192"/>
    </row>
    <row r="1883" spans="2:2" x14ac:dyDescent="0.25">
      <c r="B1883" s="192"/>
    </row>
    <row r="1884" spans="2:2" x14ac:dyDescent="0.25">
      <c r="B1884" s="192"/>
    </row>
    <row r="1885" spans="2:2" x14ac:dyDescent="0.25">
      <c r="B1885" s="192"/>
    </row>
    <row r="1886" spans="2:2" x14ac:dyDescent="0.25">
      <c r="B1886" s="192"/>
    </row>
    <row r="1887" spans="2:2" x14ac:dyDescent="0.25">
      <c r="B1887" s="192"/>
    </row>
    <row r="1888" spans="2:2" x14ac:dyDescent="0.25">
      <c r="B1888" s="192"/>
    </row>
    <row r="1889" spans="2:2" x14ac:dyDescent="0.25">
      <c r="B1889" s="192"/>
    </row>
    <row r="1890" spans="2:2" x14ac:dyDescent="0.25">
      <c r="B1890" s="192"/>
    </row>
    <row r="1891" spans="2:2" x14ac:dyDescent="0.25">
      <c r="B1891" s="192"/>
    </row>
    <row r="1892" spans="2:2" x14ac:dyDescent="0.25">
      <c r="B1892" s="192"/>
    </row>
    <row r="1893" spans="2:2" x14ac:dyDescent="0.25">
      <c r="B1893" s="192"/>
    </row>
    <row r="1894" spans="2:2" x14ac:dyDescent="0.25">
      <c r="B1894" s="192"/>
    </row>
    <row r="1895" spans="2:2" x14ac:dyDescent="0.25">
      <c r="B1895" s="192"/>
    </row>
    <row r="1896" spans="2:2" x14ac:dyDescent="0.25">
      <c r="B1896" s="192"/>
    </row>
    <row r="1897" spans="2:2" x14ac:dyDescent="0.25">
      <c r="B1897" s="192"/>
    </row>
    <row r="1898" spans="2:2" x14ac:dyDescent="0.25">
      <c r="B1898" s="192"/>
    </row>
    <row r="1899" spans="2:2" x14ac:dyDescent="0.25">
      <c r="B1899" s="192"/>
    </row>
    <row r="1900" spans="2:2" x14ac:dyDescent="0.25">
      <c r="B1900" s="192"/>
    </row>
    <row r="1901" spans="2:2" x14ac:dyDescent="0.25">
      <c r="B1901" s="192"/>
    </row>
    <row r="1902" spans="2:2" x14ac:dyDescent="0.25">
      <c r="B1902" s="192"/>
    </row>
    <row r="1903" spans="2:2" x14ac:dyDescent="0.25">
      <c r="B1903" s="192"/>
    </row>
    <row r="1904" spans="2:2" x14ac:dyDescent="0.25">
      <c r="B1904" s="192"/>
    </row>
    <row r="1905" spans="2:2" x14ac:dyDescent="0.25">
      <c r="B1905" s="192"/>
    </row>
    <row r="1906" spans="2:2" x14ac:dyDescent="0.25">
      <c r="B1906" s="192"/>
    </row>
    <row r="1907" spans="2:2" x14ac:dyDescent="0.25">
      <c r="B1907" s="192"/>
    </row>
    <row r="1908" spans="2:2" x14ac:dyDescent="0.25">
      <c r="B1908" s="192"/>
    </row>
    <row r="1909" spans="2:2" x14ac:dyDescent="0.25">
      <c r="B1909" s="192"/>
    </row>
    <row r="1910" spans="2:2" x14ac:dyDescent="0.25">
      <c r="B1910" s="192"/>
    </row>
    <row r="1911" spans="2:2" x14ac:dyDescent="0.25">
      <c r="B1911" s="192"/>
    </row>
    <row r="1912" spans="2:2" x14ac:dyDescent="0.25">
      <c r="B1912" s="192"/>
    </row>
    <row r="1913" spans="2:2" x14ac:dyDescent="0.25">
      <c r="B1913" s="192"/>
    </row>
    <row r="1914" spans="2:2" x14ac:dyDescent="0.25">
      <c r="B1914" s="192"/>
    </row>
    <row r="1915" spans="2:2" x14ac:dyDescent="0.25">
      <c r="B1915" s="192"/>
    </row>
    <row r="1916" spans="2:2" x14ac:dyDescent="0.25">
      <c r="B1916" s="192"/>
    </row>
    <row r="1917" spans="2:2" x14ac:dyDescent="0.25">
      <c r="B1917" s="192"/>
    </row>
    <row r="1918" spans="2:2" x14ac:dyDescent="0.25">
      <c r="B1918" s="192"/>
    </row>
    <row r="1919" spans="2:2" x14ac:dyDescent="0.25">
      <c r="B1919" s="192"/>
    </row>
    <row r="1920" spans="2:2" x14ac:dyDescent="0.25">
      <c r="B1920" s="192"/>
    </row>
    <row r="1921" spans="2:2" x14ac:dyDescent="0.25">
      <c r="B1921" s="192"/>
    </row>
    <row r="1922" spans="2:2" x14ac:dyDescent="0.25">
      <c r="B1922" s="192"/>
    </row>
    <row r="1923" spans="2:2" x14ac:dyDescent="0.25">
      <c r="B1923" s="192"/>
    </row>
    <row r="1924" spans="2:2" x14ac:dyDescent="0.25">
      <c r="B1924" s="192"/>
    </row>
    <row r="1925" spans="2:2" x14ac:dyDescent="0.25">
      <c r="B1925" s="192"/>
    </row>
    <row r="1926" spans="2:2" x14ac:dyDescent="0.25">
      <c r="B1926" s="192"/>
    </row>
    <row r="1927" spans="2:2" x14ac:dyDescent="0.25">
      <c r="B1927" s="192"/>
    </row>
    <row r="1928" spans="2:2" x14ac:dyDescent="0.25">
      <c r="B1928" s="192"/>
    </row>
    <row r="1929" spans="2:2" x14ac:dyDescent="0.25">
      <c r="B1929" s="192"/>
    </row>
    <row r="1930" spans="2:2" x14ac:dyDescent="0.25">
      <c r="B1930" s="192"/>
    </row>
    <row r="1931" spans="2:2" x14ac:dyDescent="0.25">
      <c r="B1931" s="192"/>
    </row>
    <row r="1932" spans="2:2" x14ac:dyDescent="0.25">
      <c r="B1932" s="192"/>
    </row>
    <row r="1933" spans="2:2" x14ac:dyDescent="0.25">
      <c r="B1933" s="192"/>
    </row>
    <row r="1934" spans="2:2" x14ac:dyDescent="0.25">
      <c r="B1934" s="192"/>
    </row>
    <row r="1935" spans="2:2" x14ac:dyDescent="0.25">
      <c r="B1935" s="192"/>
    </row>
    <row r="1936" spans="2:2" x14ac:dyDescent="0.25">
      <c r="B1936" s="192"/>
    </row>
    <row r="1937" spans="2:2" x14ac:dyDescent="0.25">
      <c r="B1937" s="192"/>
    </row>
    <row r="1938" spans="2:2" x14ac:dyDescent="0.25">
      <c r="B1938" s="192"/>
    </row>
    <row r="1939" spans="2:2" x14ac:dyDescent="0.25">
      <c r="B1939" s="192"/>
    </row>
    <row r="1940" spans="2:2" x14ac:dyDescent="0.25">
      <c r="B1940" s="192"/>
    </row>
    <row r="1941" spans="2:2" x14ac:dyDescent="0.25">
      <c r="B1941" s="192"/>
    </row>
    <row r="1942" spans="2:2" x14ac:dyDescent="0.25">
      <c r="B1942" s="192"/>
    </row>
    <row r="1943" spans="2:2" x14ac:dyDescent="0.25">
      <c r="B1943" s="192"/>
    </row>
    <row r="1944" spans="2:2" x14ac:dyDescent="0.25">
      <c r="B1944" s="192"/>
    </row>
    <row r="1945" spans="2:2" x14ac:dyDescent="0.25">
      <c r="B1945" s="192"/>
    </row>
    <row r="1946" spans="2:2" x14ac:dyDescent="0.25">
      <c r="B1946" s="192"/>
    </row>
    <row r="1947" spans="2:2" x14ac:dyDescent="0.25">
      <c r="B1947" s="192"/>
    </row>
    <row r="1948" spans="2:2" x14ac:dyDescent="0.25">
      <c r="B1948" s="192"/>
    </row>
    <row r="1949" spans="2:2" x14ac:dyDescent="0.25">
      <c r="B1949" s="192"/>
    </row>
    <row r="1950" spans="2:2" x14ac:dyDescent="0.25">
      <c r="B1950" s="192"/>
    </row>
    <row r="1951" spans="2:2" x14ac:dyDescent="0.25">
      <c r="B1951" s="192"/>
    </row>
    <row r="1952" spans="2:2" x14ac:dyDescent="0.25">
      <c r="B1952" s="192"/>
    </row>
    <row r="1953" spans="2:2" x14ac:dyDescent="0.25">
      <c r="B1953" s="192"/>
    </row>
    <row r="1954" spans="2:2" x14ac:dyDescent="0.25">
      <c r="B1954" s="192"/>
    </row>
    <row r="1955" spans="2:2" x14ac:dyDescent="0.25">
      <c r="B1955" s="192"/>
    </row>
    <row r="1956" spans="2:2" x14ac:dyDescent="0.25">
      <c r="B1956" s="192"/>
    </row>
    <row r="1957" spans="2:2" x14ac:dyDescent="0.25">
      <c r="B1957" s="192"/>
    </row>
    <row r="1958" spans="2:2" x14ac:dyDescent="0.25">
      <c r="B1958" s="192"/>
    </row>
    <row r="1959" spans="2:2" x14ac:dyDescent="0.25">
      <c r="B1959" s="192"/>
    </row>
    <row r="1960" spans="2:2" x14ac:dyDescent="0.25">
      <c r="B1960" s="192"/>
    </row>
    <row r="1961" spans="2:2" x14ac:dyDescent="0.25">
      <c r="B1961" s="192"/>
    </row>
    <row r="1962" spans="2:2" x14ac:dyDescent="0.25">
      <c r="B1962" s="192"/>
    </row>
    <row r="1963" spans="2:2" x14ac:dyDescent="0.25">
      <c r="B1963" s="192"/>
    </row>
    <row r="1964" spans="2:2" x14ac:dyDescent="0.25">
      <c r="B1964" s="192"/>
    </row>
    <row r="1965" spans="2:2" x14ac:dyDescent="0.25">
      <c r="B1965" s="192"/>
    </row>
    <row r="1966" spans="2:2" x14ac:dyDescent="0.25">
      <c r="B1966" s="192"/>
    </row>
    <row r="1967" spans="2:2" x14ac:dyDescent="0.25">
      <c r="B1967" s="192"/>
    </row>
    <row r="1968" spans="2:2" x14ac:dyDescent="0.25">
      <c r="B1968" s="192"/>
    </row>
    <row r="1969" spans="2:2" x14ac:dyDescent="0.25">
      <c r="B1969" s="192"/>
    </row>
    <row r="1970" spans="2:2" x14ac:dyDescent="0.25">
      <c r="B1970" s="192"/>
    </row>
    <row r="1971" spans="2:2" x14ac:dyDescent="0.25">
      <c r="B1971" s="192"/>
    </row>
    <row r="1972" spans="2:2" x14ac:dyDescent="0.25">
      <c r="B1972" s="192"/>
    </row>
    <row r="1973" spans="2:2" x14ac:dyDescent="0.25">
      <c r="B1973" s="192"/>
    </row>
    <row r="1974" spans="2:2" x14ac:dyDescent="0.25">
      <c r="B1974" s="192"/>
    </row>
    <row r="1975" spans="2:2" x14ac:dyDescent="0.25">
      <c r="B1975" s="192"/>
    </row>
    <row r="1976" spans="2:2" x14ac:dyDescent="0.25">
      <c r="B1976" s="192"/>
    </row>
    <row r="1977" spans="2:2" x14ac:dyDescent="0.25">
      <c r="B1977" s="192"/>
    </row>
    <row r="1978" spans="2:2" x14ac:dyDescent="0.25">
      <c r="B1978" s="192"/>
    </row>
    <row r="1979" spans="2:2" x14ac:dyDescent="0.25">
      <c r="B1979" s="192"/>
    </row>
    <row r="1980" spans="2:2" x14ac:dyDescent="0.25">
      <c r="B1980" s="192"/>
    </row>
    <row r="1981" spans="2:2" x14ac:dyDescent="0.25">
      <c r="B1981" s="192"/>
    </row>
    <row r="1982" spans="2:2" x14ac:dyDescent="0.25">
      <c r="B1982" s="192"/>
    </row>
    <row r="1983" spans="2:2" x14ac:dyDescent="0.25">
      <c r="B1983" s="192"/>
    </row>
    <row r="1984" spans="2:2" x14ac:dyDescent="0.25">
      <c r="B1984" s="192"/>
    </row>
    <row r="1985" spans="2:2" x14ac:dyDescent="0.25">
      <c r="B1985" s="192"/>
    </row>
    <row r="1986" spans="2:2" x14ac:dyDescent="0.25">
      <c r="B1986" s="192"/>
    </row>
    <row r="1987" spans="2:2" x14ac:dyDescent="0.25">
      <c r="B1987" s="192"/>
    </row>
    <row r="1988" spans="2:2" x14ac:dyDescent="0.25">
      <c r="B1988" s="192"/>
    </row>
    <row r="1989" spans="2:2" x14ac:dyDescent="0.25">
      <c r="B1989" s="192"/>
    </row>
    <row r="1990" spans="2:2" x14ac:dyDescent="0.25">
      <c r="B1990" s="192"/>
    </row>
    <row r="1991" spans="2:2" x14ac:dyDescent="0.25">
      <c r="B1991" s="192"/>
    </row>
    <row r="1992" spans="2:2" x14ac:dyDescent="0.25">
      <c r="B1992" s="192"/>
    </row>
    <row r="1993" spans="2:2" x14ac:dyDescent="0.25">
      <c r="B1993" s="192"/>
    </row>
    <row r="1994" spans="2:2" x14ac:dyDescent="0.25">
      <c r="B1994" s="192"/>
    </row>
    <row r="1995" spans="2:2" x14ac:dyDescent="0.25">
      <c r="B1995" s="192"/>
    </row>
    <row r="1996" spans="2:2" x14ac:dyDescent="0.25">
      <c r="B1996" s="192"/>
    </row>
    <row r="1997" spans="2:2" x14ac:dyDescent="0.25">
      <c r="B1997" s="192"/>
    </row>
    <row r="1998" spans="2:2" x14ac:dyDescent="0.25">
      <c r="B1998" s="192"/>
    </row>
    <row r="1999" spans="2:2" x14ac:dyDescent="0.25">
      <c r="B1999" s="192"/>
    </row>
    <row r="2000" spans="2:2" x14ac:dyDescent="0.25">
      <c r="B2000" s="192"/>
    </row>
    <row r="2001" spans="2:2" x14ac:dyDescent="0.25">
      <c r="B2001" s="192"/>
    </row>
    <row r="2002" spans="2:2" x14ac:dyDescent="0.25">
      <c r="B2002" s="192"/>
    </row>
    <row r="2003" spans="2:2" x14ac:dyDescent="0.25">
      <c r="B2003" s="192"/>
    </row>
    <row r="2004" spans="2:2" x14ac:dyDescent="0.25">
      <c r="B2004" s="192"/>
    </row>
    <row r="2005" spans="2:2" x14ac:dyDescent="0.25">
      <c r="B2005" s="192"/>
    </row>
    <row r="2006" spans="2:2" x14ac:dyDescent="0.25">
      <c r="B2006" s="192"/>
    </row>
    <row r="2007" spans="2:2" x14ac:dyDescent="0.25">
      <c r="B2007" s="192"/>
    </row>
    <row r="2008" spans="2:2" x14ac:dyDescent="0.25">
      <c r="B2008" s="192"/>
    </row>
    <row r="2009" spans="2:2" x14ac:dyDescent="0.25">
      <c r="B2009" s="192"/>
    </row>
    <row r="2010" spans="2:2" x14ac:dyDescent="0.25">
      <c r="B2010" s="192"/>
    </row>
    <row r="2011" spans="2:2" x14ac:dyDescent="0.25">
      <c r="B2011" s="192"/>
    </row>
    <row r="2012" spans="2:2" x14ac:dyDescent="0.25">
      <c r="B2012" s="192"/>
    </row>
    <row r="2013" spans="2:2" x14ac:dyDescent="0.25">
      <c r="B2013" s="192"/>
    </row>
    <row r="2014" spans="2:2" x14ac:dyDescent="0.25">
      <c r="B2014" s="192"/>
    </row>
    <row r="2015" spans="2:2" x14ac:dyDescent="0.25">
      <c r="B2015" s="192"/>
    </row>
    <row r="2016" spans="2:2" x14ac:dyDescent="0.25">
      <c r="B2016" s="192"/>
    </row>
    <row r="2017" spans="2:2" x14ac:dyDescent="0.25">
      <c r="B2017" s="192"/>
    </row>
    <row r="2018" spans="2:2" x14ac:dyDescent="0.25">
      <c r="B2018" s="192"/>
    </row>
    <row r="2019" spans="2:2" x14ac:dyDescent="0.25">
      <c r="B2019" s="192"/>
    </row>
    <row r="2020" spans="2:2" x14ac:dyDescent="0.25">
      <c r="B2020" s="192"/>
    </row>
    <row r="2021" spans="2:2" x14ac:dyDescent="0.25">
      <c r="B2021" s="192"/>
    </row>
    <row r="2022" spans="2:2" x14ac:dyDescent="0.25">
      <c r="B2022" s="192"/>
    </row>
    <row r="2023" spans="2:2" x14ac:dyDescent="0.25">
      <c r="B2023" s="192"/>
    </row>
    <row r="2024" spans="2:2" x14ac:dyDescent="0.25">
      <c r="B2024" s="192"/>
    </row>
    <row r="2025" spans="2:2" x14ac:dyDescent="0.25">
      <c r="B2025" s="192"/>
    </row>
    <row r="2026" spans="2:2" x14ac:dyDescent="0.25">
      <c r="B2026" s="192"/>
    </row>
    <row r="2027" spans="2:2" x14ac:dyDescent="0.25">
      <c r="B2027" s="192"/>
    </row>
    <row r="2028" spans="2:2" x14ac:dyDescent="0.25">
      <c r="B2028" s="192"/>
    </row>
    <row r="2029" spans="2:2" x14ac:dyDescent="0.25">
      <c r="B2029" s="192"/>
    </row>
    <row r="2030" spans="2:2" x14ac:dyDescent="0.25">
      <c r="B2030" s="192"/>
    </row>
    <row r="2031" spans="2:2" x14ac:dyDescent="0.25">
      <c r="B2031" s="192"/>
    </row>
    <row r="2032" spans="2:2" x14ac:dyDescent="0.25">
      <c r="B2032" s="192"/>
    </row>
    <row r="2033" spans="2:2" x14ac:dyDescent="0.25">
      <c r="B2033" s="192"/>
    </row>
    <row r="2034" spans="2:2" x14ac:dyDescent="0.25">
      <c r="B2034" s="192"/>
    </row>
    <row r="2035" spans="2:2" x14ac:dyDescent="0.25">
      <c r="B2035" s="192"/>
    </row>
    <row r="2036" spans="2:2" x14ac:dyDescent="0.25">
      <c r="B2036" s="192"/>
    </row>
    <row r="2037" spans="2:2" x14ac:dyDescent="0.25">
      <c r="B2037" s="192"/>
    </row>
    <row r="2038" spans="2:2" x14ac:dyDescent="0.25">
      <c r="B2038" s="192"/>
    </row>
    <row r="2039" spans="2:2" x14ac:dyDescent="0.25">
      <c r="B2039" s="192"/>
    </row>
    <row r="2040" spans="2:2" x14ac:dyDescent="0.25">
      <c r="B2040" s="192"/>
    </row>
    <row r="2041" spans="2:2" x14ac:dyDescent="0.25">
      <c r="B2041" s="192"/>
    </row>
    <row r="2042" spans="2:2" x14ac:dyDescent="0.25">
      <c r="B2042" s="192"/>
    </row>
    <row r="2043" spans="2:2" x14ac:dyDescent="0.25">
      <c r="B2043" s="192"/>
    </row>
    <row r="2044" spans="2:2" x14ac:dyDescent="0.25">
      <c r="B2044" s="192"/>
    </row>
    <row r="2045" spans="2:2" x14ac:dyDescent="0.25">
      <c r="B2045" s="192"/>
    </row>
    <row r="2046" spans="2:2" x14ac:dyDescent="0.25">
      <c r="B2046" s="192"/>
    </row>
    <row r="2047" spans="2:2" x14ac:dyDescent="0.25">
      <c r="B2047" s="192"/>
    </row>
    <row r="2048" spans="2:2" x14ac:dyDescent="0.25">
      <c r="B2048" s="192"/>
    </row>
    <row r="2049" spans="2:2" x14ac:dyDescent="0.25">
      <c r="B2049" s="192"/>
    </row>
    <row r="2050" spans="2:2" x14ac:dyDescent="0.25">
      <c r="B2050" s="192"/>
    </row>
    <row r="2051" spans="2:2" x14ac:dyDescent="0.25">
      <c r="B2051" s="192"/>
    </row>
    <row r="2052" spans="2:2" x14ac:dyDescent="0.25">
      <c r="B2052" s="192"/>
    </row>
    <row r="2053" spans="2:2" x14ac:dyDescent="0.25">
      <c r="B2053" s="192"/>
    </row>
    <row r="2054" spans="2:2" x14ac:dyDescent="0.25">
      <c r="B2054" s="192"/>
    </row>
    <row r="2055" spans="2:2" x14ac:dyDescent="0.25">
      <c r="B2055" s="192"/>
    </row>
    <row r="2056" spans="2:2" x14ac:dyDescent="0.25">
      <c r="B2056" s="192"/>
    </row>
    <row r="2057" spans="2:2" x14ac:dyDescent="0.25">
      <c r="B2057" s="192"/>
    </row>
    <row r="2058" spans="2:2" x14ac:dyDescent="0.25">
      <c r="B2058" s="192"/>
    </row>
    <row r="2059" spans="2:2" x14ac:dyDescent="0.25">
      <c r="B2059" s="192"/>
    </row>
    <row r="2060" spans="2:2" x14ac:dyDescent="0.25">
      <c r="B2060" s="192"/>
    </row>
    <row r="2061" spans="2:2" x14ac:dyDescent="0.25">
      <c r="B2061" s="192"/>
    </row>
    <row r="2062" spans="2:2" x14ac:dyDescent="0.25">
      <c r="B2062" s="192"/>
    </row>
    <row r="2063" spans="2:2" x14ac:dyDescent="0.25">
      <c r="B2063" s="192"/>
    </row>
    <row r="2064" spans="2:2" x14ac:dyDescent="0.25">
      <c r="B2064" s="192"/>
    </row>
    <row r="2065" spans="2:2" x14ac:dyDescent="0.25">
      <c r="B2065" s="192"/>
    </row>
    <row r="2066" spans="2:2" x14ac:dyDescent="0.25">
      <c r="B2066" s="192"/>
    </row>
    <row r="2067" spans="2:2" x14ac:dyDescent="0.25">
      <c r="B2067" s="192"/>
    </row>
    <row r="2068" spans="2:2" x14ac:dyDescent="0.25">
      <c r="B2068" s="192"/>
    </row>
    <row r="2069" spans="2:2" x14ac:dyDescent="0.25">
      <c r="B2069" s="192"/>
    </row>
    <row r="2070" spans="2:2" x14ac:dyDescent="0.25">
      <c r="B2070" s="192"/>
    </row>
    <row r="2071" spans="2:2" x14ac:dyDescent="0.25">
      <c r="B2071" s="192"/>
    </row>
    <row r="2072" spans="2:2" x14ac:dyDescent="0.25">
      <c r="B2072" s="192"/>
    </row>
    <row r="2073" spans="2:2" x14ac:dyDescent="0.25">
      <c r="B2073" s="192"/>
    </row>
    <row r="2074" spans="2:2" x14ac:dyDescent="0.25">
      <c r="B2074" s="192"/>
    </row>
    <row r="2075" spans="2:2" x14ac:dyDescent="0.25">
      <c r="B2075" s="192"/>
    </row>
    <row r="2076" spans="2:2" x14ac:dyDescent="0.25">
      <c r="B2076" s="192"/>
    </row>
    <row r="2077" spans="2:2" x14ac:dyDescent="0.25">
      <c r="B2077" s="192"/>
    </row>
    <row r="2078" spans="2:2" x14ac:dyDescent="0.25">
      <c r="B2078" s="192"/>
    </row>
    <row r="2079" spans="2:2" x14ac:dyDescent="0.25">
      <c r="B2079" s="192"/>
    </row>
    <row r="2080" spans="2:2" x14ac:dyDescent="0.25">
      <c r="B2080" s="192"/>
    </row>
    <row r="2081" spans="2:2" x14ac:dyDescent="0.25">
      <c r="B2081" s="192"/>
    </row>
    <row r="2082" spans="2:2" x14ac:dyDescent="0.25">
      <c r="B2082" s="192"/>
    </row>
    <row r="2083" spans="2:2" x14ac:dyDescent="0.25">
      <c r="B2083" s="192"/>
    </row>
    <row r="2084" spans="2:2" x14ac:dyDescent="0.25">
      <c r="B2084" s="192"/>
    </row>
    <row r="2085" spans="2:2" x14ac:dyDescent="0.25">
      <c r="B2085" s="192"/>
    </row>
    <row r="2086" spans="2:2" x14ac:dyDescent="0.25">
      <c r="B2086" s="192"/>
    </row>
    <row r="2087" spans="2:2" x14ac:dyDescent="0.25">
      <c r="B2087" s="192"/>
    </row>
    <row r="2088" spans="2:2" x14ac:dyDescent="0.25">
      <c r="B2088" s="192"/>
    </row>
    <row r="2089" spans="2:2" x14ac:dyDescent="0.25">
      <c r="B2089" s="192"/>
    </row>
    <row r="2090" spans="2:2" x14ac:dyDescent="0.25">
      <c r="B2090" s="192"/>
    </row>
    <row r="2091" spans="2:2" x14ac:dyDescent="0.25">
      <c r="B2091" s="192"/>
    </row>
    <row r="2092" spans="2:2" x14ac:dyDescent="0.25">
      <c r="B2092" s="192"/>
    </row>
    <row r="2093" spans="2:2" x14ac:dyDescent="0.25">
      <c r="B2093" s="192"/>
    </row>
    <row r="2094" spans="2:2" x14ac:dyDescent="0.25">
      <c r="B2094" s="192"/>
    </row>
    <row r="2095" spans="2:2" x14ac:dyDescent="0.25">
      <c r="B2095" s="192"/>
    </row>
    <row r="2096" spans="2:2" x14ac:dyDescent="0.25">
      <c r="B2096" s="192"/>
    </row>
    <row r="2097" spans="2:2" x14ac:dyDescent="0.25">
      <c r="B2097" s="192"/>
    </row>
    <row r="2098" spans="2:2" x14ac:dyDescent="0.25">
      <c r="B2098" s="192"/>
    </row>
    <row r="2099" spans="2:2" x14ac:dyDescent="0.25">
      <c r="B2099" s="192"/>
    </row>
    <row r="2100" spans="2:2" x14ac:dyDescent="0.25">
      <c r="B2100" s="192"/>
    </row>
    <row r="2101" spans="2:2" x14ac:dyDescent="0.25">
      <c r="B2101" s="192"/>
    </row>
    <row r="2102" spans="2:2" x14ac:dyDescent="0.25">
      <c r="B2102" s="192"/>
    </row>
    <row r="2103" spans="2:2" x14ac:dyDescent="0.25">
      <c r="B2103" s="192"/>
    </row>
    <row r="2104" spans="2:2" x14ac:dyDescent="0.25">
      <c r="B2104" s="192"/>
    </row>
    <row r="2105" spans="2:2" x14ac:dyDescent="0.25">
      <c r="B2105" s="192"/>
    </row>
    <row r="2106" spans="2:2" x14ac:dyDescent="0.25">
      <c r="B2106" s="192"/>
    </row>
    <row r="2107" spans="2:2" x14ac:dyDescent="0.25">
      <c r="B2107" s="192"/>
    </row>
    <row r="2108" spans="2:2" x14ac:dyDescent="0.25">
      <c r="B2108" s="192"/>
    </row>
    <row r="2109" spans="2:2" x14ac:dyDescent="0.25">
      <c r="B2109" s="192"/>
    </row>
    <row r="2110" spans="2:2" x14ac:dyDescent="0.25">
      <c r="B2110" s="192"/>
    </row>
    <row r="2111" spans="2:2" x14ac:dyDescent="0.25">
      <c r="B2111" s="192"/>
    </row>
    <row r="2112" spans="2:2" x14ac:dyDescent="0.25">
      <c r="B2112" s="192"/>
    </row>
    <row r="2113" spans="2:2" x14ac:dyDescent="0.25">
      <c r="B2113" s="192"/>
    </row>
    <row r="2114" spans="2:2" x14ac:dyDescent="0.25">
      <c r="B2114" s="192"/>
    </row>
    <row r="2115" spans="2:2" x14ac:dyDescent="0.25">
      <c r="B2115" s="192"/>
    </row>
    <row r="2116" spans="2:2" x14ac:dyDescent="0.25">
      <c r="B2116" s="192"/>
    </row>
    <row r="2117" spans="2:2" x14ac:dyDescent="0.25">
      <c r="B2117" s="192"/>
    </row>
    <row r="2118" spans="2:2" x14ac:dyDescent="0.25">
      <c r="B2118" s="192"/>
    </row>
    <row r="2119" spans="2:2" x14ac:dyDescent="0.25">
      <c r="B2119" s="192"/>
    </row>
    <row r="2120" spans="2:2" x14ac:dyDescent="0.25">
      <c r="B2120" s="192"/>
    </row>
    <row r="2121" spans="2:2" x14ac:dyDescent="0.25">
      <c r="B2121" s="192"/>
    </row>
    <row r="2122" spans="2:2" x14ac:dyDescent="0.25">
      <c r="B2122" s="192"/>
    </row>
    <row r="2123" spans="2:2" x14ac:dyDescent="0.25">
      <c r="B2123" s="192"/>
    </row>
    <row r="2124" spans="2:2" x14ac:dyDescent="0.25">
      <c r="B2124" s="192"/>
    </row>
    <row r="2125" spans="2:2" x14ac:dyDescent="0.25">
      <c r="B2125" s="192"/>
    </row>
    <row r="2126" spans="2:2" x14ac:dyDescent="0.25">
      <c r="B2126" s="192"/>
    </row>
    <row r="2127" spans="2:2" x14ac:dyDescent="0.25">
      <c r="B2127" s="192"/>
    </row>
    <row r="2128" spans="2:2" x14ac:dyDescent="0.25">
      <c r="B2128" s="192"/>
    </row>
    <row r="2129" spans="2:2" x14ac:dyDescent="0.25">
      <c r="B2129" s="192"/>
    </row>
    <row r="2130" spans="2:2" x14ac:dyDescent="0.25">
      <c r="B2130" s="192"/>
    </row>
    <row r="2131" spans="2:2" x14ac:dyDescent="0.25">
      <c r="B2131" s="192"/>
    </row>
    <row r="2132" spans="2:2" x14ac:dyDescent="0.25">
      <c r="B2132" s="192"/>
    </row>
    <row r="2133" spans="2:2" x14ac:dyDescent="0.25">
      <c r="B2133" s="192"/>
    </row>
    <row r="2134" spans="2:2" x14ac:dyDescent="0.25">
      <c r="B2134" s="192"/>
    </row>
    <row r="2135" spans="2:2" x14ac:dyDescent="0.25">
      <c r="B2135" s="192"/>
    </row>
    <row r="2136" spans="2:2" x14ac:dyDescent="0.25">
      <c r="B2136" s="192"/>
    </row>
    <row r="2137" spans="2:2" x14ac:dyDescent="0.25">
      <c r="B2137" s="192"/>
    </row>
    <row r="2138" spans="2:2" x14ac:dyDescent="0.25">
      <c r="B2138" s="192"/>
    </row>
    <row r="2139" spans="2:2" x14ac:dyDescent="0.25">
      <c r="B2139" s="192"/>
    </row>
    <row r="2140" spans="2:2" x14ac:dyDescent="0.25">
      <c r="B2140" s="192"/>
    </row>
    <row r="2141" spans="2:2" x14ac:dyDescent="0.25">
      <c r="B2141" s="192"/>
    </row>
    <row r="2142" spans="2:2" x14ac:dyDescent="0.25">
      <c r="B2142" s="192"/>
    </row>
    <row r="2143" spans="2:2" x14ac:dyDescent="0.25">
      <c r="B2143" s="192"/>
    </row>
    <row r="2144" spans="2:2" x14ac:dyDescent="0.25">
      <c r="B2144" s="192"/>
    </row>
    <row r="2145" spans="2:2" x14ac:dyDescent="0.25">
      <c r="B2145" s="192"/>
    </row>
    <row r="2146" spans="2:2" x14ac:dyDescent="0.25">
      <c r="B2146" s="192"/>
    </row>
    <row r="2147" spans="2:2" x14ac:dyDescent="0.25">
      <c r="B2147" s="192"/>
    </row>
    <row r="2148" spans="2:2" x14ac:dyDescent="0.25">
      <c r="B2148" s="192"/>
    </row>
    <row r="2149" spans="2:2" x14ac:dyDescent="0.25">
      <c r="B2149" s="192"/>
    </row>
    <row r="2150" spans="2:2" x14ac:dyDescent="0.25">
      <c r="B2150" s="192"/>
    </row>
    <row r="2151" spans="2:2" x14ac:dyDescent="0.25">
      <c r="B2151" s="192"/>
    </row>
    <row r="2152" spans="2:2" x14ac:dyDescent="0.25">
      <c r="B2152" s="192"/>
    </row>
    <row r="2153" spans="2:2" x14ac:dyDescent="0.25">
      <c r="B2153" s="192"/>
    </row>
    <row r="2154" spans="2:2" x14ac:dyDescent="0.25">
      <c r="B2154" s="192"/>
    </row>
    <row r="2155" spans="2:2" x14ac:dyDescent="0.25">
      <c r="B2155" s="192"/>
    </row>
    <row r="2156" spans="2:2" x14ac:dyDescent="0.25">
      <c r="B2156" s="192"/>
    </row>
    <row r="2157" spans="2:2" x14ac:dyDescent="0.25">
      <c r="B2157" s="192"/>
    </row>
    <row r="2158" spans="2:2" x14ac:dyDescent="0.25">
      <c r="B2158" s="192"/>
    </row>
    <row r="2159" spans="2:2" x14ac:dyDescent="0.25">
      <c r="B2159" s="192"/>
    </row>
    <row r="2160" spans="2:2" x14ac:dyDescent="0.25">
      <c r="B2160" s="192"/>
    </row>
    <row r="2161" spans="2:2" x14ac:dyDescent="0.25">
      <c r="B2161" s="192"/>
    </row>
    <row r="2162" spans="2:2" x14ac:dyDescent="0.25">
      <c r="B2162" s="192"/>
    </row>
    <row r="2163" spans="2:2" x14ac:dyDescent="0.25">
      <c r="B2163" s="192"/>
    </row>
    <row r="2164" spans="2:2" x14ac:dyDescent="0.25">
      <c r="B2164" s="192"/>
    </row>
    <row r="2165" spans="2:2" x14ac:dyDescent="0.25">
      <c r="B2165" s="192"/>
    </row>
    <row r="2166" spans="2:2" x14ac:dyDescent="0.25">
      <c r="B2166" s="192"/>
    </row>
    <row r="2167" spans="2:2" x14ac:dyDescent="0.25">
      <c r="B2167" s="192"/>
    </row>
    <row r="2168" spans="2:2" x14ac:dyDescent="0.25">
      <c r="B2168" s="192"/>
    </row>
    <row r="2169" spans="2:2" x14ac:dyDescent="0.25">
      <c r="B2169" s="192"/>
    </row>
    <row r="2170" spans="2:2" x14ac:dyDescent="0.25">
      <c r="B2170" s="192"/>
    </row>
    <row r="2171" spans="2:2" x14ac:dyDescent="0.25">
      <c r="B2171" s="192"/>
    </row>
    <row r="2172" spans="2:2" x14ac:dyDescent="0.25">
      <c r="B2172" s="192"/>
    </row>
    <row r="2173" spans="2:2" x14ac:dyDescent="0.25">
      <c r="B2173" s="192"/>
    </row>
    <row r="2174" spans="2:2" x14ac:dyDescent="0.25">
      <c r="B2174" s="192"/>
    </row>
    <row r="2175" spans="2:2" x14ac:dyDescent="0.25">
      <c r="B2175" s="192"/>
    </row>
    <row r="2176" spans="2:2" x14ac:dyDescent="0.25">
      <c r="B2176" s="192"/>
    </row>
    <row r="2177" spans="2:2" x14ac:dyDescent="0.25">
      <c r="B2177" s="192"/>
    </row>
    <row r="2178" spans="2:2" x14ac:dyDescent="0.25">
      <c r="B2178" s="192"/>
    </row>
    <row r="2179" spans="2:2" x14ac:dyDescent="0.25">
      <c r="B2179" s="192"/>
    </row>
    <row r="2180" spans="2:2" x14ac:dyDescent="0.25">
      <c r="B2180" s="192"/>
    </row>
    <row r="2181" spans="2:2" x14ac:dyDescent="0.25">
      <c r="B2181" s="192"/>
    </row>
    <row r="2182" spans="2:2" x14ac:dyDescent="0.25">
      <c r="B2182" s="192"/>
    </row>
    <row r="2183" spans="2:2" x14ac:dyDescent="0.25">
      <c r="B2183" s="192"/>
    </row>
    <row r="2184" spans="2:2" x14ac:dyDescent="0.25">
      <c r="B2184" s="192"/>
    </row>
    <row r="2185" spans="2:2" x14ac:dyDescent="0.25">
      <c r="B2185" s="192"/>
    </row>
    <row r="2186" spans="2:2" x14ac:dyDescent="0.25">
      <c r="B2186" s="192"/>
    </row>
    <row r="2187" spans="2:2" x14ac:dyDescent="0.25">
      <c r="B2187" s="192"/>
    </row>
    <row r="2188" spans="2:2" x14ac:dyDescent="0.25">
      <c r="B2188" s="192"/>
    </row>
    <row r="2189" spans="2:2" x14ac:dyDescent="0.25">
      <c r="B2189" s="192"/>
    </row>
    <row r="2190" spans="2:2" x14ac:dyDescent="0.25">
      <c r="B2190" s="192"/>
    </row>
    <row r="2191" spans="2:2" x14ac:dyDescent="0.25">
      <c r="B2191" s="192"/>
    </row>
    <row r="2192" spans="2:2" x14ac:dyDescent="0.25">
      <c r="B2192" s="192"/>
    </row>
    <row r="2193" spans="2:2" x14ac:dyDescent="0.25">
      <c r="B2193" s="192"/>
    </row>
    <row r="2194" spans="2:2" x14ac:dyDescent="0.25">
      <c r="B2194" s="192"/>
    </row>
    <row r="2195" spans="2:2" x14ac:dyDescent="0.25">
      <c r="B2195" s="192"/>
    </row>
    <row r="2196" spans="2:2" x14ac:dyDescent="0.25">
      <c r="B2196" s="192"/>
    </row>
    <row r="2197" spans="2:2" x14ac:dyDescent="0.25">
      <c r="B2197" s="192"/>
    </row>
    <row r="2198" spans="2:2" x14ac:dyDescent="0.25">
      <c r="B2198" s="192"/>
    </row>
    <row r="2199" spans="2:2" x14ac:dyDescent="0.25">
      <c r="B2199" s="192"/>
    </row>
    <row r="2200" spans="2:2" x14ac:dyDescent="0.25">
      <c r="B2200" s="192"/>
    </row>
    <row r="2201" spans="2:2" x14ac:dyDescent="0.25">
      <c r="B2201" s="192"/>
    </row>
    <row r="2202" spans="2:2" x14ac:dyDescent="0.25">
      <c r="B2202" s="192"/>
    </row>
    <row r="2203" spans="2:2" x14ac:dyDescent="0.25">
      <c r="B2203" s="192"/>
    </row>
    <row r="2204" spans="2:2" x14ac:dyDescent="0.25">
      <c r="B2204" s="192"/>
    </row>
    <row r="2205" spans="2:2" x14ac:dyDescent="0.25">
      <c r="B2205" s="192"/>
    </row>
    <row r="2206" spans="2:2" x14ac:dyDescent="0.25">
      <c r="B2206" s="192"/>
    </row>
    <row r="2207" spans="2:2" x14ac:dyDescent="0.25">
      <c r="B2207" s="192"/>
    </row>
    <row r="2208" spans="2:2" x14ac:dyDescent="0.25">
      <c r="B2208" s="192"/>
    </row>
    <row r="2209" spans="2:2" x14ac:dyDescent="0.25">
      <c r="B2209" s="192"/>
    </row>
    <row r="2210" spans="2:2" x14ac:dyDescent="0.25">
      <c r="B2210" s="192"/>
    </row>
    <row r="2211" spans="2:2" x14ac:dyDescent="0.25">
      <c r="B2211" s="192"/>
    </row>
    <row r="2212" spans="2:2" x14ac:dyDescent="0.25">
      <c r="B2212" s="192"/>
    </row>
    <row r="2213" spans="2:2" x14ac:dyDescent="0.25">
      <c r="B2213" s="192"/>
    </row>
    <row r="2214" spans="2:2" x14ac:dyDescent="0.25">
      <c r="B2214" s="192"/>
    </row>
    <row r="2215" spans="2:2" x14ac:dyDescent="0.25">
      <c r="B2215" s="192"/>
    </row>
    <row r="2216" spans="2:2" x14ac:dyDescent="0.25">
      <c r="B2216" s="192"/>
    </row>
    <row r="2217" spans="2:2" x14ac:dyDescent="0.25">
      <c r="B2217" s="192"/>
    </row>
    <row r="2218" spans="2:2" x14ac:dyDescent="0.25">
      <c r="B2218" s="192"/>
    </row>
    <row r="2219" spans="2:2" x14ac:dyDescent="0.25">
      <c r="B2219" s="192"/>
    </row>
    <row r="2220" spans="2:2" x14ac:dyDescent="0.25">
      <c r="B2220" s="192"/>
    </row>
    <row r="2221" spans="2:2" x14ac:dyDescent="0.25">
      <c r="B2221" s="192"/>
    </row>
    <row r="2222" spans="2:2" x14ac:dyDescent="0.25">
      <c r="B2222" s="192"/>
    </row>
    <row r="2223" spans="2:2" x14ac:dyDescent="0.25">
      <c r="B2223" s="192"/>
    </row>
    <row r="2224" spans="2:2" x14ac:dyDescent="0.25">
      <c r="B2224" s="192"/>
    </row>
    <row r="2225" spans="2:2" x14ac:dyDescent="0.25">
      <c r="B2225" s="192"/>
    </row>
    <row r="2226" spans="2:2" x14ac:dyDescent="0.25">
      <c r="B2226" s="192"/>
    </row>
    <row r="2227" spans="2:2" x14ac:dyDescent="0.25">
      <c r="B2227" s="192"/>
    </row>
    <row r="2228" spans="2:2" x14ac:dyDescent="0.25">
      <c r="B2228" s="192"/>
    </row>
    <row r="2229" spans="2:2" x14ac:dyDescent="0.25">
      <c r="B2229" s="192"/>
    </row>
    <row r="2230" spans="2:2" x14ac:dyDescent="0.25">
      <c r="B2230" s="192"/>
    </row>
    <row r="2231" spans="2:2" x14ac:dyDescent="0.25">
      <c r="B2231" s="192"/>
    </row>
    <row r="2232" spans="2:2" x14ac:dyDescent="0.25">
      <c r="B2232" s="192"/>
    </row>
    <row r="2233" spans="2:2" x14ac:dyDescent="0.25">
      <c r="B2233" s="192"/>
    </row>
    <row r="2234" spans="2:2" x14ac:dyDescent="0.25">
      <c r="B2234" s="192"/>
    </row>
    <row r="2235" spans="2:2" x14ac:dyDescent="0.25">
      <c r="B2235" s="192"/>
    </row>
    <row r="2236" spans="2:2" x14ac:dyDescent="0.25">
      <c r="B2236" s="192"/>
    </row>
    <row r="2237" spans="2:2" x14ac:dyDescent="0.25">
      <c r="B2237" s="192"/>
    </row>
    <row r="2238" spans="2:2" x14ac:dyDescent="0.25">
      <c r="B2238" s="192"/>
    </row>
    <row r="2239" spans="2:2" x14ac:dyDescent="0.25">
      <c r="B2239" s="192"/>
    </row>
    <row r="2240" spans="2:2" x14ac:dyDescent="0.25">
      <c r="B2240" s="192"/>
    </row>
    <row r="2241" spans="2:2" x14ac:dyDescent="0.25">
      <c r="B2241" s="192"/>
    </row>
    <row r="2242" spans="2:2" x14ac:dyDescent="0.25">
      <c r="B2242" s="192"/>
    </row>
    <row r="2243" spans="2:2" x14ac:dyDescent="0.25">
      <c r="B2243" s="192"/>
    </row>
    <row r="2244" spans="2:2" x14ac:dyDescent="0.25">
      <c r="B2244" s="192"/>
    </row>
    <row r="2245" spans="2:2" x14ac:dyDescent="0.25">
      <c r="B2245" s="192"/>
    </row>
    <row r="2246" spans="2:2" x14ac:dyDescent="0.25">
      <c r="B2246" s="192"/>
    </row>
    <row r="2247" spans="2:2" x14ac:dyDescent="0.25">
      <c r="B2247" s="192"/>
    </row>
    <row r="2248" spans="2:2" x14ac:dyDescent="0.25">
      <c r="B2248" s="192"/>
    </row>
    <row r="2249" spans="2:2" x14ac:dyDescent="0.25">
      <c r="B2249" s="192"/>
    </row>
    <row r="2250" spans="2:2" x14ac:dyDescent="0.25">
      <c r="B2250" s="192"/>
    </row>
    <row r="2251" spans="2:2" x14ac:dyDescent="0.25">
      <c r="B2251" s="192"/>
    </row>
    <row r="2252" spans="2:2" x14ac:dyDescent="0.25">
      <c r="B2252" s="192"/>
    </row>
    <row r="2253" spans="2:2" x14ac:dyDescent="0.25">
      <c r="B2253" s="192"/>
    </row>
    <row r="2254" spans="2:2" x14ac:dyDescent="0.25">
      <c r="B2254" s="192"/>
    </row>
    <row r="2255" spans="2:2" x14ac:dyDescent="0.25">
      <c r="B2255" s="192"/>
    </row>
    <row r="2256" spans="2:2" x14ac:dyDescent="0.25">
      <c r="B2256" s="192"/>
    </row>
    <row r="2257" spans="2:2" x14ac:dyDescent="0.25">
      <c r="B2257" s="192"/>
    </row>
    <row r="2258" spans="2:2" x14ac:dyDescent="0.25">
      <c r="B2258" s="192"/>
    </row>
    <row r="2259" spans="2:2" x14ac:dyDescent="0.25">
      <c r="B2259" s="192"/>
    </row>
    <row r="2260" spans="2:2" x14ac:dyDescent="0.25">
      <c r="B2260" s="192"/>
    </row>
    <row r="2261" spans="2:2" x14ac:dyDescent="0.25">
      <c r="B2261" s="192"/>
    </row>
    <row r="2262" spans="2:2" x14ac:dyDescent="0.25">
      <c r="B2262" s="192"/>
    </row>
    <row r="2263" spans="2:2" x14ac:dyDescent="0.25">
      <c r="B2263" s="192"/>
    </row>
    <row r="2264" spans="2:2" x14ac:dyDescent="0.25">
      <c r="B2264" s="192"/>
    </row>
    <row r="2265" spans="2:2" x14ac:dyDescent="0.25">
      <c r="B2265" s="192"/>
    </row>
    <row r="2266" spans="2:2" x14ac:dyDescent="0.25">
      <c r="B2266" s="192"/>
    </row>
    <row r="2267" spans="2:2" x14ac:dyDescent="0.25">
      <c r="B2267" s="192"/>
    </row>
    <row r="2268" spans="2:2" x14ac:dyDescent="0.25">
      <c r="B2268" s="192"/>
    </row>
    <row r="2269" spans="2:2" x14ac:dyDescent="0.25">
      <c r="B2269" s="192"/>
    </row>
    <row r="2270" spans="2:2" x14ac:dyDescent="0.25">
      <c r="B2270" s="192"/>
    </row>
    <row r="2271" spans="2:2" x14ac:dyDescent="0.25">
      <c r="B2271" s="192"/>
    </row>
    <row r="2272" spans="2:2" x14ac:dyDescent="0.25">
      <c r="B2272" s="192"/>
    </row>
    <row r="2273" spans="2:2" x14ac:dyDescent="0.25">
      <c r="B2273" s="192"/>
    </row>
    <row r="2274" spans="2:2" x14ac:dyDescent="0.25">
      <c r="B2274" s="192"/>
    </row>
    <row r="2275" spans="2:2" x14ac:dyDescent="0.25">
      <c r="B2275" s="192"/>
    </row>
    <row r="2276" spans="2:2" x14ac:dyDescent="0.25">
      <c r="B2276" s="192"/>
    </row>
    <row r="2277" spans="2:2" x14ac:dyDescent="0.25">
      <c r="B2277" s="192"/>
    </row>
    <row r="2278" spans="2:2" x14ac:dyDescent="0.25">
      <c r="B2278" s="192"/>
    </row>
    <row r="2279" spans="2:2" x14ac:dyDescent="0.25">
      <c r="B2279" s="192"/>
    </row>
    <row r="2280" spans="2:2" x14ac:dyDescent="0.25">
      <c r="B2280" s="192"/>
    </row>
    <row r="2281" spans="2:2" x14ac:dyDescent="0.25">
      <c r="B2281" s="192"/>
    </row>
    <row r="2282" spans="2:2" x14ac:dyDescent="0.25">
      <c r="B2282" s="192"/>
    </row>
    <row r="2283" spans="2:2" x14ac:dyDescent="0.25">
      <c r="B2283" s="192"/>
    </row>
    <row r="2284" spans="2:2" x14ac:dyDescent="0.25">
      <c r="B2284" s="192"/>
    </row>
    <row r="2285" spans="2:2" x14ac:dyDescent="0.25">
      <c r="B2285" s="192"/>
    </row>
    <row r="2286" spans="2:2" x14ac:dyDescent="0.25">
      <c r="B2286" s="192"/>
    </row>
    <row r="2287" spans="2:2" x14ac:dyDescent="0.25">
      <c r="B2287" s="192"/>
    </row>
    <row r="2288" spans="2:2" x14ac:dyDescent="0.25">
      <c r="B2288" s="192"/>
    </row>
    <row r="2289" spans="2:2" x14ac:dyDescent="0.25">
      <c r="B2289" s="192"/>
    </row>
    <row r="2290" spans="2:2" x14ac:dyDescent="0.25">
      <c r="B2290" s="192"/>
    </row>
    <row r="2291" spans="2:2" x14ac:dyDescent="0.25">
      <c r="B2291" s="192"/>
    </row>
    <row r="2292" spans="2:2" x14ac:dyDescent="0.25">
      <c r="B2292" s="192"/>
    </row>
    <row r="2293" spans="2:2" x14ac:dyDescent="0.25">
      <c r="B2293" s="192"/>
    </row>
    <row r="2294" spans="2:2" x14ac:dyDescent="0.25">
      <c r="B2294" s="192"/>
    </row>
    <row r="2295" spans="2:2" x14ac:dyDescent="0.25">
      <c r="B2295" s="192"/>
    </row>
    <row r="2296" spans="2:2" x14ac:dyDescent="0.25">
      <c r="B2296" s="192"/>
    </row>
    <row r="2297" spans="2:2" x14ac:dyDescent="0.25">
      <c r="B2297" s="192"/>
    </row>
    <row r="2298" spans="2:2" x14ac:dyDescent="0.25">
      <c r="B2298" s="192"/>
    </row>
    <row r="2299" spans="2:2" x14ac:dyDescent="0.25">
      <c r="B2299" s="192"/>
    </row>
    <row r="2300" spans="2:2" x14ac:dyDescent="0.25">
      <c r="B2300" s="192"/>
    </row>
    <row r="2301" spans="2:2" x14ac:dyDescent="0.25">
      <c r="B2301" s="192"/>
    </row>
    <row r="2302" spans="2:2" x14ac:dyDescent="0.25">
      <c r="B2302" s="192"/>
    </row>
    <row r="2303" spans="2:2" x14ac:dyDescent="0.25">
      <c r="B2303" s="192"/>
    </row>
    <row r="2304" spans="2:2" x14ac:dyDescent="0.25">
      <c r="B2304" s="192"/>
    </row>
    <row r="2305" spans="2:2" x14ac:dyDescent="0.25">
      <c r="B2305" s="192"/>
    </row>
    <row r="2306" spans="2:2" x14ac:dyDescent="0.25">
      <c r="B2306" s="192"/>
    </row>
    <row r="2307" spans="2:2" x14ac:dyDescent="0.25">
      <c r="B2307" s="192"/>
    </row>
    <row r="2308" spans="2:2" x14ac:dyDescent="0.25">
      <c r="B2308" s="192"/>
    </row>
    <row r="2309" spans="2:2" x14ac:dyDescent="0.25">
      <c r="B2309" s="192"/>
    </row>
    <row r="2310" spans="2:2" x14ac:dyDescent="0.25">
      <c r="B2310" s="192"/>
    </row>
    <row r="2311" spans="2:2" x14ac:dyDescent="0.25">
      <c r="B2311" s="192"/>
    </row>
    <row r="2312" spans="2:2" x14ac:dyDescent="0.25">
      <c r="B2312" s="192"/>
    </row>
    <row r="2313" spans="2:2" x14ac:dyDescent="0.25">
      <c r="B2313" s="192"/>
    </row>
    <row r="2314" spans="2:2" x14ac:dyDescent="0.25">
      <c r="B2314" s="192"/>
    </row>
    <row r="2315" spans="2:2" x14ac:dyDescent="0.25">
      <c r="B2315" s="192"/>
    </row>
    <row r="2316" spans="2:2" x14ac:dyDescent="0.25">
      <c r="B2316" s="192"/>
    </row>
    <row r="2317" spans="2:2" x14ac:dyDescent="0.25">
      <c r="B2317" s="192"/>
    </row>
    <row r="2318" spans="2:2" x14ac:dyDescent="0.25">
      <c r="B2318" s="192"/>
    </row>
    <row r="2319" spans="2:2" x14ac:dyDescent="0.25">
      <c r="B2319" s="192"/>
    </row>
    <row r="2320" spans="2:2" x14ac:dyDescent="0.25">
      <c r="B2320" s="192"/>
    </row>
    <row r="2321" spans="2:2" x14ac:dyDescent="0.25">
      <c r="B2321" s="192"/>
    </row>
    <row r="2322" spans="2:2" x14ac:dyDescent="0.25">
      <c r="B2322" s="192"/>
    </row>
    <row r="2323" spans="2:2" x14ac:dyDescent="0.25">
      <c r="B2323" s="192"/>
    </row>
    <row r="2324" spans="2:2" x14ac:dyDescent="0.25">
      <c r="B2324" s="192"/>
    </row>
    <row r="2325" spans="2:2" x14ac:dyDescent="0.25">
      <c r="B2325" s="192"/>
    </row>
    <row r="2326" spans="2:2" x14ac:dyDescent="0.25">
      <c r="B2326" s="192"/>
    </row>
    <row r="2327" spans="2:2" x14ac:dyDescent="0.25">
      <c r="B2327" s="192"/>
    </row>
    <row r="2328" spans="2:2" x14ac:dyDescent="0.25">
      <c r="B2328" s="192"/>
    </row>
    <row r="2329" spans="2:2" x14ac:dyDescent="0.25">
      <c r="B2329" s="192"/>
    </row>
    <row r="2330" spans="2:2" x14ac:dyDescent="0.25">
      <c r="B2330" s="192"/>
    </row>
    <row r="2331" spans="2:2" x14ac:dyDescent="0.25">
      <c r="B2331" s="192"/>
    </row>
    <row r="2332" spans="2:2" x14ac:dyDescent="0.25">
      <c r="B2332" s="192"/>
    </row>
    <row r="2333" spans="2:2" x14ac:dyDescent="0.25">
      <c r="B2333" s="192"/>
    </row>
    <row r="2334" spans="2:2" x14ac:dyDescent="0.25">
      <c r="B2334" s="192"/>
    </row>
    <row r="2335" spans="2:2" x14ac:dyDescent="0.25">
      <c r="B2335" s="192"/>
    </row>
    <row r="2336" spans="2:2" x14ac:dyDescent="0.25">
      <c r="B2336" s="192"/>
    </row>
    <row r="2337" spans="2:2" x14ac:dyDescent="0.25">
      <c r="B2337" s="192"/>
    </row>
    <row r="2338" spans="2:2" x14ac:dyDescent="0.25">
      <c r="B2338" s="192"/>
    </row>
    <row r="2339" spans="2:2" x14ac:dyDescent="0.25">
      <c r="B2339" s="192"/>
    </row>
    <row r="2340" spans="2:2" x14ac:dyDescent="0.25">
      <c r="B2340" s="192"/>
    </row>
    <row r="2341" spans="2:2" x14ac:dyDescent="0.25">
      <c r="B2341" s="192"/>
    </row>
    <row r="2342" spans="2:2" x14ac:dyDescent="0.25">
      <c r="B2342" s="192"/>
    </row>
    <row r="2343" spans="2:2" x14ac:dyDescent="0.25">
      <c r="B2343" s="192"/>
    </row>
    <row r="2344" spans="2:2" x14ac:dyDescent="0.25">
      <c r="B2344" s="192"/>
    </row>
    <row r="2345" spans="2:2" x14ac:dyDescent="0.25">
      <c r="B2345" s="192"/>
    </row>
    <row r="2346" spans="2:2" x14ac:dyDescent="0.25">
      <c r="B2346" s="192"/>
    </row>
    <row r="2347" spans="2:2" x14ac:dyDescent="0.25">
      <c r="B2347" s="192"/>
    </row>
    <row r="2348" spans="2:2" x14ac:dyDescent="0.25">
      <c r="B2348" s="192"/>
    </row>
    <row r="2349" spans="2:2" x14ac:dyDescent="0.25">
      <c r="B2349" s="192"/>
    </row>
    <row r="2350" spans="2:2" x14ac:dyDescent="0.25">
      <c r="B2350" s="192"/>
    </row>
    <row r="2351" spans="2:2" x14ac:dyDescent="0.25">
      <c r="B2351" s="192"/>
    </row>
    <row r="2352" spans="2:2" x14ac:dyDescent="0.25">
      <c r="B2352" s="192"/>
    </row>
    <row r="2353" spans="2:2" x14ac:dyDescent="0.25">
      <c r="B2353" s="192"/>
    </row>
    <row r="2354" spans="2:2" x14ac:dyDescent="0.25">
      <c r="B2354" s="192"/>
    </row>
    <row r="2355" spans="2:2" x14ac:dyDescent="0.25">
      <c r="B2355" s="192"/>
    </row>
    <row r="2356" spans="2:2" x14ac:dyDescent="0.25">
      <c r="B2356" s="192"/>
    </row>
    <row r="2357" spans="2:2" x14ac:dyDescent="0.25">
      <c r="B2357" s="192"/>
    </row>
    <row r="2358" spans="2:2" x14ac:dyDescent="0.25">
      <c r="B2358" s="192"/>
    </row>
    <row r="2359" spans="2:2" x14ac:dyDescent="0.25">
      <c r="B2359" s="192"/>
    </row>
    <row r="2360" spans="2:2" x14ac:dyDescent="0.25">
      <c r="B2360" s="192"/>
    </row>
    <row r="2361" spans="2:2" x14ac:dyDescent="0.25">
      <c r="B2361" s="192"/>
    </row>
    <row r="2362" spans="2:2" x14ac:dyDescent="0.25">
      <c r="B2362" s="192"/>
    </row>
    <row r="2363" spans="2:2" x14ac:dyDescent="0.25">
      <c r="B2363" s="192"/>
    </row>
    <row r="2364" spans="2:2" x14ac:dyDescent="0.25">
      <c r="B2364" s="192"/>
    </row>
    <row r="2365" spans="2:2" x14ac:dyDescent="0.25">
      <c r="B2365" s="192"/>
    </row>
    <row r="2366" spans="2:2" x14ac:dyDescent="0.25">
      <c r="B2366" s="192"/>
    </row>
    <row r="2367" spans="2:2" x14ac:dyDescent="0.25">
      <c r="B2367" s="192"/>
    </row>
    <row r="2368" spans="2:2" x14ac:dyDescent="0.25">
      <c r="B2368" s="192"/>
    </row>
    <row r="2369" spans="2:2" x14ac:dyDescent="0.25">
      <c r="B2369" s="192"/>
    </row>
    <row r="2370" spans="2:2" x14ac:dyDescent="0.25">
      <c r="B2370" s="192"/>
    </row>
    <row r="2371" spans="2:2" x14ac:dyDescent="0.25">
      <c r="B2371" s="192"/>
    </row>
    <row r="2372" spans="2:2" x14ac:dyDescent="0.25">
      <c r="B2372" s="192"/>
    </row>
    <row r="2373" spans="2:2" x14ac:dyDescent="0.25">
      <c r="B2373" s="192"/>
    </row>
    <row r="2374" spans="2:2" x14ac:dyDescent="0.25">
      <c r="B2374" s="192"/>
    </row>
    <row r="2375" spans="2:2" x14ac:dyDescent="0.25">
      <c r="B2375" s="192"/>
    </row>
    <row r="2376" spans="2:2" x14ac:dyDescent="0.25">
      <c r="B2376" s="192"/>
    </row>
    <row r="2377" spans="2:2" x14ac:dyDescent="0.25">
      <c r="B2377" s="192"/>
    </row>
    <row r="2378" spans="2:2" x14ac:dyDescent="0.25">
      <c r="B2378" s="192"/>
    </row>
    <row r="2379" spans="2:2" x14ac:dyDescent="0.25">
      <c r="B2379" s="192"/>
    </row>
    <row r="2380" spans="2:2" x14ac:dyDescent="0.25">
      <c r="B2380" s="192"/>
    </row>
    <row r="2381" spans="2:2" x14ac:dyDescent="0.25">
      <c r="B2381" s="192"/>
    </row>
    <row r="2382" spans="2:2" x14ac:dyDescent="0.25">
      <c r="B2382" s="192"/>
    </row>
    <row r="2383" spans="2:2" x14ac:dyDescent="0.25">
      <c r="B2383" s="192"/>
    </row>
    <row r="2384" spans="2:2" x14ac:dyDescent="0.25">
      <c r="B2384" s="192"/>
    </row>
    <row r="2385" spans="2:2" x14ac:dyDescent="0.25">
      <c r="B2385" s="192"/>
    </row>
    <row r="2386" spans="2:2" x14ac:dyDescent="0.25">
      <c r="B2386" s="192"/>
    </row>
    <row r="2387" spans="2:2" x14ac:dyDescent="0.25">
      <c r="B2387" s="192"/>
    </row>
    <row r="2388" spans="2:2" x14ac:dyDescent="0.25">
      <c r="B2388" s="192"/>
    </row>
    <row r="2389" spans="2:2" x14ac:dyDescent="0.25">
      <c r="B2389" s="192"/>
    </row>
    <row r="2390" spans="2:2" x14ac:dyDescent="0.25">
      <c r="B2390" s="192"/>
    </row>
    <row r="2391" spans="2:2" x14ac:dyDescent="0.25">
      <c r="B2391" s="192"/>
    </row>
    <row r="2392" spans="2:2" x14ac:dyDescent="0.25">
      <c r="B2392" s="192"/>
    </row>
    <row r="2393" spans="2:2" x14ac:dyDescent="0.25">
      <c r="B2393" s="192"/>
    </row>
    <row r="2394" spans="2:2" x14ac:dyDescent="0.25">
      <c r="B2394" s="192"/>
    </row>
    <row r="2395" spans="2:2" x14ac:dyDescent="0.25">
      <c r="B2395" s="192"/>
    </row>
    <row r="2396" spans="2:2" x14ac:dyDescent="0.25">
      <c r="B2396" s="192"/>
    </row>
    <row r="2397" spans="2:2" x14ac:dyDescent="0.25">
      <c r="B2397" s="192"/>
    </row>
    <row r="2398" spans="2:2" x14ac:dyDescent="0.25">
      <c r="B2398" s="192"/>
    </row>
    <row r="2399" spans="2:2" x14ac:dyDescent="0.25">
      <c r="B2399" s="192"/>
    </row>
    <row r="2400" spans="2:2" x14ac:dyDescent="0.25">
      <c r="B2400" s="192"/>
    </row>
    <row r="2401" spans="2:2" x14ac:dyDescent="0.25">
      <c r="B2401" s="192"/>
    </row>
    <row r="2402" spans="2:2" x14ac:dyDescent="0.25">
      <c r="B2402" s="192"/>
    </row>
    <row r="2403" spans="2:2" x14ac:dyDescent="0.25">
      <c r="B2403" s="192"/>
    </row>
    <row r="2404" spans="2:2" x14ac:dyDescent="0.25">
      <c r="B2404" s="192"/>
    </row>
    <row r="2405" spans="2:2" x14ac:dyDescent="0.25">
      <c r="B2405" s="192"/>
    </row>
    <row r="2406" spans="2:2" x14ac:dyDescent="0.25">
      <c r="B2406" s="192"/>
    </row>
    <row r="2407" spans="2:2" x14ac:dyDescent="0.25">
      <c r="B2407" s="192"/>
    </row>
    <row r="2408" spans="2:2" x14ac:dyDescent="0.25">
      <c r="B2408" s="192"/>
    </row>
    <row r="2409" spans="2:2" x14ac:dyDescent="0.25">
      <c r="B2409" s="192"/>
    </row>
    <row r="2410" spans="2:2" x14ac:dyDescent="0.25">
      <c r="B2410" s="192"/>
    </row>
    <row r="2411" spans="2:2" x14ac:dyDescent="0.25">
      <c r="B2411" s="192"/>
    </row>
    <row r="2412" spans="2:2" x14ac:dyDescent="0.25">
      <c r="B2412" s="192"/>
    </row>
    <row r="2413" spans="2:2" x14ac:dyDescent="0.25">
      <c r="B2413" s="192"/>
    </row>
    <row r="2414" spans="2:2" x14ac:dyDescent="0.25">
      <c r="B2414" s="192"/>
    </row>
    <row r="2415" spans="2:2" x14ac:dyDescent="0.25">
      <c r="B2415" s="192"/>
    </row>
    <row r="2416" spans="2:2" x14ac:dyDescent="0.25">
      <c r="B2416" s="192"/>
    </row>
    <row r="2417" spans="2:2" x14ac:dyDescent="0.25">
      <c r="B2417" s="192"/>
    </row>
    <row r="2418" spans="2:2" x14ac:dyDescent="0.25">
      <c r="B2418" s="192"/>
    </row>
    <row r="2419" spans="2:2" x14ac:dyDescent="0.25">
      <c r="B2419" s="192"/>
    </row>
    <row r="2420" spans="2:2" x14ac:dyDescent="0.25">
      <c r="B2420" s="192"/>
    </row>
    <row r="2421" spans="2:2" x14ac:dyDescent="0.25">
      <c r="B2421" s="192"/>
    </row>
    <row r="2422" spans="2:2" x14ac:dyDescent="0.25">
      <c r="B2422" s="192"/>
    </row>
    <row r="2423" spans="2:2" x14ac:dyDescent="0.25">
      <c r="B2423" s="192"/>
    </row>
    <row r="2424" spans="2:2" x14ac:dyDescent="0.25">
      <c r="B2424" s="192"/>
    </row>
    <row r="2425" spans="2:2" x14ac:dyDescent="0.25">
      <c r="B2425" s="192"/>
    </row>
    <row r="2426" spans="2:2" x14ac:dyDescent="0.25">
      <c r="B2426" s="192"/>
    </row>
    <row r="2427" spans="2:2" x14ac:dyDescent="0.25">
      <c r="B2427" s="192"/>
    </row>
    <row r="2428" spans="2:2" x14ac:dyDescent="0.25">
      <c r="B2428" s="192"/>
    </row>
    <row r="2429" spans="2:2" x14ac:dyDescent="0.25">
      <c r="B2429" s="192"/>
    </row>
    <row r="2430" spans="2:2" x14ac:dyDescent="0.25">
      <c r="B2430" s="192"/>
    </row>
    <row r="2431" spans="2:2" x14ac:dyDescent="0.25">
      <c r="B2431" s="192"/>
    </row>
    <row r="2432" spans="2:2" x14ac:dyDescent="0.25">
      <c r="B2432" s="192"/>
    </row>
    <row r="2433" spans="2:2" x14ac:dyDescent="0.25">
      <c r="B2433" s="192"/>
    </row>
    <row r="2434" spans="2:2" x14ac:dyDescent="0.25">
      <c r="B2434" s="192"/>
    </row>
    <row r="2435" spans="2:2" x14ac:dyDescent="0.25">
      <c r="B2435" s="192"/>
    </row>
    <row r="2436" spans="2:2" x14ac:dyDescent="0.25">
      <c r="B2436" s="192"/>
    </row>
    <row r="2437" spans="2:2" x14ac:dyDescent="0.25">
      <c r="B2437" s="192"/>
    </row>
    <row r="2438" spans="2:2" x14ac:dyDescent="0.25">
      <c r="B2438" s="192"/>
    </row>
    <row r="2439" spans="2:2" x14ac:dyDescent="0.25">
      <c r="B2439" s="192"/>
    </row>
    <row r="2440" spans="2:2" x14ac:dyDescent="0.25">
      <c r="B2440" s="192"/>
    </row>
    <row r="2441" spans="2:2" x14ac:dyDescent="0.25">
      <c r="B2441" s="192"/>
    </row>
    <row r="2442" spans="2:2" x14ac:dyDescent="0.25">
      <c r="B2442" s="192"/>
    </row>
    <row r="2443" spans="2:2" x14ac:dyDescent="0.25">
      <c r="B2443" s="192"/>
    </row>
    <row r="2444" spans="2:2" x14ac:dyDescent="0.25">
      <c r="B2444" s="192"/>
    </row>
    <row r="2445" spans="2:2" x14ac:dyDescent="0.25">
      <c r="B2445" s="192"/>
    </row>
    <row r="2446" spans="2:2" x14ac:dyDescent="0.25">
      <c r="B2446" s="192"/>
    </row>
    <row r="2447" spans="2:2" x14ac:dyDescent="0.25">
      <c r="B2447" s="192"/>
    </row>
    <row r="2448" spans="2:2" x14ac:dyDescent="0.25">
      <c r="B2448" s="192"/>
    </row>
    <row r="2449" spans="2:2" x14ac:dyDescent="0.25">
      <c r="B2449" s="192"/>
    </row>
    <row r="2450" spans="2:2" x14ac:dyDescent="0.25">
      <c r="B2450" s="192"/>
    </row>
    <row r="2451" spans="2:2" x14ac:dyDescent="0.25">
      <c r="B2451" s="192"/>
    </row>
    <row r="2452" spans="2:2" x14ac:dyDescent="0.25">
      <c r="B2452" s="192"/>
    </row>
    <row r="2453" spans="2:2" x14ac:dyDescent="0.25">
      <c r="B2453" s="192"/>
    </row>
    <row r="2454" spans="2:2" x14ac:dyDescent="0.25">
      <c r="B2454" s="192"/>
    </row>
    <row r="2455" spans="2:2" x14ac:dyDescent="0.25">
      <c r="B2455" s="192"/>
    </row>
    <row r="2456" spans="2:2" x14ac:dyDescent="0.25">
      <c r="B2456" s="192"/>
    </row>
    <row r="2457" spans="2:2" x14ac:dyDescent="0.25">
      <c r="B2457" s="192"/>
    </row>
    <row r="2458" spans="2:2" x14ac:dyDescent="0.25">
      <c r="B2458" s="192"/>
    </row>
    <row r="2459" spans="2:2" x14ac:dyDescent="0.25">
      <c r="B2459" s="192"/>
    </row>
    <row r="2460" spans="2:2" x14ac:dyDescent="0.25">
      <c r="B2460" s="192"/>
    </row>
    <row r="2461" spans="2:2" x14ac:dyDescent="0.25">
      <c r="B2461" s="192"/>
    </row>
    <row r="2462" spans="2:2" x14ac:dyDescent="0.25">
      <c r="B2462" s="192"/>
    </row>
    <row r="2463" spans="2:2" x14ac:dyDescent="0.25">
      <c r="B2463" s="192"/>
    </row>
    <row r="2464" spans="2:2" x14ac:dyDescent="0.25">
      <c r="B2464" s="192"/>
    </row>
    <row r="2465" spans="2:2" x14ac:dyDescent="0.25">
      <c r="B2465" s="192"/>
    </row>
    <row r="2466" spans="2:2" x14ac:dyDescent="0.25">
      <c r="B2466" s="192"/>
    </row>
    <row r="2467" spans="2:2" x14ac:dyDescent="0.25">
      <c r="B2467" s="192"/>
    </row>
    <row r="2468" spans="2:2" x14ac:dyDescent="0.25">
      <c r="B2468" s="192"/>
    </row>
    <row r="2469" spans="2:2" x14ac:dyDescent="0.25">
      <c r="B2469" s="192"/>
    </row>
    <row r="2470" spans="2:2" x14ac:dyDescent="0.25">
      <c r="B2470" s="192"/>
    </row>
    <row r="2471" spans="2:2" x14ac:dyDescent="0.25">
      <c r="B2471" s="192"/>
    </row>
    <row r="2472" spans="2:2" x14ac:dyDescent="0.25">
      <c r="B2472" s="192"/>
    </row>
    <row r="2473" spans="2:2" x14ac:dyDescent="0.25">
      <c r="B2473" s="192"/>
    </row>
    <row r="2474" spans="2:2" x14ac:dyDescent="0.25">
      <c r="B2474" s="192"/>
    </row>
    <row r="2475" spans="2:2" x14ac:dyDescent="0.25">
      <c r="B2475" s="192"/>
    </row>
    <row r="2476" spans="2:2" x14ac:dyDescent="0.25">
      <c r="B2476" s="192"/>
    </row>
    <row r="2477" spans="2:2" x14ac:dyDescent="0.25">
      <c r="B2477" s="192"/>
    </row>
    <row r="2478" spans="2:2" x14ac:dyDescent="0.25">
      <c r="B2478" s="192"/>
    </row>
    <row r="2479" spans="2:2" x14ac:dyDescent="0.25">
      <c r="B2479" s="192"/>
    </row>
    <row r="2480" spans="2:2" x14ac:dyDescent="0.25">
      <c r="B2480" s="192"/>
    </row>
    <row r="2481" spans="2:2" x14ac:dyDescent="0.25">
      <c r="B2481" s="192"/>
    </row>
    <row r="2482" spans="2:2" x14ac:dyDescent="0.25">
      <c r="B2482" s="192"/>
    </row>
    <row r="2483" spans="2:2" x14ac:dyDescent="0.25">
      <c r="B2483" s="192"/>
    </row>
    <row r="2484" spans="2:2" x14ac:dyDescent="0.25">
      <c r="B2484" s="192"/>
    </row>
    <row r="2485" spans="2:2" x14ac:dyDescent="0.25">
      <c r="B2485" s="192"/>
    </row>
    <row r="2486" spans="2:2" x14ac:dyDescent="0.25">
      <c r="B2486" s="192"/>
    </row>
    <row r="2487" spans="2:2" x14ac:dyDescent="0.25">
      <c r="B2487" s="192"/>
    </row>
    <row r="2488" spans="2:2" x14ac:dyDescent="0.25">
      <c r="B2488" s="192"/>
    </row>
    <row r="2489" spans="2:2" x14ac:dyDescent="0.25">
      <c r="B2489" s="192"/>
    </row>
    <row r="2490" spans="2:2" x14ac:dyDescent="0.25">
      <c r="B2490" s="192"/>
    </row>
    <row r="2491" spans="2:2" x14ac:dyDescent="0.25">
      <c r="B2491" s="192"/>
    </row>
    <row r="2492" spans="2:2" x14ac:dyDescent="0.25">
      <c r="B2492" s="192"/>
    </row>
    <row r="2493" spans="2:2" x14ac:dyDescent="0.25">
      <c r="B2493" s="192"/>
    </row>
    <row r="2494" spans="2:2" x14ac:dyDescent="0.25">
      <c r="B2494" s="192"/>
    </row>
    <row r="2495" spans="2:2" x14ac:dyDescent="0.25">
      <c r="B2495" s="192"/>
    </row>
    <row r="2496" spans="2:2" x14ac:dyDescent="0.25">
      <c r="B2496" s="192"/>
    </row>
    <row r="2497" spans="2:2" x14ac:dyDescent="0.25">
      <c r="B2497" s="192"/>
    </row>
    <row r="2498" spans="2:2" x14ac:dyDescent="0.25">
      <c r="B2498" s="192"/>
    </row>
    <row r="2499" spans="2:2" x14ac:dyDescent="0.25">
      <c r="B2499" s="192"/>
    </row>
    <row r="2500" spans="2:2" x14ac:dyDescent="0.25">
      <c r="B2500" s="192"/>
    </row>
    <row r="2501" spans="2:2" x14ac:dyDescent="0.25">
      <c r="B2501" s="192"/>
    </row>
    <row r="2502" spans="2:2" x14ac:dyDescent="0.25">
      <c r="B2502" s="192"/>
    </row>
    <row r="2503" spans="2:2" x14ac:dyDescent="0.25">
      <c r="B2503" s="192"/>
    </row>
    <row r="2504" spans="2:2" x14ac:dyDescent="0.25">
      <c r="B2504" s="192"/>
    </row>
    <row r="2505" spans="2:2" x14ac:dyDescent="0.25">
      <c r="B2505" s="192"/>
    </row>
    <row r="2506" spans="2:2" x14ac:dyDescent="0.25">
      <c r="B2506" s="192"/>
    </row>
    <row r="2507" spans="2:2" x14ac:dyDescent="0.25">
      <c r="B2507" s="192"/>
    </row>
    <row r="2508" spans="2:2" x14ac:dyDescent="0.25">
      <c r="B2508" s="192"/>
    </row>
    <row r="2509" spans="2:2" x14ac:dyDescent="0.25">
      <c r="B2509" s="192"/>
    </row>
    <row r="2510" spans="2:2" x14ac:dyDescent="0.25">
      <c r="B2510" s="192"/>
    </row>
    <row r="2511" spans="2:2" x14ac:dyDescent="0.25">
      <c r="B2511" s="192"/>
    </row>
    <row r="2512" spans="2:2" x14ac:dyDescent="0.25">
      <c r="B2512" s="192"/>
    </row>
    <row r="2513" spans="2:2" x14ac:dyDescent="0.25">
      <c r="B2513" s="192"/>
    </row>
    <row r="2514" spans="2:2" x14ac:dyDescent="0.25">
      <c r="B2514" s="192"/>
    </row>
    <row r="2515" spans="2:2" x14ac:dyDescent="0.25">
      <c r="B2515" s="192"/>
    </row>
    <row r="2516" spans="2:2" x14ac:dyDescent="0.25">
      <c r="B2516" s="192"/>
    </row>
    <row r="2517" spans="2:2" x14ac:dyDescent="0.25">
      <c r="B2517" s="192"/>
    </row>
    <row r="2518" spans="2:2" x14ac:dyDescent="0.25">
      <c r="B2518" s="192"/>
    </row>
    <row r="2519" spans="2:2" x14ac:dyDescent="0.25">
      <c r="B2519" s="192"/>
    </row>
    <row r="2520" spans="2:2" x14ac:dyDescent="0.25">
      <c r="B2520" s="192"/>
    </row>
    <row r="2521" spans="2:2" x14ac:dyDescent="0.25">
      <c r="B2521" s="192"/>
    </row>
    <row r="2522" spans="2:2" x14ac:dyDescent="0.25">
      <c r="B2522" s="192"/>
    </row>
    <row r="2523" spans="2:2" x14ac:dyDescent="0.25">
      <c r="B2523" s="192"/>
    </row>
    <row r="2524" spans="2:2" x14ac:dyDescent="0.25">
      <c r="B2524" s="192"/>
    </row>
    <row r="2525" spans="2:2" x14ac:dyDescent="0.25">
      <c r="B2525" s="192"/>
    </row>
    <row r="2526" spans="2:2" x14ac:dyDescent="0.25">
      <c r="B2526" s="192"/>
    </row>
    <row r="2527" spans="2:2" x14ac:dyDescent="0.25">
      <c r="B2527" s="192"/>
    </row>
    <row r="2528" spans="2:2" x14ac:dyDescent="0.25">
      <c r="B2528" s="192"/>
    </row>
    <row r="2529" spans="2:2" x14ac:dyDescent="0.25">
      <c r="B2529" s="192"/>
    </row>
    <row r="2530" spans="2:2" x14ac:dyDescent="0.25">
      <c r="B2530" s="192"/>
    </row>
    <row r="2531" spans="2:2" x14ac:dyDescent="0.25">
      <c r="B2531" s="192"/>
    </row>
    <row r="2532" spans="2:2" x14ac:dyDescent="0.25">
      <c r="B2532" s="192"/>
    </row>
    <row r="2533" spans="2:2" x14ac:dyDescent="0.25">
      <c r="B2533" s="192"/>
    </row>
    <row r="2534" spans="2:2" x14ac:dyDescent="0.25">
      <c r="B2534" s="192"/>
    </row>
    <row r="2535" spans="2:2" x14ac:dyDescent="0.25">
      <c r="B2535" s="192"/>
    </row>
    <row r="2536" spans="2:2" x14ac:dyDescent="0.25">
      <c r="B2536" s="192"/>
    </row>
    <row r="2537" spans="2:2" x14ac:dyDescent="0.25">
      <c r="B2537" s="192"/>
    </row>
    <row r="2538" spans="2:2" x14ac:dyDescent="0.25">
      <c r="B2538" s="192"/>
    </row>
    <row r="2539" spans="2:2" x14ac:dyDescent="0.25">
      <c r="B2539" s="192"/>
    </row>
    <row r="2540" spans="2:2" x14ac:dyDescent="0.25">
      <c r="B2540" s="192"/>
    </row>
    <row r="2541" spans="2:2" x14ac:dyDescent="0.25">
      <c r="B2541" s="192"/>
    </row>
    <row r="2542" spans="2:2" x14ac:dyDescent="0.25">
      <c r="B2542" s="192"/>
    </row>
    <row r="2543" spans="2:2" x14ac:dyDescent="0.25">
      <c r="B2543" s="192"/>
    </row>
    <row r="2544" spans="2:2" x14ac:dyDescent="0.25">
      <c r="B2544" s="192"/>
    </row>
    <row r="2545" spans="2:2" x14ac:dyDescent="0.25">
      <c r="B2545" s="192"/>
    </row>
    <row r="2546" spans="2:2" x14ac:dyDescent="0.25">
      <c r="B2546" s="192"/>
    </row>
    <row r="2547" spans="2:2" x14ac:dyDescent="0.25">
      <c r="B2547" s="192"/>
    </row>
    <row r="2548" spans="2:2" x14ac:dyDescent="0.25">
      <c r="B2548" s="192"/>
    </row>
    <row r="2549" spans="2:2" x14ac:dyDescent="0.25">
      <c r="B2549" s="192"/>
    </row>
    <row r="2550" spans="2:2" x14ac:dyDescent="0.25">
      <c r="B2550" s="192"/>
    </row>
    <row r="2551" spans="2:2" x14ac:dyDescent="0.25">
      <c r="B2551" s="192"/>
    </row>
    <row r="2552" spans="2:2" x14ac:dyDescent="0.25">
      <c r="B2552" s="192"/>
    </row>
    <row r="2553" spans="2:2" x14ac:dyDescent="0.25">
      <c r="B2553" s="192"/>
    </row>
    <row r="2554" spans="2:2" x14ac:dyDescent="0.25">
      <c r="B2554" s="192"/>
    </row>
    <row r="2555" spans="2:2" x14ac:dyDescent="0.25">
      <c r="B2555" s="192"/>
    </row>
    <row r="2556" spans="2:2" x14ac:dyDescent="0.25">
      <c r="B2556" s="192"/>
    </row>
    <row r="2557" spans="2:2" x14ac:dyDescent="0.25">
      <c r="B2557" s="192"/>
    </row>
    <row r="2558" spans="2:2" x14ac:dyDescent="0.25">
      <c r="B2558" s="192"/>
    </row>
    <row r="2559" spans="2:2" x14ac:dyDescent="0.25">
      <c r="B2559" s="192"/>
    </row>
    <row r="2560" spans="2:2" x14ac:dyDescent="0.25">
      <c r="B2560" s="192"/>
    </row>
    <row r="2561" spans="2:2" x14ac:dyDescent="0.25">
      <c r="B2561" s="192"/>
    </row>
    <row r="2562" spans="2:2" x14ac:dyDescent="0.25">
      <c r="B2562" s="192"/>
    </row>
    <row r="2563" spans="2:2" x14ac:dyDescent="0.25">
      <c r="B2563" s="192"/>
    </row>
    <row r="2564" spans="2:2" x14ac:dyDescent="0.25">
      <c r="B2564" s="192"/>
    </row>
    <row r="2565" spans="2:2" x14ac:dyDescent="0.25">
      <c r="B2565" s="192"/>
    </row>
    <row r="2566" spans="2:2" x14ac:dyDescent="0.25">
      <c r="B2566" s="192"/>
    </row>
    <row r="2567" spans="2:2" x14ac:dyDescent="0.25">
      <c r="B2567" s="192"/>
    </row>
    <row r="2568" spans="2:2" x14ac:dyDescent="0.25">
      <c r="B2568" s="192"/>
    </row>
    <row r="2569" spans="2:2" x14ac:dyDescent="0.25">
      <c r="B2569" s="192"/>
    </row>
    <row r="2570" spans="2:2" x14ac:dyDescent="0.25">
      <c r="B2570" s="192"/>
    </row>
    <row r="2571" spans="2:2" x14ac:dyDescent="0.25">
      <c r="B2571" s="192"/>
    </row>
    <row r="2572" spans="2:2" x14ac:dyDescent="0.25">
      <c r="B2572" s="192"/>
    </row>
    <row r="2573" spans="2:2" x14ac:dyDescent="0.25">
      <c r="B2573" s="192"/>
    </row>
    <row r="2574" spans="2:2" x14ac:dyDescent="0.25">
      <c r="B2574" s="192"/>
    </row>
    <row r="2575" spans="2:2" x14ac:dyDescent="0.25">
      <c r="B2575" s="192"/>
    </row>
    <row r="2576" spans="2:2" x14ac:dyDescent="0.25">
      <c r="B2576" s="192"/>
    </row>
    <row r="2577" spans="2:2" x14ac:dyDescent="0.25">
      <c r="B2577" s="192"/>
    </row>
    <row r="2578" spans="2:2" x14ac:dyDescent="0.25">
      <c r="B2578" s="192"/>
    </row>
    <row r="2579" spans="2:2" x14ac:dyDescent="0.25">
      <c r="B2579" s="192"/>
    </row>
    <row r="2580" spans="2:2" x14ac:dyDescent="0.25">
      <c r="B2580" s="192"/>
    </row>
    <row r="2581" spans="2:2" x14ac:dyDescent="0.25">
      <c r="B2581" s="192"/>
    </row>
    <row r="2582" spans="2:2" x14ac:dyDescent="0.25">
      <c r="B2582" s="192"/>
    </row>
    <row r="2583" spans="2:2" x14ac:dyDescent="0.25">
      <c r="B2583" s="192"/>
    </row>
    <row r="2584" spans="2:2" x14ac:dyDescent="0.25">
      <c r="B2584" s="192"/>
    </row>
    <row r="2585" spans="2:2" x14ac:dyDescent="0.25">
      <c r="B2585" s="192"/>
    </row>
    <row r="2586" spans="2:2" x14ac:dyDescent="0.25">
      <c r="B2586" s="192"/>
    </row>
    <row r="2587" spans="2:2" x14ac:dyDescent="0.25">
      <c r="B2587" s="192"/>
    </row>
    <row r="2588" spans="2:2" x14ac:dyDescent="0.25">
      <c r="B2588" s="192"/>
    </row>
    <row r="2589" spans="2:2" x14ac:dyDescent="0.25">
      <c r="B2589" s="192"/>
    </row>
    <row r="2590" spans="2:2" x14ac:dyDescent="0.25">
      <c r="B2590" s="192"/>
    </row>
    <row r="2591" spans="2:2" x14ac:dyDescent="0.25">
      <c r="B2591" s="192"/>
    </row>
    <row r="2592" spans="2:2" x14ac:dyDescent="0.25">
      <c r="B2592" s="192"/>
    </row>
    <row r="2593" spans="2:2" x14ac:dyDescent="0.25">
      <c r="B2593" s="192"/>
    </row>
    <row r="2594" spans="2:2" x14ac:dyDescent="0.25">
      <c r="B2594" s="192"/>
    </row>
    <row r="2595" spans="2:2" x14ac:dyDescent="0.25">
      <c r="B2595" s="192"/>
    </row>
    <row r="2596" spans="2:2" x14ac:dyDescent="0.25">
      <c r="B2596" s="192"/>
    </row>
    <row r="2597" spans="2:2" x14ac:dyDescent="0.25">
      <c r="B2597" s="192"/>
    </row>
    <row r="2598" spans="2:2" x14ac:dyDescent="0.25">
      <c r="B2598" s="192"/>
    </row>
    <row r="2599" spans="2:2" x14ac:dyDescent="0.25">
      <c r="B2599" s="192"/>
    </row>
    <row r="2600" spans="2:2" x14ac:dyDescent="0.25">
      <c r="B2600" s="192"/>
    </row>
    <row r="2601" spans="2:2" x14ac:dyDescent="0.25">
      <c r="B2601" s="192"/>
    </row>
    <row r="2602" spans="2:2" x14ac:dyDescent="0.25">
      <c r="B2602" s="192"/>
    </row>
    <row r="2603" spans="2:2" x14ac:dyDescent="0.25">
      <c r="B2603" s="192"/>
    </row>
    <row r="2604" spans="2:2" x14ac:dyDescent="0.25">
      <c r="B2604" s="192"/>
    </row>
    <row r="2605" spans="2:2" x14ac:dyDescent="0.25">
      <c r="B2605" s="192"/>
    </row>
    <row r="2606" spans="2:2" x14ac:dyDescent="0.25">
      <c r="B2606" s="192"/>
    </row>
    <row r="2607" spans="2:2" x14ac:dyDescent="0.25">
      <c r="B2607" s="192"/>
    </row>
    <row r="2608" spans="2:2" x14ac:dyDescent="0.25">
      <c r="B2608" s="192"/>
    </row>
    <row r="2609" spans="2:2" x14ac:dyDescent="0.25">
      <c r="B2609" s="192"/>
    </row>
    <row r="2610" spans="2:2" x14ac:dyDescent="0.25">
      <c r="B2610" s="192"/>
    </row>
    <row r="2611" spans="2:2" x14ac:dyDescent="0.25">
      <c r="B2611" s="192"/>
    </row>
    <row r="2612" spans="2:2" x14ac:dyDescent="0.25">
      <c r="B2612" s="192"/>
    </row>
    <row r="2613" spans="2:2" x14ac:dyDescent="0.25">
      <c r="B2613" s="192"/>
    </row>
    <row r="2614" spans="2:2" x14ac:dyDescent="0.25">
      <c r="B2614" s="192"/>
    </row>
    <row r="2615" spans="2:2" x14ac:dyDescent="0.25">
      <c r="B2615" s="192"/>
    </row>
    <row r="2616" spans="2:2" x14ac:dyDescent="0.25">
      <c r="B2616" s="192"/>
    </row>
    <row r="2617" spans="2:2" x14ac:dyDescent="0.25">
      <c r="B2617" s="192"/>
    </row>
    <row r="2618" spans="2:2" x14ac:dyDescent="0.25">
      <c r="B2618" s="192"/>
    </row>
    <row r="2619" spans="2:2" x14ac:dyDescent="0.25">
      <c r="B2619" s="192"/>
    </row>
    <row r="2620" spans="2:2" x14ac:dyDescent="0.25">
      <c r="B2620" s="192"/>
    </row>
    <row r="2621" spans="2:2" x14ac:dyDescent="0.25">
      <c r="B2621" s="192"/>
    </row>
    <row r="2622" spans="2:2" x14ac:dyDescent="0.25">
      <c r="B2622" s="192"/>
    </row>
    <row r="2623" spans="2:2" x14ac:dyDescent="0.25">
      <c r="B2623" s="192"/>
    </row>
    <row r="2624" spans="2:2" x14ac:dyDescent="0.25">
      <c r="B2624" s="192"/>
    </row>
    <row r="2625" spans="2:2" x14ac:dyDescent="0.25">
      <c r="B2625" s="192"/>
    </row>
    <row r="2626" spans="2:2" x14ac:dyDescent="0.25">
      <c r="B2626" s="192"/>
    </row>
    <row r="2627" spans="2:2" x14ac:dyDescent="0.25">
      <c r="B2627" s="192"/>
    </row>
    <row r="2628" spans="2:2" x14ac:dyDescent="0.25">
      <c r="B2628" s="192"/>
    </row>
    <row r="2629" spans="2:2" x14ac:dyDescent="0.25">
      <c r="B2629" s="192"/>
    </row>
    <row r="2630" spans="2:2" x14ac:dyDescent="0.25">
      <c r="B2630" s="192"/>
    </row>
    <row r="2631" spans="2:2" x14ac:dyDescent="0.25">
      <c r="B2631" s="192"/>
    </row>
    <row r="2632" spans="2:2" x14ac:dyDescent="0.25">
      <c r="B2632" s="192"/>
    </row>
    <row r="2633" spans="2:2" x14ac:dyDescent="0.25">
      <c r="B2633" s="192"/>
    </row>
    <row r="2634" spans="2:2" x14ac:dyDescent="0.25">
      <c r="B2634" s="192"/>
    </row>
    <row r="2635" spans="2:2" x14ac:dyDescent="0.25">
      <c r="B2635" s="192"/>
    </row>
    <row r="2636" spans="2:2" x14ac:dyDescent="0.25">
      <c r="B2636" s="192"/>
    </row>
    <row r="2637" spans="2:2" x14ac:dyDescent="0.25">
      <c r="B2637" s="192"/>
    </row>
    <row r="2638" spans="2:2" x14ac:dyDescent="0.25">
      <c r="B2638" s="192"/>
    </row>
    <row r="2639" spans="2:2" x14ac:dyDescent="0.25">
      <c r="B2639" s="192"/>
    </row>
    <row r="2640" spans="2:2" x14ac:dyDescent="0.25">
      <c r="B2640" s="192"/>
    </row>
    <row r="2641" spans="2:2" x14ac:dyDescent="0.25">
      <c r="B2641" s="192"/>
    </row>
    <row r="2642" spans="2:2" x14ac:dyDescent="0.25">
      <c r="B2642" s="192"/>
    </row>
    <row r="2643" spans="2:2" x14ac:dyDescent="0.25">
      <c r="B2643" s="192"/>
    </row>
    <row r="2644" spans="2:2" x14ac:dyDescent="0.25">
      <c r="B2644" s="192"/>
    </row>
    <row r="2645" spans="2:2" x14ac:dyDescent="0.25">
      <c r="B2645" s="192"/>
    </row>
    <row r="2646" spans="2:2" x14ac:dyDescent="0.25">
      <c r="B2646" s="192"/>
    </row>
    <row r="2647" spans="2:2" x14ac:dyDescent="0.25">
      <c r="B2647" s="192"/>
    </row>
    <row r="2648" spans="2:2" x14ac:dyDescent="0.25">
      <c r="B2648" s="192"/>
    </row>
    <row r="2649" spans="2:2" x14ac:dyDescent="0.25">
      <c r="B2649" s="192"/>
    </row>
    <row r="2650" spans="2:2" x14ac:dyDescent="0.25">
      <c r="B2650" s="192"/>
    </row>
    <row r="2651" spans="2:2" x14ac:dyDescent="0.25">
      <c r="B2651" s="192"/>
    </row>
    <row r="2652" spans="2:2" x14ac:dyDescent="0.25">
      <c r="B2652" s="192"/>
    </row>
    <row r="2653" spans="2:2" x14ac:dyDescent="0.25">
      <c r="B2653" s="192"/>
    </row>
    <row r="2654" spans="2:2" x14ac:dyDescent="0.25">
      <c r="B2654" s="192"/>
    </row>
    <row r="2655" spans="2:2" x14ac:dyDescent="0.25">
      <c r="B2655" s="192"/>
    </row>
    <row r="2656" spans="2:2" x14ac:dyDescent="0.25">
      <c r="B2656" s="192"/>
    </row>
    <row r="2657" spans="2:2" x14ac:dyDescent="0.25">
      <c r="B2657" s="192"/>
    </row>
    <row r="2658" spans="2:2" x14ac:dyDescent="0.25">
      <c r="B2658" s="192"/>
    </row>
    <row r="2659" spans="2:2" x14ac:dyDescent="0.25">
      <c r="B2659" s="192"/>
    </row>
    <row r="2660" spans="2:2" x14ac:dyDescent="0.25">
      <c r="B2660" s="192"/>
    </row>
    <row r="2661" spans="2:2" x14ac:dyDescent="0.25">
      <c r="B2661" s="192"/>
    </row>
    <row r="2662" spans="2:2" x14ac:dyDescent="0.25">
      <c r="B2662" s="192"/>
    </row>
    <row r="2663" spans="2:2" x14ac:dyDescent="0.25">
      <c r="B2663" s="192"/>
    </row>
    <row r="2664" spans="2:2" x14ac:dyDescent="0.25">
      <c r="B2664" s="192"/>
    </row>
    <row r="2665" spans="2:2" x14ac:dyDescent="0.25">
      <c r="B2665" s="192"/>
    </row>
    <row r="2666" spans="2:2" x14ac:dyDescent="0.25">
      <c r="B2666" s="192"/>
    </row>
    <row r="2667" spans="2:2" x14ac:dyDescent="0.25">
      <c r="B2667" s="192"/>
    </row>
    <row r="2668" spans="2:2" x14ac:dyDescent="0.25">
      <c r="B2668" s="192"/>
    </row>
    <row r="2669" spans="2:2" x14ac:dyDescent="0.25">
      <c r="B2669" s="192"/>
    </row>
    <row r="2670" spans="2:2" x14ac:dyDescent="0.25">
      <c r="B2670" s="192"/>
    </row>
    <row r="2671" spans="2:2" x14ac:dyDescent="0.25">
      <c r="B2671" s="192"/>
    </row>
    <row r="2672" spans="2:2" x14ac:dyDescent="0.25">
      <c r="B2672" s="192"/>
    </row>
    <row r="2673" spans="2:2" x14ac:dyDescent="0.25">
      <c r="B2673" s="192"/>
    </row>
    <row r="2674" spans="2:2" x14ac:dyDescent="0.25">
      <c r="B2674" s="192"/>
    </row>
    <row r="2675" spans="2:2" x14ac:dyDescent="0.25">
      <c r="B2675" s="192"/>
    </row>
    <row r="2676" spans="2:2" x14ac:dyDescent="0.25">
      <c r="B2676" s="192"/>
    </row>
    <row r="2677" spans="2:2" x14ac:dyDescent="0.25">
      <c r="B2677" s="192"/>
    </row>
    <row r="2678" spans="2:2" x14ac:dyDescent="0.25">
      <c r="B2678" s="192"/>
    </row>
    <row r="2679" spans="2:2" x14ac:dyDescent="0.25">
      <c r="B2679" s="192"/>
    </row>
    <row r="2680" spans="2:2" x14ac:dyDescent="0.25">
      <c r="B2680" s="192"/>
    </row>
    <row r="2681" spans="2:2" x14ac:dyDescent="0.25">
      <c r="B2681" s="192"/>
    </row>
    <row r="2682" spans="2:2" x14ac:dyDescent="0.25">
      <c r="B2682" s="192"/>
    </row>
    <row r="2683" spans="2:2" x14ac:dyDescent="0.25">
      <c r="B2683" s="192"/>
    </row>
    <row r="2684" spans="2:2" x14ac:dyDescent="0.25">
      <c r="B2684" s="192"/>
    </row>
    <row r="2685" spans="2:2" x14ac:dyDescent="0.25">
      <c r="B2685" s="192"/>
    </row>
    <row r="2686" spans="2:2" x14ac:dyDescent="0.25">
      <c r="B2686" s="192"/>
    </row>
    <row r="2687" spans="2:2" x14ac:dyDescent="0.25">
      <c r="B2687" s="192"/>
    </row>
    <row r="2688" spans="2:2" x14ac:dyDescent="0.25">
      <c r="B2688" s="192"/>
    </row>
    <row r="2689" spans="2:2" x14ac:dyDescent="0.25">
      <c r="B2689" s="192"/>
    </row>
    <row r="2690" spans="2:2" x14ac:dyDescent="0.25">
      <c r="B2690" s="192"/>
    </row>
    <row r="2691" spans="2:2" x14ac:dyDescent="0.25">
      <c r="B2691" s="192"/>
    </row>
    <row r="2692" spans="2:2" x14ac:dyDescent="0.25">
      <c r="B2692" s="192"/>
    </row>
    <row r="2693" spans="2:2" x14ac:dyDescent="0.25">
      <c r="B2693" s="192"/>
    </row>
    <row r="2694" spans="2:2" x14ac:dyDescent="0.25">
      <c r="B2694" s="192"/>
    </row>
    <row r="2695" spans="2:2" x14ac:dyDescent="0.25">
      <c r="B2695" s="192"/>
    </row>
    <row r="2696" spans="2:2" x14ac:dyDescent="0.25">
      <c r="B2696" s="192"/>
    </row>
    <row r="2697" spans="2:2" x14ac:dyDescent="0.25">
      <c r="B2697" s="192"/>
    </row>
    <row r="2698" spans="2:2" x14ac:dyDescent="0.25">
      <c r="B2698" s="192"/>
    </row>
    <row r="2699" spans="2:2" x14ac:dyDescent="0.25">
      <c r="B2699" s="192"/>
    </row>
    <row r="2700" spans="2:2" x14ac:dyDescent="0.25">
      <c r="B2700" s="192"/>
    </row>
    <row r="2701" spans="2:2" x14ac:dyDescent="0.25">
      <c r="B2701" s="192"/>
    </row>
    <row r="2702" spans="2:2" x14ac:dyDescent="0.25">
      <c r="B2702" s="192"/>
    </row>
    <row r="2703" spans="2:2" x14ac:dyDescent="0.25">
      <c r="B2703" s="192"/>
    </row>
    <row r="2704" spans="2:2" x14ac:dyDescent="0.25">
      <c r="B2704" s="192"/>
    </row>
    <row r="2705" spans="2:2" x14ac:dyDescent="0.25">
      <c r="B2705" s="192"/>
    </row>
    <row r="2706" spans="2:2" x14ac:dyDescent="0.25">
      <c r="B2706" s="192"/>
    </row>
    <row r="2707" spans="2:2" x14ac:dyDescent="0.25">
      <c r="B2707" s="192"/>
    </row>
    <row r="2708" spans="2:2" x14ac:dyDescent="0.25">
      <c r="B2708" s="192"/>
    </row>
    <row r="2709" spans="2:2" x14ac:dyDescent="0.25">
      <c r="B2709" s="192"/>
    </row>
    <row r="2710" spans="2:2" x14ac:dyDescent="0.25">
      <c r="B2710" s="192"/>
    </row>
    <row r="2711" spans="2:2" x14ac:dyDescent="0.25">
      <c r="B2711" s="192"/>
    </row>
    <row r="2712" spans="2:2" x14ac:dyDescent="0.25">
      <c r="B2712" s="192"/>
    </row>
    <row r="2713" spans="2:2" x14ac:dyDescent="0.25">
      <c r="B2713" s="192"/>
    </row>
    <row r="2714" spans="2:2" x14ac:dyDescent="0.25">
      <c r="B2714" s="192"/>
    </row>
    <row r="2715" spans="2:2" x14ac:dyDescent="0.25">
      <c r="B2715" s="192"/>
    </row>
    <row r="2716" spans="2:2" x14ac:dyDescent="0.25">
      <c r="B2716" s="192"/>
    </row>
    <row r="2717" spans="2:2" x14ac:dyDescent="0.25">
      <c r="B2717" s="192"/>
    </row>
    <row r="2718" spans="2:2" x14ac:dyDescent="0.25">
      <c r="B2718" s="192"/>
    </row>
    <row r="2719" spans="2:2" x14ac:dyDescent="0.25">
      <c r="B2719" s="192"/>
    </row>
    <row r="2720" spans="2:2" x14ac:dyDescent="0.25">
      <c r="B2720" s="192"/>
    </row>
    <row r="2721" spans="2:2" x14ac:dyDescent="0.25">
      <c r="B2721" s="192"/>
    </row>
    <row r="2722" spans="2:2" x14ac:dyDescent="0.25">
      <c r="B2722" s="192"/>
    </row>
    <row r="2723" spans="2:2" x14ac:dyDescent="0.25">
      <c r="B2723" s="192"/>
    </row>
    <row r="2724" spans="2:2" x14ac:dyDescent="0.25">
      <c r="B2724" s="192"/>
    </row>
    <row r="2725" spans="2:2" x14ac:dyDescent="0.25">
      <c r="B2725" s="192"/>
    </row>
    <row r="2726" spans="2:2" x14ac:dyDescent="0.25">
      <c r="B2726" s="192"/>
    </row>
    <row r="2727" spans="2:2" x14ac:dyDescent="0.25">
      <c r="B2727" s="192"/>
    </row>
    <row r="2728" spans="2:2" x14ac:dyDescent="0.25">
      <c r="B2728" s="192"/>
    </row>
    <row r="2729" spans="2:2" x14ac:dyDescent="0.25">
      <c r="B2729" s="192"/>
    </row>
    <row r="2730" spans="2:2" x14ac:dyDescent="0.25">
      <c r="B2730" s="192"/>
    </row>
    <row r="2731" spans="2:2" x14ac:dyDescent="0.25">
      <c r="B2731" s="192"/>
    </row>
    <row r="2732" spans="2:2" x14ac:dyDescent="0.25">
      <c r="B2732" s="192"/>
    </row>
    <row r="2733" spans="2:2" x14ac:dyDescent="0.25">
      <c r="B2733" s="192"/>
    </row>
    <row r="2734" spans="2:2" x14ac:dyDescent="0.25">
      <c r="B2734" s="192"/>
    </row>
    <row r="2735" spans="2:2" x14ac:dyDescent="0.25">
      <c r="B2735" s="192"/>
    </row>
    <row r="2736" spans="2:2" x14ac:dyDescent="0.25">
      <c r="B2736" s="192"/>
    </row>
    <row r="2737" spans="2:2" x14ac:dyDescent="0.25">
      <c r="B2737" s="192"/>
    </row>
    <row r="2738" spans="2:2" x14ac:dyDescent="0.25">
      <c r="B2738" s="192"/>
    </row>
    <row r="2739" spans="2:2" x14ac:dyDescent="0.25">
      <c r="B2739" s="192"/>
    </row>
    <row r="2740" spans="2:2" x14ac:dyDescent="0.25">
      <c r="B2740" s="192"/>
    </row>
    <row r="2741" spans="2:2" x14ac:dyDescent="0.25">
      <c r="B2741" s="192"/>
    </row>
    <row r="2742" spans="2:2" x14ac:dyDescent="0.25">
      <c r="B2742" s="192"/>
    </row>
    <row r="2743" spans="2:2" x14ac:dyDescent="0.25">
      <c r="B2743" s="192"/>
    </row>
    <row r="2744" spans="2:2" x14ac:dyDescent="0.25">
      <c r="B2744" s="192"/>
    </row>
    <row r="2745" spans="2:2" x14ac:dyDescent="0.25">
      <c r="B2745" s="192"/>
    </row>
    <row r="2746" spans="2:2" x14ac:dyDescent="0.25">
      <c r="B2746" s="192"/>
    </row>
    <row r="2747" spans="2:2" x14ac:dyDescent="0.25">
      <c r="B2747" s="192"/>
    </row>
    <row r="2748" spans="2:2" x14ac:dyDescent="0.25">
      <c r="B2748" s="192"/>
    </row>
    <row r="2749" spans="2:2" x14ac:dyDescent="0.25">
      <c r="B2749" s="192"/>
    </row>
    <row r="2750" spans="2:2" x14ac:dyDescent="0.25">
      <c r="B2750" s="192"/>
    </row>
    <row r="2751" spans="2:2" x14ac:dyDescent="0.25">
      <c r="B2751" s="192"/>
    </row>
    <row r="2752" spans="2:2" x14ac:dyDescent="0.25">
      <c r="B2752" s="192"/>
    </row>
    <row r="2753" spans="2:2" x14ac:dyDescent="0.25">
      <c r="B2753" s="192"/>
    </row>
    <row r="2754" spans="2:2" x14ac:dyDescent="0.25">
      <c r="B2754" s="192"/>
    </row>
    <row r="2755" spans="2:2" x14ac:dyDescent="0.25">
      <c r="B2755" s="192"/>
    </row>
    <row r="2756" spans="2:2" x14ac:dyDescent="0.25">
      <c r="B2756" s="192"/>
    </row>
    <row r="2757" spans="2:2" x14ac:dyDescent="0.25">
      <c r="B2757" s="192"/>
    </row>
    <row r="2758" spans="2:2" x14ac:dyDescent="0.25">
      <c r="B2758" s="192"/>
    </row>
    <row r="2759" spans="2:2" x14ac:dyDescent="0.25">
      <c r="B2759" s="192"/>
    </row>
    <row r="2760" spans="2:2" x14ac:dyDescent="0.25">
      <c r="B2760" s="192"/>
    </row>
    <row r="2761" spans="2:2" x14ac:dyDescent="0.25">
      <c r="B2761" s="192"/>
    </row>
    <row r="2762" spans="2:2" x14ac:dyDescent="0.25">
      <c r="B2762" s="192"/>
    </row>
    <row r="2763" spans="2:2" x14ac:dyDescent="0.25">
      <c r="B2763" s="192"/>
    </row>
    <row r="2764" spans="2:2" x14ac:dyDescent="0.25">
      <c r="B2764" s="192"/>
    </row>
    <row r="2765" spans="2:2" x14ac:dyDescent="0.25">
      <c r="B2765" s="192"/>
    </row>
    <row r="2766" spans="2:2" x14ac:dyDescent="0.25">
      <c r="B2766" s="192"/>
    </row>
    <row r="2767" spans="2:2" x14ac:dyDescent="0.25">
      <c r="B2767" s="192"/>
    </row>
    <row r="2768" spans="2:2" x14ac:dyDescent="0.25">
      <c r="B2768" s="192"/>
    </row>
    <row r="2769" spans="2:2" x14ac:dyDescent="0.25">
      <c r="B2769" s="192"/>
    </row>
    <row r="2770" spans="2:2" x14ac:dyDescent="0.25">
      <c r="B2770" s="192"/>
    </row>
    <row r="2771" spans="2:2" x14ac:dyDescent="0.25">
      <c r="B2771" s="192"/>
    </row>
    <row r="2772" spans="2:2" x14ac:dyDescent="0.25">
      <c r="B2772" s="192"/>
    </row>
    <row r="2773" spans="2:2" x14ac:dyDescent="0.25">
      <c r="B2773" s="192"/>
    </row>
    <row r="2774" spans="2:2" x14ac:dyDescent="0.25">
      <c r="B2774" s="192"/>
    </row>
    <row r="2775" spans="2:2" x14ac:dyDescent="0.25">
      <c r="B2775" s="192"/>
    </row>
    <row r="2776" spans="2:2" x14ac:dyDescent="0.25">
      <c r="B2776" s="192"/>
    </row>
    <row r="2777" spans="2:2" x14ac:dyDescent="0.25">
      <c r="B2777" s="192"/>
    </row>
    <row r="2778" spans="2:2" x14ac:dyDescent="0.25">
      <c r="B2778" s="192"/>
    </row>
    <row r="2779" spans="2:2" x14ac:dyDescent="0.25">
      <c r="B2779" s="192"/>
    </row>
    <row r="2780" spans="2:2" x14ac:dyDescent="0.25">
      <c r="B2780" s="192"/>
    </row>
    <row r="2781" spans="2:2" x14ac:dyDescent="0.25">
      <c r="B2781" s="192"/>
    </row>
    <row r="2782" spans="2:2" x14ac:dyDescent="0.25">
      <c r="B2782" s="192"/>
    </row>
    <row r="2783" spans="2:2" x14ac:dyDescent="0.25">
      <c r="B2783" s="192"/>
    </row>
    <row r="2784" spans="2:2" x14ac:dyDescent="0.25">
      <c r="B2784" s="192"/>
    </row>
    <row r="2785" spans="2:2" x14ac:dyDescent="0.25">
      <c r="B2785" s="192"/>
    </row>
    <row r="2786" spans="2:2" x14ac:dyDescent="0.25">
      <c r="B2786" s="192"/>
    </row>
    <row r="2787" spans="2:2" x14ac:dyDescent="0.25">
      <c r="B2787" s="192"/>
    </row>
    <row r="2788" spans="2:2" x14ac:dyDescent="0.25">
      <c r="B2788" s="192"/>
    </row>
    <row r="2789" spans="2:2" x14ac:dyDescent="0.25">
      <c r="B2789" s="192"/>
    </row>
    <row r="2790" spans="2:2" x14ac:dyDescent="0.25">
      <c r="B2790" s="192"/>
    </row>
    <row r="2791" spans="2:2" x14ac:dyDescent="0.25">
      <c r="B2791" s="192"/>
    </row>
    <row r="2792" spans="2:2" x14ac:dyDescent="0.25">
      <c r="B2792" s="192"/>
    </row>
    <row r="2793" spans="2:2" x14ac:dyDescent="0.25">
      <c r="B2793" s="192"/>
    </row>
    <row r="2794" spans="2:2" x14ac:dyDescent="0.25">
      <c r="B2794" s="192"/>
    </row>
    <row r="2795" spans="2:2" x14ac:dyDescent="0.25">
      <c r="B2795" s="192"/>
    </row>
    <row r="2796" spans="2:2" x14ac:dyDescent="0.25">
      <c r="B2796" s="192"/>
    </row>
    <row r="2797" spans="2:2" x14ac:dyDescent="0.25">
      <c r="B2797" s="192"/>
    </row>
    <row r="2798" spans="2:2" x14ac:dyDescent="0.25">
      <c r="B2798" s="192"/>
    </row>
    <row r="2799" spans="2:2" x14ac:dyDescent="0.25">
      <c r="B2799" s="192"/>
    </row>
    <row r="2800" spans="2:2" x14ac:dyDescent="0.25">
      <c r="B2800" s="192"/>
    </row>
    <row r="2801" spans="2:2" x14ac:dyDescent="0.25">
      <c r="B2801" s="192"/>
    </row>
    <row r="2802" spans="2:2" x14ac:dyDescent="0.25">
      <c r="B2802" s="192"/>
    </row>
    <row r="2803" spans="2:2" x14ac:dyDescent="0.25">
      <c r="B2803" s="192"/>
    </row>
    <row r="2804" spans="2:2" x14ac:dyDescent="0.25">
      <c r="B2804" s="192"/>
    </row>
    <row r="2805" spans="2:2" x14ac:dyDescent="0.25">
      <c r="B2805" s="192"/>
    </row>
    <row r="2806" spans="2:2" x14ac:dyDescent="0.25">
      <c r="B2806" s="192"/>
    </row>
    <row r="2807" spans="2:2" x14ac:dyDescent="0.25">
      <c r="B2807" s="192"/>
    </row>
    <row r="2808" spans="2:2" x14ac:dyDescent="0.25">
      <c r="B2808" s="192"/>
    </row>
    <row r="2809" spans="2:2" x14ac:dyDescent="0.25">
      <c r="B2809" s="192"/>
    </row>
    <row r="2810" spans="2:2" x14ac:dyDescent="0.25">
      <c r="B2810" s="192"/>
    </row>
    <row r="2811" spans="2:2" x14ac:dyDescent="0.25">
      <c r="B2811" s="192"/>
    </row>
    <row r="2812" spans="2:2" x14ac:dyDescent="0.25">
      <c r="B2812" s="192"/>
    </row>
    <row r="2813" spans="2:2" x14ac:dyDescent="0.25">
      <c r="B2813" s="192"/>
    </row>
    <row r="2814" spans="2:2" x14ac:dyDescent="0.25">
      <c r="B2814" s="192"/>
    </row>
    <row r="2815" spans="2:2" x14ac:dyDescent="0.25">
      <c r="B2815" s="192"/>
    </row>
    <row r="2816" spans="2:2" x14ac:dyDescent="0.25">
      <c r="B2816" s="192"/>
    </row>
    <row r="2817" spans="2:2" x14ac:dyDescent="0.25">
      <c r="B2817" s="192"/>
    </row>
    <row r="2818" spans="2:2" x14ac:dyDescent="0.25">
      <c r="B2818" s="192"/>
    </row>
    <row r="2819" spans="2:2" x14ac:dyDescent="0.25">
      <c r="B2819" s="192"/>
    </row>
    <row r="2820" spans="2:2" x14ac:dyDescent="0.25">
      <c r="B2820" s="192"/>
    </row>
    <row r="2821" spans="2:2" x14ac:dyDescent="0.25">
      <c r="B2821" s="192"/>
    </row>
    <row r="2822" spans="2:2" x14ac:dyDescent="0.25">
      <c r="B2822" s="192"/>
    </row>
    <row r="2823" spans="2:2" x14ac:dyDescent="0.25">
      <c r="B2823" s="192"/>
    </row>
    <row r="2824" spans="2:2" x14ac:dyDescent="0.25">
      <c r="B2824" s="192"/>
    </row>
    <row r="2825" spans="2:2" x14ac:dyDescent="0.25">
      <c r="B2825" s="192"/>
    </row>
    <row r="2826" spans="2:2" x14ac:dyDescent="0.25">
      <c r="B2826" s="192"/>
    </row>
    <row r="2827" spans="2:2" x14ac:dyDescent="0.25">
      <c r="B2827" s="192"/>
    </row>
    <row r="2828" spans="2:2" x14ac:dyDescent="0.25">
      <c r="B2828" s="192"/>
    </row>
    <row r="2829" spans="2:2" x14ac:dyDescent="0.25">
      <c r="B2829" s="192"/>
    </row>
    <row r="2830" spans="2:2" x14ac:dyDescent="0.25">
      <c r="B2830" s="192"/>
    </row>
    <row r="2831" spans="2:2" x14ac:dyDescent="0.25">
      <c r="B2831" s="192"/>
    </row>
    <row r="2832" spans="2:2" x14ac:dyDescent="0.25">
      <c r="B2832" s="192"/>
    </row>
    <row r="2833" spans="2:2" x14ac:dyDescent="0.25">
      <c r="B2833" s="192"/>
    </row>
    <row r="2834" spans="2:2" x14ac:dyDescent="0.25">
      <c r="B2834" s="192"/>
    </row>
    <row r="2835" spans="2:2" x14ac:dyDescent="0.25">
      <c r="B2835" s="192"/>
    </row>
    <row r="2836" spans="2:2" x14ac:dyDescent="0.25">
      <c r="B2836" s="192"/>
    </row>
    <row r="2837" spans="2:2" x14ac:dyDescent="0.25">
      <c r="B2837" s="192"/>
    </row>
    <row r="2838" spans="2:2" x14ac:dyDescent="0.25">
      <c r="B2838" s="192"/>
    </row>
    <row r="2839" spans="2:2" x14ac:dyDescent="0.25">
      <c r="B2839" s="192"/>
    </row>
    <row r="2840" spans="2:2" x14ac:dyDescent="0.25">
      <c r="B2840" s="192"/>
    </row>
    <row r="2841" spans="2:2" x14ac:dyDescent="0.25">
      <c r="B2841" s="192"/>
    </row>
    <row r="2842" spans="2:2" x14ac:dyDescent="0.25">
      <c r="B2842" s="192"/>
    </row>
    <row r="2843" spans="2:2" x14ac:dyDescent="0.25">
      <c r="B2843" s="192"/>
    </row>
    <row r="2844" spans="2:2" x14ac:dyDescent="0.25">
      <c r="B2844" s="192"/>
    </row>
    <row r="2845" spans="2:2" x14ac:dyDescent="0.25">
      <c r="B2845" s="192"/>
    </row>
    <row r="2846" spans="2:2" x14ac:dyDescent="0.25">
      <c r="B2846" s="192"/>
    </row>
    <row r="2847" spans="2:2" x14ac:dyDescent="0.25">
      <c r="B2847" s="192"/>
    </row>
    <row r="2848" spans="2:2" x14ac:dyDescent="0.25">
      <c r="B2848" s="192"/>
    </row>
    <row r="2849" spans="2:2" x14ac:dyDescent="0.25">
      <c r="B2849" s="192"/>
    </row>
    <row r="2850" spans="2:2" x14ac:dyDescent="0.25">
      <c r="B2850" s="192"/>
    </row>
    <row r="2851" spans="2:2" x14ac:dyDescent="0.25">
      <c r="B2851" s="192"/>
    </row>
    <row r="2852" spans="2:2" x14ac:dyDescent="0.25">
      <c r="B2852" s="192"/>
    </row>
    <row r="2853" spans="2:2" x14ac:dyDescent="0.25">
      <c r="B2853" s="192"/>
    </row>
    <row r="2854" spans="2:2" x14ac:dyDescent="0.25">
      <c r="B2854" s="192"/>
    </row>
    <row r="2855" spans="2:2" x14ac:dyDescent="0.25">
      <c r="B2855" s="192"/>
    </row>
    <row r="2856" spans="2:2" x14ac:dyDescent="0.25">
      <c r="B2856" s="192"/>
    </row>
    <row r="2857" spans="2:2" x14ac:dyDescent="0.25">
      <c r="B2857" s="192"/>
    </row>
    <row r="2858" spans="2:2" x14ac:dyDescent="0.25">
      <c r="B2858" s="192"/>
    </row>
    <row r="2859" spans="2:2" x14ac:dyDescent="0.25">
      <c r="B2859" s="192"/>
    </row>
    <row r="2860" spans="2:2" x14ac:dyDescent="0.25">
      <c r="B2860" s="192"/>
    </row>
    <row r="2861" spans="2:2" x14ac:dyDescent="0.25">
      <c r="B2861" s="192"/>
    </row>
    <row r="2862" spans="2:2" x14ac:dyDescent="0.25">
      <c r="B2862" s="192"/>
    </row>
    <row r="2863" spans="2:2" x14ac:dyDescent="0.25">
      <c r="B2863" s="192"/>
    </row>
    <row r="2864" spans="2:2" x14ac:dyDescent="0.25">
      <c r="B2864" s="192"/>
    </row>
    <row r="2865" spans="2:2" x14ac:dyDescent="0.25">
      <c r="B2865" s="192"/>
    </row>
    <row r="2866" spans="2:2" x14ac:dyDescent="0.25">
      <c r="B2866" s="192"/>
    </row>
    <row r="2867" spans="2:2" x14ac:dyDescent="0.25">
      <c r="B2867" s="192"/>
    </row>
    <row r="2868" spans="2:2" x14ac:dyDescent="0.25">
      <c r="B2868" s="192"/>
    </row>
    <row r="2869" spans="2:2" x14ac:dyDescent="0.25">
      <c r="B2869" s="192"/>
    </row>
    <row r="2870" spans="2:2" x14ac:dyDescent="0.25">
      <c r="B2870" s="192"/>
    </row>
    <row r="2871" spans="2:2" x14ac:dyDescent="0.25">
      <c r="B2871" s="192"/>
    </row>
    <row r="2872" spans="2:2" x14ac:dyDescent="0.25">
      <c r="B2872" s="192"/>
    </row>
    <row r="2873" spans="2:2" x14ac:dyDescent="0.25">
      <c r="B2873" s="192"/>
    </row>
    <row r="2874" spans="2:2" x14ac:dyDescent="0.25">
      <c r="B2874" s="192"/>
    </row>
    <row r="2875" spans="2:2" x14ac:dyDescent="0.25">
      <c r="B2875" s="192"/>
    </row>
    <row r="2876" spans="2:2" x14ac:dyDescent="0.25">
      <c r="B2876" s="192"/>
    </row>
    <row r="2877" spans="2:2" x14ac:dyDescent="0.25">
      <c r="B2877" s="192"/>
    </row>
    <row r="2878" spans="2:2" x14ac:dyDescent="0.25">
      <c r="B2878" s="192"/>
    </row>
    <row r="2879" spans="2:2" x14ac:dyDescent="0.25">
      <c r="B2879" s="192"/>
    </row>
    <row r="2880" spans="2:2" x14ac:dyDescent="0.25">
      <c r="B2880" s="192"/>
    </row>
    <row r="2881" spans="2:2" x14ac:dyDescent="0.25">
      <c r="B2881" s="192"/>
    </row>
    <row r="2882" spans="2:2" x14ac:dyDescent="0.25">
      <c r="B2882" s="192"/>
    </row>
    <row r="2883" spans="2:2" x14ac:dyDescent="0.25">
      <c r="B2883" s="192"/>
    </row>
    <row r="2884" spans="2:2" x14ac:dyDescent="0.25">
      <c r="B2884" s="192"/>
    </row>
    <row r="2885" spans="2:2" x14ac:dyDescent="0.25">
      <c r="B2885" s="192"/>
    </row>
    <row r="2886" spans="2:2" x14ac:dyDescent="0.25">
      <c r="B2886" s="192"/>
    </row>
    <row r="2887" spans="2:2" x14ac:dyDescent="0.25">
      <c r="B2887" s="192"/>
    </row>
    <row r="2888" spans="2:2" x14ac:dyDescent="0.25">
      <c r="B2888" s="192"/>
    </row>
    <row r="2889" spans="2:2" x14ac:dyDescent="0.25">
      <c r="B2889" s="192"/>
    </row>
    <row r="2890" spans="2:2" x14ac:dyDescent="0.25">
      <c r="B2890" s="192"/>
    </row>
    <row r="2891" spans="2:2" x14ac:dyDescent="0.25">
      <c r="B2891" s="192"/>
    </row>
    <row r="2892" spans="2:2" x14ac:dyDescent="0.25">
      <c r="B2892" s="192"/>
    </row>
    <row r="2893" spans="2:2" x14ac:dyDescent="0.25">
      <c r="B2893" s="192"/>
    </row>
    <row r="2894" spans="2:2" x14ac:dyDescent="0.25">
      <c r="B2894" s="192"/>
    </row>
    <row r="2895" spans="2:2" x14ac:dyDescent="0.25">
      <c r="B2895" s="192"/>
    </row>
    <row r="2896" spans="2:2" x14ac:dyDescent="0.25">
      <c r="B2896" s="192"/>
    </row>
    <row r="2897" spans="2:2" x14ac:dyDescent="0.25">
      <c r="B2897" s="192"/>
    </row>
    <row r="2898" spans="2:2" x14ac:dyDescent="0.25">
      <c r="B2898" s="192"/>
    </row>
    <row r="2899" spans="2:2" x14ac:dyDescent="0.25">
      <c r="B2899" s="192"/>
    </row>
    <row r="2900" spans="2:2" x14ac:dyDescent="0.25">
      <c r="B2900" s="192"/>
    </row>
    <row r="2901" spans="2:2" x14ac:dyDescent="0.25">
      <c r="B2901" s="192"/>
    </row>
    <row r="2902" spans="2:2" x14ac:dyDescent="0.25">
      <c r="B2902" s="192"/>
    </row>
    <row r="2903" spans="2:2" x14ac:dyDescent="0.25">
      <c r="B2903" s="192"/>
    </row>
    <row r="2904" spans="2:2" x14ac:dyDescent="0.25">
      <c r="B2904" s="192"/>
    </row>
    <row r="2905" spans="2:2" x14ac:dyDescent="0.25">
      <c r="B2905" s="192"/>
    </row>
    <row r="2906" spans="2:2" x14ac:dyDescent="0.25">
      <c r="B2906" s="192"/>
    </row>
    <row r="2907" spans="2:2" x14ac:dyDescent="0.25">
      <c r="B2907" s="192"/>
    </row>
    <row r="2908" spans="2:2" x14ac:dyDescent="0.25">
      <c r="B2908" s="192"/>
    </row>
    <row r="2909" spans="2:2" x14ac:dyDescent="0.25">
      <c r="B2909" s="192"/>
    </row>
    <row r="2910" spans="2:2" x14ac:dyDescent="0.25">
      <c r="B2910" s="192"/>
    </row>
    <row r="2911" spans="2:2" x14ac:dyDescent="0.25">
      <c r="B2911" s="192"/>
    </row>
    <row r="2912" spans="2:2" x14ac:dyDescent="0.25">
      <c r="B2912" s="192"/>
    </row>
    <row r="2913" spans="2:2" x14ac:dyDescent="0.25">
      <c r="B2913" s="192"/>
    </row>
    <row r="2914" spans="2:2" x14ac:dyDescent="0.25">
      <c r="B2914" s="192"/>
    </row>
    <row r="2915" spans="2:2" x14ac:dyDescent="0.25">
      <c r="B2915" s="192"/>
    </row>
    <row r="2916" spans="2:2" x14ac:dyDescent="0.25">
      <c r="B2916" s="192"/>
    </row>
    <row r="2917" spans="2:2" x14ac:dyDescent="0.25">
      <c r="B2917" s="192"/>
    </row>
    <row r="2918" spans="2:2" x14ac:dyDescent="0.25">
      <c r="B2918" s="192"/>
    </row>
    <row r="2919" spans="2:2" x14ac:dyDescent="0.25">
      <c r="B2919" s="192"/>
    </row>
    <row r="2920" spans="2:2" x14ac:dyDescent="0.25">
      <c r="B2920" s="192"/>
    </row>
    <row r="2921" spans="2:2" x14ac:dyDescent="0.25">
      <c r="B2921" s="192"/>
    </row>
    <row r="2922" spans="2:2" x14ac:dyDescent="0.25">
      <c r="B2922" s="192"/>
    </row>
    <row r="2923" spans="2:2" x14ac:dyDescent="0.25">
      <c r="B2923" s="192"/>
    </row>
    <row r="2924" spans="2:2" x14ac:dyDescent="0.25">
      <c r="B2924" s="192"/>
    </row>
    <row r="2925" spans="2:2" x14ac:dyDescent="0.25">
      <c r="B2925" s="192"/>
    </row>
    <row r="2926" spans="2:2" x14ac:dyDescent="0.25">
      <c r="B2926" s="192"/>
    </row>
    <row r="2927" spans="2:2" x14ac:dyDescent="0.25">
      <c r="B2927" s="192"/>
    </row>
    <row r="2928" spans="2:2" x14ac:dyDescent="0.25">
      <c r="B2928" s="192"/>
    </row>
    <row r="2929" spans="2:2" x14ac:dyDescent="0.25">
      <c r="B2929" s="192"/>
    </row>
    <row r="2930" spans="2:2" x14ac:dyDescent="0.25">
      <c r="B2930" s="192"/>
    </row>
    <row r="2931" spans="2:2" x14ac:dyDescent="0.25">
      <c r="B2931" s="192"/>
    </row>
    <row r="2932" spans="2:2" x14ac:dyDescent="0.25">
      <c r="B2932" s="192"/>
    </row>
    <row r="2933" spans="2:2" x14ac:dyDescent="0.25">
      <c r="B2933" s="192"/>
    </row>
    <row r="2934" spans="2:2" x14ac:dyDescent="0.25">
      <c r="B2934" s="192"/>
    </row>
    <row r="2935" spans="2:2" x14ac:dyDescent="0.25">
      <c r="B2935" s="192"/>
    </row>
    <row r="2936" spans="2:2" x14ac:dyDescent="0.25">
      <c r="B2936" s="192"/>
    </row>
    <row r="2937" spans="2:2" x14ac:dyDescent="0.25">
      <c r="B2937" s="192"/>
    </row>
    <row r="2938" spans="2:2" x14ac:dyDescent="0.25">
      <c r="B2938" s="192"/>
    </row>
    <row r="2939" spans="2:2" x14ac:dyDescent="0.25">
      <c r="B2939" s="192"/>
    </row>
    <row r="2940" spans="2:2" x14ac:dyDescent="0.25">
      <c r="B2940" s="192"/>
    </row>
    <row r="2941" spans="2:2" x14ac:dyDescent="0.25">
      <c r="B2941" s="192"/>
    </row>
    <row r="2942" spans="2:2" x14ac:dyDescent="0.25">
      <c r="B2942" s="192"/>
    </row>
    <row r="2943" spans="2:2" x14ac:dyDescent="0.25">
      <c r="B2943" s="192"/>
    </row>
    <row r="2944" spans="2:2" x14ac:dyDescent="0.25">
      <c r="B2944" s="192"/>
    </row>
    <row r="2945" spans="2:2" x14ac:dyDescent="0.25">
      <c r="B2945" s="192"/>
    </row>
    <row r="2946" spans="2:2" x14ac:dyDescent="0.25">
      <c r="B2946" s="192"/>
    </row>
    <row r="2947" spans="2:2" x14ac:dyDescent="0.25">
      <c r="B2947" s="192"/>
    </row>
    <row r="2948" spans="2:2" x14ac:dyDescent="0.25">
      <c r="B2948" s="192"/>
    </row>
    <row r="2949" spans="2:2" x14ac:dyDescent="0.25">
      <c r="B2949" s="192"/>
    </row>
    <row r="2950" spans="2:2" x14ac:dyDescent="0.25">
      <c r="B2950" s="192"/>
    </row>
    <row r="2951" spans="2:2" x14ac:dyDescent="0.25">
      <c r="B2951" s="192"/>
    </row>
    <row r="2952" spans="2:2" x14ac:dyDescent="0.25">
      <c r="B2952" s="192"/>
    </row>
    <row r="2953" spans="2:2" x14ac:dyDescent="0.25">
      <c r="B2953" s="192"/>
    </row>
    <row r="2954" spans="2:2" x14ac:dyDescent="0.25">
      <c r="B2954" s="192"/>
    </row>
    <row r="2955" spans="2:2" x14ac:dyDescent="0.25">
      <c r="B2955" s="192"/>
    </row>
    <row r="2956" spans="2:2" x14ac:dyDescent="0.25">
      <c r="B2956" s="192"/>
    </row>
    <row r="2957" spans="2:2" x14ac:dyDescent="0.25">
      <c r="B2957" s="192"/>
    </row>
    <row r="2958" spans="2:2" x14ac:dyDescent="0.25">
      <c r="B2958" s="192"/>
    </row>
    <row r="2959" spans="2:2" x14ac:dyDescent="0.25">
      <c r="B2959" s="192"/>
    </row>
    <row r="2960" spans="2:2" x14ac:dyDescent="0.25">
      <c r="B2960" s="192"/>
    </row>
    <row r="2961" spans="2:2" x14ac:dyDescent="0.25">
      <c r="B2961" s="192"/>
    </row>
    <row r="2962" spans="2:2" x14ac:dyDescent="0.25">
      <c r="B2962" s="192"/>
    </row>
    <row r="2963" spans="2:2" x14ac:dyDescent="0.25">
      <c r="B2963" s="192"/>
    </row>
    <row r="2964" spans="2:2" x14ac:dyDescent="0.25">
      <c r="B2964" s="192"/>
    </row>
    <row r="2965" spans="2:2" x14ac:dyDescent="0.25">
      <c r="B2965" s="192"/>
    </row>
    <row r="2966" spans="2:2" x14ac:dyDescent="0.25">
      <c r="B2966" s="192"/>
    </row>
    <row r="2967" spans="2:2" x14ac:dyDescent="0.25">
      <c r="B2967" s="192"/>
    </row>
    <row r="2968" spans="2:2" x14ac:dyDescent="0.25">
      <c r="B2968" s="192"/>
    </row>
    <row r="2969" spans="2:2" x14ac:dyDescent="0.25">
      <c r="B2969" s="192"/>
    </row>
    <row r="2970" spans="2:2" x14ac:dyDescent="0.25">
      <c r="B2970" s="192"/>
    </row>
    <row r="2971" spans="2:2" x14ac:dyDescent="0.25">
      <c r="B2971" s="192"/>
    </row>
    <row r="2972" spans="2:2" x14ac:dyDescent="0.25">
      <c r="B2972" s="192"/>
    </row>
    <row r="2973" spans="2:2" x14ac:dyDescent="0.25">
      <c r="B2973" s="192"/>
    </row>
    <row r="2974" spans="2:2" x14ac:dyDescent="0.25">
      <c r="B2974" s="192"/>
    </row>
    <row r="2975" spans="2:2" x14ac:dyDescent="0.25">
      <c r="B2975" s="192"/>
    </row>
    <row r="2976" spans="2:2" x14ac:dyDescent="0.25">
      <c r="B2976" s="192"/>
    </row>
    <row r="2977" spans="2:2" x14ac:dyDescent="0.25">
      <c r="B2977" s="192"/>
    </row>
    <row r="2978" spans="2:2" x14ac:dyDescent="0.25">
      <c r="B2978" s="192"/>
    </row>
    <row r="2979" spans="2:2" x14ac:dyDescent="0.25">
      <c r="B2979" s="192"/>
    </row>
    <row r="2980" spans="2:2" x14ac:dyDescent="0.25">
      <c r="B2980" s="192"/>
    </row>
    <row r="2981" spans="2:2" x14ac:dyDescent="0.25">
      <c r="B2981" s="192"/>
    </row>
    <row r="2982" spans="2:2" x14ac:dyDescent="0.25">
      <c r="B2982" s="192"/>
    </row>
    <row r="2983" spans="2:2" x14ac:dyDescent="0.25">
      <c r="B2983" s="192"/>
    </row>
    <row r="2984" spans="2:2" x14ac:dyDescent="0.25">
      <c r="B2984" s="192"/>
    </row>
    <row r="2985" spans="2:2" x14ac:dyDescent="0.25">
      <c r="B2985" s="192"/>
    </row>
    <row r="2986" spans="2:2" x14ac:dyDescent="0.25">
      <c r="B2986" s="192"/>
    </row>
    <row r="2987" spans="2:2" x14ac:dyDescent="0.25">
      <c r="B2987" s="192"/>
    </row>
    <row r="2988" spans="2:2" x14ac:dyDescent="0.25">
      <c r="B2988" s="192"/>
    </row>
    <row r="2989" spans="2:2" x14ac:dyDescent="0.25">
      <c r="B2989" s="192"/>
    </row>
    <row r="2990" spans="2:2" x14ac:dyDescent="0.25">
      <c r="B2990" s="192"/>
    </row>
    <row r="2991" spans="2:2" x14ac:dyDescent="0.25">
      <c r="B2991" s="192"/>
    </row>
    <row r="2992" spans="2:2" x14ac:dyDescent="0.25">
      <c r="B2992" s="192"/>
    </row>
    <row r="2993" spans="2:2" x14ac:dyDescent="0.25">
      <c r="B2993" s="192"/>
    </row>
    <row r="2994" spans="2:2" x14ac:dyDescent="0.25">
      <c r="B2994" s="192"/>
    </row>
    <row r="2995" spans="2:2" x14ac:dyDescent="0.25">
      <c r="B2995" s="192"/>
    </row>
    <row r="2996" spans="2:2" x14ac:dyDescent="0.25">
      <c r="B2996" s="192"/>
    </row>
    <row r="2997" spans="2:2" x14ac:dyDescent="0.25">
      <c r="B2997" s="192"/>
    </row>
    <row r="2998" spans="2:2" x14ac:dyDescent="0.25">
      <c r="B2998" s="192"/>
    </row>
    <row r="2999" spans="2:2" x14ac:dyDescent="0.25">
      <c r="B2999" s="192"/>
    </row>
    <row r="3000" spans="2:2" x14ac:dyDescent="0.25">
      <c r="B3000" s="192"/>
    </row>
    <row r="3001" spans="2:2" x14ac:dyDescent="0.25">
      <c r="B3001" s="192"/>
    </row>
    <row r="3002" spans="2:2" x14ac:dyDescent="0.25">
      <c r="B3002" s="192"/>
    </row>
    <row r="3003" spans="2:2" x14ac:dyDescent="0.25">
      <c r="B3003" s="192"/>
    </row>
    <row r="3004" spans="2:2" x14ac:dyDescent="0.25">
      <c r="B3004" s="192"/>
    </row>
    <row r="3005" spans="2:2" x14ac:dyDescent="0.25">
      <c r="B3005" s="192"/>
    </row>
    <row r="3006" spans="2:2" x14ac:dyDescent="0.25">
      <c r="B3006" s="192"/>
    </row>
    <row r="3007" spans="2:2" x14ac:dyDescent="0.25">
      <c r="B3007" s="192"/>
    </row>
    <row r="3008" spans="2:2" x14ac:dyDescent="0.25">
      <c r="B3008" s="192"/>
    </row>
    <row r="3009" spans="2:2" x14ac:dyDescent="0.25">
      <c r="B3009" s="192"/>
    </row>
    <row r="3010" spans="2:2" x14ac:dyDescent="0.25">
      <c r="B3010" s="192"/>
    </row>
    <row r="3011" spans="2:2" x14ac:dyDescent="0.25">
      <c r="B3011" s="192"/>
    </row>
    <row r="3012" spans="2:2" x14ac:dyDescent="0.25">
      <c r="B3012" s="192"/>
    </row>
    <row r="3013" spans="2:2" x14ac:dyDescent="0.25">
      <c r="B3013" s="192"/>
    </row>
    <row r="3014" spans="2:2" x14ac:dyDescent="0.25">
      <c r="B3014" s="192"/>
    </row>
    <row r="3015" spans="2:2" x14ac:dyDescent="0.25">
      <c r="B3015" s="192"/>
    </row>
    <row r="3016" spans="2:2" x14ac:dyDescent="0.25">
      <c r="B3016" s="192"/>
    </row>
    <row r="3017" spans="2:2" x14ac:dyDescent="0.25">
      <c r="B3017" s="192"/>
    </row>
    <row r="3018" spans="2:2" x14ac:dyDescent="0.25">
      <c r="B3018" s="192"/>
    </row>
    <row r="3019" spans="2:2" x14ac:dyDescent="0.25">
      <c r="B3019" s="192"/>
    </row>
    <row r="3020" spans="2:2" x14ac:dyDescent="0.25">
      <c r="B3020" s="192"/>
    </row>
    <row r="3021" spans="2:2" x14ac:dyDescent="0.25">
      <c r="B3021" s="192"/>
    </row>
    <row r="3022" spans="2:2" x14ac:dyDescent="0.25">
      <c r="B3022" s="192"/>
    </row>
    <row r="3023" spans="2:2" x14ac:dyDescent="0.25">
      <c r="B3023" s="192"/>
    </row>
    <row r="3024" spans="2:2" x14ac:dyDescent="0.25">
      <c r="B3024" s="192"/>
    </row>
    <row r="3025" spans="2:2" x14ac:dyDescent="0.25">
      <c r="B3025" s="192"/>
    </row>
    <row r="3026" spans="2:2" x14ac:dyDescent="0.25">
      <c r="B3026" s="192"/>
    </row>
    <row r="3027" spans="2:2" x14ac:dyDescent="0.25">
      <c r="B3027" s="192"/>
    </row>
    <row r="3028" spans="2:2" x14ac:dyDescent="0.25">
      <c r="B3028" s="192"/>
    </row>
    <row r="3029" spans="2:2" x14ac:dyDescent="0.25">
      <c r="B3029" s="192"/>
    </row>
    <row r="3030" spans="2:2" x14ac:dyDescent="0.25">
      <c r="B3030" s="192"/>
    </row>
    <row r="3031" spans="2:2" x14ac:dyDescent="0.25">
      <c r="B3031" s="192"/>
    </row>
    <row r="3032" spans="2:2" x14ac:dyDescent="0.25">
      <c r="B3032" s="192"/>
    </row>
    <row r="3033" spans="2:2" x14ac:dyDescent="0.25">
      <c r="B3033" s="192"/>
    </row>
    <row r="3034" spans="2:2" x14ac:dyDescent="0.25">
      <c r="B3034" s="192"/>
    </row>
    <row r="3035" spans="2:2" x14ac:dyDescent="0.25">
      <c r="B3035" s="192"/>
    </row>
    <row r="3036" spans="2:2" x14ac:dyDescent="0.25">
      <c r="B3036" s="192"/>
    </row>
    <row r="3037" spans="2:2" x14ac:dyDescent="0.25">
      <c r="B3037" s="192"/>
    </row>
    <row r="3038" spans="2:2" x14ac:dyDescent="0.25">
      <c r="B3038" s="192"/>
    </row>
    <row r="3039" spans="2:2" x14ac:dyDescent="0.25">
      <c r="B3039" s="192"/>
    </row>
    <row r="3040" spans="2:2" x14ac:dyDescent="0.25">
      <c r="B3040" s="192"/>
    </row>
    <row r="3041" spans="2:2" x14ac:dyDescent="0.25">
      <c r="B3041" s="192"/>
    </row>
    <row r="3042" spans="2:2" x14ac:dyDescent="0.25">
      <c r="B3042" s="192"/>
    </row>
    <row r="3043" spans="2:2" x14ac:dyDescent="0.25">
      <c r="B3043" s="192"/>
    </row>
    <row r="3044" spans="2:2" x14ac:dyDescent="0.25">
      <c r="B3044" s="192"/>
    </row>
    <row r="3045" spans="2:2" x14ac:dyDescent="0.25">
      <c r="B3045" s="192"/>
    </row>
    <row r="3046" spans="2:2" x14ac:dyDescent="0.25">
      <c r="B3046" s="192"/>
    </row>
    <row r="3047" spans="2:2" x14ac:dyDescent="0.25">
      <c r="B3047" s="192"/>
    </row>
    <row r="3048" spans="2:2" x14ac:dyDescent="0.25">
      <c r="B3048" s="192"/>
    </row>
    <row r="3049" spans="2:2" x14ac:dyDescent="0.25">
      <c r="B3049" s="192"/>
    </row>
    <row r="3050" spans="2:2" x14ac:dyDescent="0.25">
      <c r="B3050" s="192"/>
    </row>
    <row r="3051" spans="2:2" x14ac:dyDescent="0.25">
      <c r="B3051" s="192"/>
    </row>
    <row r="3052" spans="2:2" x14ac:dyDescent="0.25">
      <c r="B3052" s="192"/>
    </row>
    <row r="3053" spans="2:2" x14ac:dyDescent="0.25">
      <c r="B3053" s="192"/>
    </row>
    <row r="3054" spans="2:2" x14ac:dyDescent="0.25">
      <c r="B3054" s="192"/>
    </row>
    <row r="3055" spans="2:2" x14ac:dyDescent="0.25">
      <c r="B3055" s="192"/>
    </row>
    <row r="3056" spans="2:2" x14ac:dyDescent="0.25">
      <c r="B3056" s="192"/>
    </row>
    <row r="3057" spans="2:2" x14ac:dyDescent="0.25">
      <c r="B3057" s="192"/>
    </row>
    <row r="3058" spans="2:2" x14ac:dyDescent="0.25">
      <c r="B3058" s="192"/>
    </row>
    <row r="3059" spans="2:2" x14ac:dyDescent="0.25">
      <c r="B3059" s="192"/>
    </row>
    <row r="3060" spans="2:2" x14ac:dyDescent="0.25">
      <c r="B3060" s="192"/>
    </row>
    <row r="3061" spans="2:2" x14ac:dyDescent="0.25">
      <c r="B3061" s="192"/>
    </row>
    <row r="3062" spans="2:2" x14ac:dyDescent="0.25">
      <c r="B3062" s="192"/>
    </row>
    <row r="3063" spans="2:2" x14ac:dyDescent="0.25">
      <c r="B3063" s="192"/>
    </row>
    <row r="3064" spans="2:2" x14ac:dyDescent="0.25">
      <c r="B3064" s="192"/>
    </row>
    <row r="3065" spans="2:2" x14ac:dyDescent="0.25">
      <c r="B3065" s="192"/>
    </row>
    <row r="3066" spans="2:2" x14ac:dyDescent="0.25">
      <c r="B3066" s="192"/>
    </row>
    <row r="3067" spans="2:2" x14ac:dyDescent="0.25">
      <c r="B3067" s="192"/>
    </row>
    <row r="3068" spans="2:2" x14ac:dyDescent="0.25">
      <c r="B3068" s="192"/>
    </row>
    <row r="3069" spans="2:2" x14ac:dyDescent="0.25">
      <c r="B3069" s="192"/>
    </row>
    <row r="3070" spans="2:2" x14ac:dyDescent="0.25">
      <c r="B3070" s="192"/>
    </row>
    <row r="3071" spans="2:2" x14ac:dyDescent="0.25">
      <c r="B3071" s="192"/>
    </row>
    <row r="3072" spans="2:2" x14ac:dyDescent="0.25">
      <c r="B3072" s="192"/>
    </row>
    <row r="3073" spans="2:2" x14ac:dyDescent="0.25">
      <c r="B3073" s="192"/>
    </row>
    <row r="3074" spans="2:2" x14ac:dyDescent="0.25">
      <c r="B3074" s="192"/>
    </row>
    <row r="3075" spans="2:2" x14ac:dyDescent="0.25">
      <c r="B3075" s="192"/>
    </row>
    <row r="3076" spans="2:2" x14ac:dyDescent="0.25">
      <c r="B3076" s="192"/>
    </row>
    <row r="3077" spans="2:2" x14ac:dyDescent="0.25">
      <c r="B3077" s="192"/>
    </row>
    <row r="3078" spans="2:2" x14ac:dyDescent="0.25">
      <c r="B3078" s="192"/>
    </row>
    <row r="3079" spans="2:2" x14ac:dyDescent="0.25">
      <c r="B3079" s="192"/>
    </row>
    <row r="3080" spans="2:2" x14ac:dyDescent="0.25">
      <c r="B3080" s="192"/>
    </row>
    <row r="3081" spans="2:2" x14ac:dyDescent="0.25">
      <c r="B3081" s="192"/>
    </row>
    <row r="3082" spans="2:2" x14ac:dyDescent="0.25">
      <c r="B3082" s="192"/>
    </row>
    <row r="3083" spans="2:2" x14ac:dyDescent="0.25">
      <c r="B3083" s="192"/>
    </row>
    <row r="3084" spans="2:2" x14ac:dyDescent="0.25">
      <c r="B3084" s="192"/>
    </row>
    <row r="3085" spans="2:2" x14ac:dyDescent="0.25">
      <c r="B3085" s="192"/>
    </row>
    <row r="3086" spans="2:2" x14ac:dyDescent="0.25">
      <c r="B3086" s="192"/>
    </row>
    <row r="3087" spans="2:2" x14ac:dyDescent="0.25">
      <c r="B3087" s="192"/>
    </row>
    <row r="3088" spans="2:2" x14ac:dyDescent="0.25">
      <c r="B3088" s="192"/>
    </row>
    <row r="3089" spans="2:2" x14ac:dyDescent="0.25">
      <c r="B3089" s="192"/>
    </row>
    <row r="3090" spans="2:2" x14ac:dyDescent="0.25">
      <c r="B3090" s="192"/>
    </row>
    <row r="3091" spans="2:2" x14ac:dyDescent="0.25">
      <c r="B3091" s="192"/>
    </row>
    <row r="3092" spans="2:2" x14ac:dyDescent="0.25">
      <c r="B3092" s="192"/>
    </row>
    <row r="3093" spans="2:2" x14ac:dyDescent="0.25">
      <c r="B3093" s="192"/>
    </row>
    <row r="3094" spans="2:2" x14ac:dyDescent="0.25">
      <c r="B3094" s="192"/>
    </row>
    <row r="3095" spans="2:2" x14ac:dyDescent="0.25">
      <c r="B3095" s="192"/>
    </row>
    <row r="3096" spans="2:2" x14ac:dyDescent="0.25">
      <c r="B3096" s="192"/>
    </row>
    <row r="3097" spans="2:2" x14ac:dyDescent="0.25">
      <c r="B3097" s="192"/>
    </row>
    <row r="3098" spans="2:2" x14ac:dyDescent="0.25">
      <c r="B3098" s="192"/>
    </row>
    <row r="3099" spans="2:2" x14ac:dyDescent="0.25">
      <c r="B3099" s="192"/>
    </row>
    <row r="3100" spans="2:2" x14ac:dyDescent="0.25">
      <c r="B3100" s="192"/>
    </row>
    <row r="3101" spans="2:2" x14ac:dyDescent="0.25">
      <c r="B3101" s="192"/>
    </row>
    <row r="3102" spans="2:2" x14ac:dyDescent="0.25">
      <c r="B3102" s="192"/>
    </row>
    <row r="3103" spans="2:2" x14ac:dyDescent="0.25">
      <c r="B3103" s="192"/>
    </row>
    <row r="3104" spans="2:2" x14ac:dyDescent="0.25">
      <c r="B3104" s="192"/>
    </row>
    <row r="3105" spans="2:2" x14ac:dyDescent="0.25">
      <c r="B3105" s="192"/>
    </row>
    <row r="3106" spans="2:2" x14ac:dyDescent="0.25">
      <c r="B3106" s="192"/>
    </row>
    <row r="3107" spans="2:2" x14ac:dyDescent="0.25">
      <c r="B3107" s="192"/>
    </row>
    <row r="3108" spans="2:2" x14ac:dyDescent="0.25">
      <c r="B3108" s="192"/>
    </row>
    <row r="3109" spans="2:2" x14ac:dyDescent="0.25">
      <c r="B3109" s="192"/>
    </row>
    <row r="3110" spans="2:2" x14ac:dyDescent="0.25">
      <c r="B3110" s="192"/>
    </row>
    <row r="3111" spans="2:2" x14ac:dyDescent="0.25">
      <c r="B3111" s="192"/>
    </row>
    <row r="3112" spans="2:2" x14ac:dyDescent="0.25">
      <c r="B3112" s="192"/>
    </row>
    <row r="3113" spans="2:2" x14ac:dyDescent="0.25">
      <c r="B3113" s="192"/>
    </row>
    <row r="3114" spans="2:2" x14ac:dyDescent="0.25">
      <c r="B3114" s="192"/>
    </row>
    <row r="3115" spans="2:2" x14ac:dyDescent="0.25">
      <c r="B3115" s="192"/>
    </row>
    <row r="3116" spans="2:2" x14ac:dyDescent="0.25">
      <c r="B3116" s="192"/>
    </row>
    <row r="3117" spans="2:2" x14ac:dyDescent="0.25">
      <c r="B3117" s="192"/>
    </row>
    <row r="3118" spans="2:2" x14ac:dyDescent="0.25">
      <c r="B3118" s="192"/>
    </row>
    <row r="3119" spans="2:2" x14ac:dyDescent="0.25">
      <c r="B3119" s="192"/>
    </row>
    <row r="3120" spans="2:2" x14ac:dyDescent="0.25">
      <c r="B3120" s="192"/>
    </row>
    <row r="3121" spans="2:2" x14ac:dyDescent="0.25">
      <c r="B3121" s="192"/>
    </row>
    <row r="3122" spans="2:2" x14ac:dyDescent="0.25">
      <c r="B3122" s="192"/>
    </row>
    <row r="3123" spans="2:2" x14ac:dyDescent="0.25">
      <c r="B3123" s="192"/>
    </row>
    <row r="3124" spans="2:2" x14ac:dyDescent="0.25">
      <c r="B3124" s="192"/>
    </row>
    <row r="3125" spans="2:2" x14ac:dyDescent="0.25">
      <c r="B3125" s="192"/>
    </row>
    <row r="3126" spans="2:2" x14ac:dyDescent="0.25">
      <c r="B3126" s="192"/>
    </row>
    <row r="3127" spans="2:2" x14ac:dyDescent="0.25">
      <c r="B3127" s="192"/>
    </row>
    <row r="3128" spans="2:2" x14ac:dyDescent="0.25">
      <c r="B3128" s="192"/>
    </row>
    <row r="3129" spans="2:2" x14ac:dyDescent="0.25">
      <c r="B3129" s="192"/>
    </row>
    <row r="3130" spans="2:2" x14ac:dyDescent="0.25">
      <c r="B3130" s="192"/>
    </row>
    <row r="3131" spans="2:2" x14ac:dyDescent="0.25">
      <c r="B3131" s="192"/>
    </row>
    <row r="3132" spans="2:2" x14ac:dyDescent="0.25">
      <c r="B3132" s="192"/>
    </row>
    <row r="3133" spans="2:2" x14ac:dyDescent="0.25">
      <c r="B3133" s="192"/>
    </row>
    <row r="3134" spans="2:2" x14ac:dyDescent="0.25">
      <c r="B3134" s="192"/>
    </row>
    <row r="3135" spans="2:2" x14ac:dyDescent="0.25">
      <c r="B3135" s="192"/>
    </row>
    <row r="3136" spans="2:2" x14ac:dyDescent="0.25">
      <c r="B3136" s="192"/>
    </row>
    <row r="3137" spans="2:2" x14ac:dyDescent="0.25">
      <c r="B3137" s="192"/>
    </row>
    <row r="3138" spans="2:2" x14ac:dyDescent="0.25">
      <c r="B3138" s="192"/>
    </row>
    <row r="3139" spans="2:2" x14ac:dyDescent="0.25">
      <c r="B3139" s="192"/>
    </row>
    <row r="3140" spans="2:2" x14ac:dyDescent="0.25">
      <c r="B3140" s="192"/>
    </row>
    <row r="3141" spans="2:2" x14ac:dyDescent="0.25">
      <c r="B3141" s="192"/>
    </row>
    <row r="3142" spans="2:2" x14ac:dyDescent="0.25">
      <c r="B3142" s="192"/>
    </row>
    <row r="3143" spans="2:2" x14ac:dyDescent="0.25">
      <c r="B3143" s="192"/>
    </row>
    <row r="3144" spans="2:2" x14ac:dyDescent="0.25">
      <c r="B3144" s="192"/>
    </row>
    <row r="3145" spans="2:2" x14ac:dyDescent="0.25">
      <c r="B3145" s="192"/>
    </row>
    <row r="3146" spans="2:2" x14ac:dyDescent="0.25">
      <c r="B3146" s="192"/>
    </row>
    <row r="3147" spans="2:2" x14ac:dyDescent="0.25">
      <c r="B3147" s="192"/>
    </row>
    <row r="3148" spans="2:2" x14ac:dyDescent="0.25">
      <c r="B3148" s="192"/>
    </row>
    <row r="3149" spans="2:2" x14ac:dyDescent="0.25">
      <c r="B3149" s="192"/>
    </row>
    <row r="3150" spans="2:2" x14ac:dyDescent="0.25">
      <c r="B3150" s="192"/>
    </row>
    <row r="3151" spans="2:2" x14ac:dyDescent="0.25">
      <c r="B3151" s="192"/>
    </row>
    <row r="3152" spans="2:2" x14ac:dyDescent="0.25">
      <c r="B3152" s="192"/>
    </row>
    <row r="3153" spans="2:2" x14ac:dyDescent="0.25">
      <c r="B3153" s="192"/>
    </row>
    <row r="3154" spans="2:2" x14ac:dyDescent="0.25">
      <c r="B3154" s="192"/>
    </row>
    <row r="3155" spans="2:2" x14ac:dyDescent="0.25">
      <c r="B3155" s="192"/>
    </row>
    <row r="3156" spans="2:2" x14ac:dyDescent="0.25">
      <c r="B3156" s="192"/>
    </row>
    <row r="3157" spans="2:2" x14ac:dyDescent="0.25">
      <c r="B3157" s="192"/>
    </row>
    <row r="3158" spans="2:2" x14ac:dyDescent="0.25">
      <c r="B3158" s="192"/>
    </row>
    <row r="3159" spans="2:2" x14ac:dyDescent="0.25">
      <c r="B3159" s="192"/>
    </row>
    <row r="3160" spans="2:2" x14ac:dyDescent="0.25">
      <c r="B3160" s="192"/>
    </row>
    <row r="3161" spans="2:2" x14ac:dyDescent="0.25">
      <c r="B3161" s="192"/>
    </row>
    <row r="3162" spans="2:2" x14ac:dyDescent="0.25">
      <c r="B3162" s="192"/>
    </row>
    <row r="3163" spans="2:2" x14ac:dyDescent="0.25">
      <c r="B3163" s="192"/>
    </row>
    <row r="3164" spans="2:2" x14ac:dyDescent="0.25">
      <c r="B3164" s="192"/>
    </row>
    <row r="3165" spans="2:2" x14ac:dyDescent="0.25">
      <c r="B3165" s="192"/>
    </row>
    <row r="3166" spans="2:2" x14ac:dyDescent="0.25">
      <c r="B3166" s="192"/>
    </row>
    <row r="3167" spans="2:2" x14ac:dyDescent="0.25">
      <c r="B3167" s="192"/>
    </row>
    <row r="3168" spans="2:2" x14ac:dyDescent="0.25">
      <c r="B3168" s="192"/>
    </row>
    <row r="3169" spans="2:2" x14ac:dyDescent="0.25">
      <c r="B3169" s="192"/>
    </row>
    <row r="3170" spans="2:2" x14ac:dyDescent="0.25">
      <c r="B3170" s="192"/>
    </row>
    <row r="3171" spans="2:2" x14ac:dyDescent="0.25">
      <c r="B3171" s="192"/>
    </row>
    <row r="3172" spans="2:2" x14ac:dyDescent="0.25">
      <c r="B3172" s="192"/>
    </row>
    <row r="3173" spans="2:2" x14ac:dyDescent="0.25">
      <c r="B3173" s="192"/>
    </row>
    <row r="3174" spans="2:2" x14ac:dyDescent="0.25">
      <c r="B3174" s="192"/>
    </row>
    <row r="3175" spans="2:2" x14ac:dyDescent="0.25">
      <c r="B3175" s="192"/>
    </row>
    <row r="3176" spans="2:2" x14ac:dyDescent="0.25">
      <c r="B3176" s="192"/>
    </row>
    <row r="3177" spans="2:2" x14ac:dyDescent="0.25">
      <c r="B3177" s="192"/>
    </row>
    <row r="3178" spans="2:2" x14ac:dyDescent="0.25">
      <c r="B3178" s="192"/>
    </row>
    <row r="3179" spans="2:2" x14ac:dyDescent="0.25">
      <c r="B3179" s="192"/>
    </row>
    <row r="3180" spans="2:2" x14ac:dyDescent="0.25">
      <c r="B3180" s="192"/>
    </row>
    <row r="3181" spans="2:2" x14ac:dyDescent="0.25">
      <c r="B3181" s="192"/>
    </row>
    <row r="3182" spans="2:2" x14ac:dyDescent="0.25">
      <c r="B3182" s="192"/>
    </row>
    <row r="3183" spans="2:2" x14ac:dyDescent="0.25">
      <c r="B3183" s="192"/>
    </row>
    <row r="3184" spans="2:2" x14ac:dyDescent="0.25">
      <c r="B3184" s="192"/>
    </row>
    <row r="3185" spans="2:2" x14ac:dyDescent="0.25">
      <c r="B3185" s="192"/>
    </row>
    <row r="3186" spans="2:2" x14ac:dyDescent="0.25">
      <c r="B3186" s="192"/>
    </row>
    <row r="3187" spans="2:2" x14ac:dyDescent="0.25">
      <c r="B3187" s="192"/>
    </row>
    <row r="3188" spans="2:2" x14ac:dyDescent="0.25">
      <c r="B3188" s="192"/>
    </row>
    <row r="3189" spans="2:2" x14ac:dyDescent="0.25">
      <c r="B3189" s="192"/>
    </row>
    <row r="3190" spans="2:2" x14ac:dyDescent="0.25">
      <c r="B3190" s="192"/>
    </row>
    <row r="3191" spans="2:2" x14ac:dyDescent="0.25">
      <c r="B3191" s="192"/>
    </row>
    <row r="3192" spans="2:2" x14ac:dyDescent="0.25">
      <c r="B3192" s="192"/>
    </row>
    <row r="3193" spans="2:2" x14ac:dyDescent="0.25">
      <c r="B3193" s="192"/>
    </row>
    <row r="3194" spans="2:2" x14ac:dyDescent="0.25">
      <c r="B3194" s="192"/>
    </row>
    <row r="3195" spans="2:2" x14ac:dyDescent="0.25">
      <c r="B3195" s="192"/>
    </row>
    <row r="3196" spans="2:2" x14ac:dyDescent="0.25">
      <c r="B3196" s="192"/>
    </row>
    <row r="3197" spans="2:2" x14ac:dyDescent="0.25">
      <c r="B3197" s="192"/>
    </row>
    <row r="3198" spans="2:2" x14ac:dyDescent="0.25">
      <c r="B3198" s="192"/>
    </row>
    <row r="3199" spans="2:2" x14ac:dyDescent="0.25">
      <c r="B3199" s="192"/>
    </row>
    <row r="3200" spans="2:2" x14ac:dyDescent="0.25">
      <c r="B3200" s="192"/>
    </row>
    <row r="3201" spans="2:2" x14ac:dyDescent="0.25">
      <c r="B3201" s="192"/>
    </row>
    <row r="3202" spans="2:2" x14ac:dyDescent="0.25">
      <c r="B3202" s="192"/>
    </row>
    <row r="3203" spans="2:2" x14ac:dyDescent="0.25">
      <c r="B3203" s="192"/>
    </row>
    <row r="3204" spans="2:2" x14ac:dyDescent="0.25">
      <c r="B3204" s="192"/>
    </row>
    <row r="3205" spans="2:2" x14ac:dyDescent="0.25">
      <c r="B3205" s="192"/>
    </row>
    <row r="3206" spans="2:2" x14ac:dyDescent="0.25">
      <c r="B3206" s="192"/>
    </row>
    <row r="3207" spans="2:2" x14ac:dyDescent="0.25">
      <c r="B3207" s="192"/>
    </row>
    <row r="3208" spans="2:2" x14ac:dyDescent="0.25">
      <c r="B3208" s="192"/>
    </row>
    <row r="3209" spans="2:2" x14ac:dyDescent="0.25">
      <c r="B3209" s="192"/>
    </row>
    <row r="3210" spans="2:2" x14ac:dyDescent="0.25">
      <c r="B3210" s="192"/>
    </row>
    <row r="3211" spans="2:2" x14ac:dyDescent="0.25">
      <c r="B3211" s="192"/>
    </row>
    <row r="3212" spans="2:2" x14ac:dyDescent="0.25">
      <c r="B3212" s="192"/>
    </row>
    <row r="3213" spans="2:2" x14ac:dyDescent="0.25">
      <c r="B3213" s="192"/>
    </row>
    <row r="3214" spans="2:2" x14ac:dyDescent="0.25">
      <c r="B3214" s="192"/>
    </row>
    <row r="3215" spans="2:2" x14ac:dyDescent="0.25">
      <c r="B3215" s="192"/>
    </row>
    <row r="3216" spans="2:2" x14ac:dyDescent="0.25">
      <c r="B3216" s="192"/>
    </row>
    <row r="3217" spans="2:2" x14ac:dyDescent="0.25">
      <c r="B3217" s="192"/>
    </row>
    <row r="3218" spans="2:2" x14ac:dyDescent="0.25">
      <c r="B3218" s="192"/>
    </row>
    <row r="3219" spans="2:2" x14ac:dyDescent="0.25">
      <c r="B3219" s="192"/>
    </row>
    <row r="3220" spans="2:2" x14ac:dyDescent="0.25">
      <c r="B3220" s="192"/>
    </row>
    <row r="3221" spans="2:2" x14ac:dyDescent="0.25">
      <c r="B3221" s="192"/>
    </row>
    <row r="3222" spans="2:2" x14ac:dyDescent="0.25">
      <c r="B3222" s="192"/>
    </row>
    <row r="3223" spans="2:2" x14ac:dyDescent="0.25">
      <c r="B3223" s="192"/>
    </row>
    <row r="3224" spans="2:2" x14ac:dyDescent="0.25">
      <c r="B3224" s="192"/>
    </row>
    <row r="3225" spans="2:2" x14ac:dyDescent="0.25">
      <c r="B3225" s="192"/>
    </row>
    <row r="3226" spans="2:2" x14ac:dyDescent="0.25">
      <c r="B3226" s="192"/>
    </row>
    <row r="3227" spans="2:2" x14ac:dyDescent="0.25">
      <c r="B3227" s="192"/>
    </row>
    <row r="3228" spans="2:2" x14ac:dyDescent="0.25">
      <c r="B3228" s="192"/>
    </row>
    <row r="3229" spans="2:2" x14ac:dyDescent="0.25">
      <c r="B3229" s="192"/>
    </row>
    <row r="3230" spans="2:2" x14ac:dyDescent="0.25">
      <c r="B3230" s="192"/>
    </row>
    <row r="3231" spans="2:2" x14ac:dyDescent="0.25">
      <c r="B3231" s="192"/>
    </row>
    <row r="3232" spans="2:2" x14ac:dyDescent="0.25">
      <c r="B3232" s="192"/>
    </row>
    <row r="3233" spans="2:2" x14ac:dyDescent="0.25">
      <c r="B3233" s="192"/>
    </row>
    <row r="3234" spans="2:2" x14ac:dyDescent="0.25">
      <c r="B3234" s="192"/>
    </row>
    <row r="3235" spans="2:2" x14ac:dyDescent="0.25">
      <c r="B3235" s="192"/>
    </row>
    <row r="3236" spans="2:2" x14ac:dyDescent="0.25">
      <c r="B3236" s="192"/>
    </row>
    <row r="3237" spans="2:2" x14ac:dyDescent="0.25">
      <c r="B3237" s="192"/>
    </row>
    <row r="3238" spans="2:2" x14ac:dyDescent="0.25">
      <c r="B3238" s="192"/>
    </row>
    <row r="3239" spans="2:2" x14ac:dyDescent="0.25">
      <c r="B3239" s="192"/>
    </row>
    <row r="3240" spans="2:2" x14ac:dyDescent="0.25">
      <c r="B3240" s="192"/>
    </row>
    <row r="3241" spans="2:2" x14ac:dyDescent="0.25">
      <c r="B3241" s="192"/>
    </row>
    <row r="3242" spans="2:2" x14ac:dyDescent="0.25">
      <c r="B3242" s="192"/>
    </row>
    <row r="3243" spans="2:2" x14ac:dyDescent="0.25">
      <c r="B3243" s="192"/>
    </row>
    <row r="3244" spans="2:2" x14ac:dyDescent="0.25">
      <c r="B3244" s="192"/>
    </row>
    <row r="3245" spans="2:2" x14ac:dyDescent="0.25">
      <c r="B3245" s="192"/>
    </row>
    <row r="3246" spans="2:2" x14ac:dyDescent="0.25">
      <c r="B3246" s="192"/>
    </row>
    <row r="3247" spans="2:2" x14ac:dyDescent="0.25">
      <c r="B3247" s="192"/>
    </row>
    <row r="3248" spans="2:2" x14ac:dyDescent="0.25">
      <c r="B3248" s="192"/>
    </row>
    <row r="3249" spans="2:2" x14ac:dyDescent="0.25">
      <c r="B3249" s="192"/>
    </row>
    <row r="3250" spans="2:2" x14ac:dyDescent="0.25">
      <c r="B3250" s="192"/>
    </row>
    <row r="3251" spans="2:2" x14ac:dyDescent="0.25">
      <c r="B3251" s="192"/>
    </row>
    <row r="3252" spans="2:2" x14ac:dyDescent="0.25">
      <c r="B3252" s="192"/>
    </row>
    <row r="3253" spans="2:2" x14ac:dyDescent="0.25">
      <c r="B3253" s="192"/>
    </row>
    <row r="3254" spans="2:2" x14ac:dyDescent="0.25">
      <c r="B3254" s="192"/>
    </row>
    <row r="3255" spans="2:2" x14ac:dyDescent="0.25">
      <c r="B3255" s="192"/>
    </row>
    <row r="3256" spans="2:2" x14ac:dyDescent="0.25">
      <c r="B3256" s="192"/>
    </row>
    <row r="3257" spans="2:2" x14ac:dyDescent="0.25">
      <c r="B3257" s="192"/>
    </row>
    <row r="3258" spans="2:2" x14ac:dyDescent="0.25">
      <c r="B3258" s="192"/>
    </row>
    <row r="3259" spans="2:2" x14ac:dyDescent="0.25">
      <c r="B3259" s="192"/>
    </row>
    <row r="3260" spans="2:2" x14ac:dyDescent="0.25">
      <c r="B3260" s="192"/>
    </row>
    <row r="3261" spans="2:2" x14ac:dyDescent="0.25">
      <c r="B3261" s="192"/>
    </row>
    <row r="3262" spans="2:2" x14ac:dyDescent="0.25">
      <c r="B3262" s="192"/>
    </row>
    <row r="3263" spans="2:2" x14ac:dyDescent="0.25">
      <c r="B3263" s="192"/>
    </row>
    <row r="3264" spans="2:2" x14ac:dyDescent="0.25">
      <c r="B3264" s="192"/>
    </row>
    <row r="3265" spans="2:2" x14ac:dyDescent="0.25">
      <c r="B3265" s="192"/>
    </row>
    <row r="3266" spans="2:2" x14ac:dyDescent="0.25">
      <c r="B3266" s="192"/>
    </row>
    <row r="3267" spans="2:2" x14ac:dyDescent="0.25">
      <c r="B3267" s="192"/>
    </row>
    <row r="3268" spans="2:2" x14ac:dyDescent="0.25">
      <c r="B3268" s="192"/>
    </row>
    <row r="3269" spans="2:2" x14ac:dyDescent="0.25">
      <c r="B3269" s="192"/>
    </row>
    <row r="3270" spans="2:2" x14ac:dyDescent="0.25">
      <c r="B3270" s="192"/>
    </row>
    <row r="3271" spans="2:2" x14ac:dyDescent="0.25">
      <c r="B3271" s="192"/>
    </row>
    <row r="3272" spans="2:2" x14ac:dyDescent="0.25">
      <c r="B3272" s="192"/>
    </row>
    <row r="3273" spans="2:2" x14ac:dyDescent="0.25">
      <c r="B3273" s="192"/>
    </row>
    <row r="3274" spans="2:2" x14ac:dyDescent="0.25">
      <c r="B3274" s="192"/>
    </row>
    <row r="3275" spans="2:2" x14ac:dyDescent="0.25">
      <c r="B3275" s="192"/>
    </row>
    <row r="3276" spans="2:2" x14ac:dyDescent="0.25">
      <c r="B3276" s="192"/>
    </row>
    <row r="3277" spans="2:2" x14ac:dyDescent="0.25">
      <c r="B3277" s="192"/>
    </row>
    <row r="3278" spans="2:2" x14ac:dyDescent="0.25">
      <c r="B3278" s="192"/>
    </row>
    <row r="3279" spans="2:2" x14ac:dyDescent="0.25">
      <c r="B3279" s="192"/>
    </row>
    <row r="3280" spans="2:2" x14ac:dyDescent="0.25">
      <c r="B3280" s="192"/>
    </row>
    <row r="3281" spans="2:2" x14ac:dyDescent="0.25">
      <c r="B3281" s="192"/>
    </row>
    <row r="3282" spans="2:2" x14ac:dyDescent="0.25">
      <c r="B3282" s="192"/>
    </row>
    <row r="3283" spans="2:2" x14ac:dyDescent="0.25">
      <c r="B3283" s="192"/>
    </row>
    <row r="3284" spans="2:2" x14ac:dyDescent="0.25">
      <c r="B3284" s="192"/>
    </row>
    <row r="3285" spans="2:2" x14ac:dyDescent="0.25">
      <c r="B3285" s="192"/>
    </row>
    <row r="3286" spans="2:2" x14ac:dyDescent="0.25">
      <c r="B3286" s="192"/>
    </row>
    <row r="3287" spans="2:2" x14ac:dyDescent="0.25">
      <c r="B3287" s="192"/>
    </row>
    <row r="3288" spans="2:2" x14ac:dyDescent="0.25">
      <c r="B3288" s="192"/>
    </row>
    <row r="3289" spans="2:2" x14ac:dyDescent="0.25">
      <c r="B3289" s="192"/>
    </row>
    <row r="3290" spans="2:2" x14ac:dyDescent="0.25">
      <c r="B3290" s="192"/>
    </row>
    <row r="3291" spans="2:2" x14ac:dyDescent="0.25">
      <c r="B3291" s="192"/>
    </row>
    <row r="3292" spans="2:2" x14ac:dyDescent="0.25">
      <c r="B3292" s="192"/>
    </row>
    <row r="3293" spans="2:2" x14ac:dyDescent="0.25">
      <c r="B3293" s="192"/>
    </row>
    <row r="3294" spans="2:2" x14ac:dyDescent="0.25">
      <c r="B3294" s="192"/>
    </row>
    <row r="3295" spans="2:2" x14ac:dyDescent="0.25">
      <c r="B3295" s="192"/>
    </row>
    <row r="3296" spans="2:2" x14ac:dyDescent="0.25">
      <c r="B3296" s="192"/>
    </row>
    <row r="3297" spans="2:2" x14ac:dyDescent="0.25">
      <c r="B3297" s="192"/>
    </row>
    <row r="3298" spans="2:2" x14ac:dyDescent="0.25">
      <c r="B3298" s="192"/>
    </row>
    <row r="3299" spans="2:2" x14ac:dyDescent="0.25">
      <c r="B3299" s="192"/>
    </row>
    <row r="3300" spans="2:2" x14ac:dyDescent="0.25">
      <c r="B3300" s="192"/>
    </row>
    <row r="3301" spans="2:2" x14ac:dyDescent="0.25">
      <c r="B3301" s="192"/>
    </row>
    <row r="3302" spans="2:2" x14ac:dyDescent="0.25">
      <c r="B3302" s="192"/>
    </row>
    <row r="3303" spans="2:2" x14ac:dyDescent="0.25">
      <c r="B3303" s="192"/>
    </row>
    <row r="3304" spans="2:2" x14ac:dyDescent="0.25">
      <c r="B3304" s="192"/>
    </row>
    <row r="3305" spans="2:2" x14ac:dyDescent="0.25">
      <c r="B3305" s="192"/>
    </row>
    <row r="3306" spans="2:2" x14ac:dyDescent="0.25">
      <c r="B3306" s="192"/>
    </row>
    <row r="3307" spans="2:2" x14ac:dyDescent="0.25">
      <c r="B3307" s="192"/>
    </row>
    <row r="3308" spans="2:2" x14ac:dyDescent="0.25">
      <c r="B3308" s="192"/>
    </row>
    <row r="3309" spans="2:2" x14ac:dyDescent="0.25">
      <c r="B3309" s="192"/>
    </row>
    <row r="3310" spans="2:2" x14ac:dyDescent="0.25">
      <c r="B3310" s="192"/>
    </row>
    <row r="3311" spans="2:2" x14ac:dyDescent="0.25">
      <c r="B3311" s="192"/>
    </row>
    <row r="3312" spans="2:2" x14ac:dyDescent="0.25">
      <c r="B3312" s="192"/>
    </row>
    <row r="3313" spans="2:2" x14ac:dyDescent="0.25">
      <c r="B3313" s="192"/>
    </row>
    <row r="3314" spans="2:2" x14ac:dyDescent="0.25">
      <c r="B3314" s="192"/>
    </row>
    <row r="3315" spans="2:2" x14ac:dyDescent="0.25">
      <c r="B3315" s="192"/>
    </row>
    <row r="3316" spans="2:2" x14ac:dyDescent="0.25">
      <c r="B3316" s="192"/>
    </row>
    <row r="3317" spans="2:2" x14ac:dyDescent="0.25">
      <c r="B3317" s="192"/>
    </row>
    <row r="3318" spans="2:2" x14ac:dyDescent="0.25">
      <c r="B3318" s="192"/>
    </row>
    <row r="3319" spans="2:2" x14ac:dyDescent="0.25">
      <c r="B3319" s="192"/>
    </row>
    <row r="3320" spans="2:2" x14ac:dyDescent="0.25">
      <c r="B3320" s="192"/>
    </row>
    <row r="3321" spans="2:2" x14ac:dyDescent="0.25">
      <c r="B3321" s="192"/>
    </row>
    <row r="3322" spans="2:2" x14ac:dyDescent="0.25">
      <c r="B3322" s="192"/>
    </row>
    <row r="3323" spans="2:2" x14ac:dyDescent="0.25">
      <c r="B3323" s="192"/>
    </row>
    <row r="3324" spans="2:2" x14ac:dyDescent="0.25">
      <c r="B3324" s="192"/>
    </row>
    <row r="3325" spans="2:2" x14ac:dyDescent="0.25">
      <c r="B3325" s="192"/>
    </row>
    <row r="3326" spans="2:2" x14ac:dyDescent="0.25">
      <c r="B3326" s="192"/>
    </row>
    <row r="3327" spans="2:2" x14ac:dyDescent="0.25">
      <c r="B3327" s="192"/>
    </row>
    <row r="3328" spans="2:2" x14ac:dyDescent="0.25">
      <c r="B3328" s="192"/>
    </row>
    <row r="3329" spans="2:2" x14ac:dyDescent="0.25">
      <c r="B3329" s="192"/>
    </row>
    <row r="3330" spans="2:2" x14ac:dyDescent="0.25">
      <c r="B3330" s="192"/>
    </row>
    <row r="3331" spans="2:2" x14ac:dyDescent="0.25">
      <c r="B3331" s="192"/>
    </row>
    <row r="3332" spans="2:2" x14ac:dyDescent="0.25">
      <c r="B3332" s="192"/>
    </row>
    <row r="3333" spans="2:2" x14ac:dyDescent="0.25">
      <c r="B3333" s="192"/>
    </row>
    <row r="3334" spans="2:2" x14ac:dyDescent="0.25">
      <c r="B3334" s="192"/>
    </row>
    <row r="3335" spans="2:2" x14ac:dyDescent="0.25">
      <c r="B3335" s="192"/>
    </row>
    <row r="3336" spans="2:2" x14ac:dyDescent="0.25">
      <c r="B3336" s="192"/>
    </row>
    <row r="3337" spans="2:2" x14ac:dyDescent="0.25">
      <c r="B3337" s="192"/>
    </row>
    <row r="3338" spans="2:2" x14ac:dyDescent="0.25">
      <c r="B3338" s="192"/>
    </row>
    <row r="3339" spans="2:2" x14ac:dyDescent="0.25">
      <c r="B3339" s="192"/>
    </row>
    <row r="3340" spans="2:2" x14ac:dyDescent="0.25">
      <c r="B3340" s="192"/>
    </row>
    <row r="3341" spans="2:2" x14ac:dyDescent="0.25">
      <c r="B3341" s="192"/>
    </row>
    <row r="3342" spans="2:2" x14ac:dyDescent="0.25">
      <c r="B3342" s="192"/>
    </row>
    <row r="3343" spans="2:2" x14ac:dyDescent="0.25">
      <c r="B3343" s="192"/>
    </row>
    <row r="3344" spans="2:2" x14ac:dyDescent="0.25">
      <c r="B3344" s="192"/>
    </row>
    <row r="3345" spans="2:2" x14ac:dyDescent="0.25">
      <c r="B3345" s="192"/>
    </row>
    <row r="3346" spans="2:2" x14ac:dyDescent="0.25">
      <c r="B3346" s="192"/>
    </row>
    <row r="3347" spans="2:2" x14ac:dyDescent="0.25">
      <c r="B3347" s="192"/>
    </row>
    <row r="3348" spans="2:2" x14ac:dyDescent="0.25">
      <c r="B3348" s="192"/>
    </row>
    <row r="3349" spans="2:2" x14ac:dyDescent="0.25">
      <c r="B3349" s="192"/>
    </row>
    <row r="3350" spans="2:2" x14ac:dyDescent="0.25">
      <c r="B3350" s="192"/>
    </row>
    <row r="3351" spans="2:2" x14ac:dyDescent="0.25">
      <c r="B3351" s="192"/>
    </row>
    <row r="3352" spans="2:2" x14ac:dyDescent="0.25">
      <c r="B3352" s="192"/>
    </row>
    <row r="3353" spans="2:2" x14ac:dyDescent="0.25">
      <c r="B3353" s="192"/>
    </row>
    <row r="3354" spans="2:2" x14ac:dyDescent="0.25">
      <c r="B3354" s="192"/>
    </row>
    <row r="3355" spans="2:2" x14ac:dyDescent="0.25">
      <c r="B3355" s="192"/>
    </row>
    <row r="3356" spans="2:2" x14ac:dyDescent="0.25">
      <c r="B3356" s="192"/>
    </row>
    <row r="3357" spans="2:2" x14ac:dyDescent="0.25">
      <c r="B3357" s="192"/>
    </row>
    <row r="3358" spans="2:2" x14ac:dyDescent="0.25">
      <c r="B3358" s="192"/>
    </row>
    <row r="3359" spans="2:2" x14ac:dyDescent="0.25">
      <c r="B3359" s="192"/>
    </row>
    <row r="3360" spans="2:2" x14ac:dyDescent="0.25">
      <c r="B3360" s="192"/>
    </row>
    <row r="3361" spans="2:2" x14ac:dyDescent="0.25">
      <c r="B3361" s="192"/>
    </row>
    <row r="3362" spans="2:2" x14ac:dyDescent="0.25">
      <c r="B3362" s="192"/>
    </row>
    <row r="3363" spans="2:2" x14ac:dyDescent="0.25">
      <c r="B3363" s="192"/>
    </row>
    <row r="3364" spans="2:2" x14ac:dyDescent="0.25">
      <c r="B3364" s="192"/>
    </row>
    <row r="3365" spans="2:2" x14ac:dyDescent="0.25">
      <c r="B3365" s="192"/>
    </row>
    <row r="3366" spans="2:2" x14ac:dyDescent="0.25">
      <c r="B3366" s="192"/>
    </row>
    <row r="3367" spans="2:2" x14ac:dyDescent="0.25">
      <c r="B3367" s="192"/>
    </row>
    <row r="3368" spans="2:2" x14ac:dyDescent="0.25">
      <c r="B3368" s="192"/>
    </row>
    <row r="3369" spans="2:2" x14ac:dyDescent="0.25">
      <c r="B3369" s="192"/>
    </row>
    <row r="3370" spans="2:2" x14ac:dyDescent="0.25">
      <c r="B3370" s="192"/>
    </row>
    <row r="3371" spans="2:2" x14ac:dyDescent="0.25">
      <c r="B3371" s="192"/>
    </row>
    <row r="3372" spans="2:2" x14ac:dyDescent="0.25">
      <c r="B3372" s="192"/>
    </row>
    <row r="3373" spans="2:2" x14ac:dyDescent="0.25">
      <c r="B3373" s="192"/>
    </row>
    <row r="3374" spans="2:2" x14ac:dyDescent="0.25">
      <c r="B3374" s="192"/>
    </row>
    <row r="3375" spans="2:2" x14ac:dyDescent="0.25">
      <c r="B3375" s="192"/>
    </row>
    <row r="3376" spans="2:2" x14ac:dyDescent="0.25">
      <c r="B3376" s="192"/>
    </row>
    <row r="3377" spans="2:2" x14ac:dyDescent="0.25">
      <c r="B3377" s="192"/>
    </row>
    <row r="3378" spans="2:2" x14ac:dyDescent="0.25">
      <c r="B3378" s="192"/>
    </row>
    <row r="3379" spans="2:2" x14ac:dyDescent="0.25">
      <c r="B3379" s="192"/>
    </row>
    <row r="3380" spans="2:2" x14ac:dyDescent="0.25">
      <c r="B3380" s="192"/>
    </row>
    <row r="3381" spans="2:2" x14ac:dyDescent="0.25">
      <c r="B3381" s="192"/>
    </row>
    <row r="3382" spans="2:2" x14ac:dyDescent="0.25">
      <c r="B3382" s="192"/>
    </row>
    <row r="3383" spans="2:2" x14ac:dyDescent="0.25">
      <c r="B3383" s="192"/>
    </row>
    <row r="3384" spans="2:2" x14ac:dyDescent="0.25">
      <c r="B3384" s="192"/>
    </row>
    <row r="3385" spans="2:2" x14ac:dyDescent="0.25">
      <c r="B3385" s="192"/>
    </row>
    <row r="3386" spans="2:2" x14ac:dyDescent="0.25">
      <c r="B3386" s="192"/>
    </row>
    <row r="3387" spans="2:2" x14ac:dyDescent="0.25">
      <c r="B3387" s="192"/>
    </row>
    <row r="3388" spans="2:2" x14ac:dyDescent="0.25">
      <c r="B3388" s="192"/>
    </row>
    <row r="3389" spans="2:2" x14ac:dyDescent="0.25">
      <c r="B3389" s="192"/>
    </row>
    <row r="3390" spans="2:2" x14ac:dyDescent="0.25">
      <c r="B3390" s="192"/>
    </row>
    <row r="3391" spans="2:2" x14ac:dyDescent="0.25">
      <c r="B3391" s="192"/>
    </row>
    <row r="3392" spans="2:2" x14ac:dyDescent="0.25">
      <c r="B3392" s="192"/>
    </row>
    <row r="3393" spans="2:2" x14ac:dyDescent="0.25">
      <c r="B3393" s="192"/>
    </row>
    <row r="3394" spans="2:2" x14ac:dyDescent="0.25">
      <c r="B3394" s="192"/>
    </row>
    <row r="3395" spans="2:2" x14ac:dyDescent="0.25">
      <c r="B3395" s="192"/>
    </row>
    <row r="3396" spans="2:2" x14ac:dyDescent="0.25">
      <c r="B3396" s="192"/>
    </row>
    <row r="3397" spans="2:2" x14ac:dyDescent="0.25">
      <c r="B3397" s="192"/>
    </row>
    <row r="3398" spans="2:2" x14ac:dyDescent="0.25">
      <c r="B3398" s="192"/>
    </row>
    <row r="3399" spans="2:2" x14ac:dyDescent="0.25">
      <c r="B3399" s="192"/>
    </row>
    <row r="3400" spans="2:2" x14ac:dyDescent="0.25">
      <c r="B3400" s="192"/>
    </row>
    <row r="3401" spans="2:2" x14ac:dyDescent="0.25">
      <c r="B3401" s="192"/>
    </row>
    <row r="3402" spans="2:2" x14ac:dyDescent="0.25">
      <c r="B3402" s="192"/>
    </row>
    <row r="3403" spans="2:2" x14ac:dyDescent="0.25">
      <c r="B3403" s="192"/>
    </row>
    <row r="3404" spans="2:2" x14ac:dyDescent="0.25">
      <c r="B3404" s="192"/>
    </row>
    <row r="3405" spans="2:2" x14ac:dyDescent="0.25">
      <c r="B3405" s="192"/>
    </row>
    <row r="3406" spans="2:2" x14ac:dyDescent="0.25">
      <c r="B3406" s="192"/>
    </row>
    <row r="3407" spans="2:2" x14ac:dyDescent="0.25">
      <c r="B3407" s="192"/>
    </row>
    <row r="3408" spans="2:2" x14ac:dyDescent="0.25">
      <c r="B3408" s="192"/>
    </row>
    <row r="3409" spans="2:2" x14ac:dyDescent="0.25">
      <c r="B3409" s="192"/>
    </row>
    <row r="3410" spans="2:2" x14ac:dyDescent="0.25">
      <c r="B3410" s="192"/>
    </row>
    <row r="3411" spans="2:2" x14ac:dyDescent="0.25">
      <c r="B3411" s="192"/>
    </row>
    <row r="3412" spans="2:2" x14ac:dyDescent="0.25">
      <c r="B3412" s="192"/>
    </row>
    <row r="3413" spans="2:2" x14ac:dyDescent="0.25">
      <c r="B3413" s="192"/>
    </row>
    <row r="3414" spans="2:2" x14ac:dyDescent="0.25">
      <c r="B3414" s="192"/>
    </row>
    <row r="3415" spans="2:2" x14ac:dyDescent="0.25">
      <c r="B3415" s="192"/>
    </row>
    <row r="3416" spans="2:2" x14ac:dyDescent="0.25">
      <c r="B3416" s="192"/>
    </row>
    <row r="3417" spans="2:2" x14ac:dyDescent="0.25">
      <c r="B3417" s="192"/>
    </row>
    <row r="3418" spans="2:2" x14ac:dyDescent="0.25">
      <c r="B3418" s="192"/>
    </row>
    <row r="3419" spans="2:2" x14ac:dyDescent="0.25">
      <c r="B3419" s="192"/>
    </row>
    <row r="3420" spans="2:2" x14ac:dyDescent="0.25">
      <c r="B3420" s="192"/>
    </row>
    <row r="3421" spans="2:2" x14ac:dyDescent="0.25">
      <c r="B3421" s="192"/>
    </row>
    <row r="3422" spans="2:2" x14ac:dyDescent="0.25">
      <c r="B3422" s="192"/>
    </row>
    <row r="3423" spans="2:2" x14ac:dyDescent="0.25">
      <c r="B3423" s="192"/>
    </row>
    <row r="3424" spans="2:2" x14ac:dyDescent="0.25">
      <c r="B3424" s="192"/>
    </row>
    <row r="3425" spans="2:2" x14ac:dyDescent="0.25">
      <c r="B3425" s="192"/>
    </row>
    <row r="3426" spans="2:2" x14ac:dyDescent="0.25">
      <c r="B3426" s="192"/>
    </row>
    <row r="3427" spans="2:2" x14ac:dyDescent="0.25">
      <c r="B3427" s="192"/>
    </row>
    <row r="3428" spans="2:2" x14ac:dyDescent="0.25">
      <c r="B3428" s="192"/>
    </row>
    <row r="3429" spans="2:2" x14ac:dyDescent="0.25">
      <c r="B3429" s="192"/>
    </row>
    <row r="3430" spans="2:2" x14ac:dyDescent="0.25">
      <c r="B3430" s="192"/>
    </row>
    <row r="3431" spans="2:2" x14ac:dyDescent="0.25">
      <c r="B3431" s="192"/>
    </row>
    <row r="3432" spans="2:2" x14ac:dyDescent="0.25">
      <c r="B3432" s="192"/>
    </row>
    <row r="3433" spans="2:2" x14ac:dyDescent="0.25">
      <c r="B3433" s="192"/>
    </row>
    <row r="3434" spans="2:2" x14ac:dyDescent="0.25">
      <c r="B3434" s="192"/>
    </row>
    <row r="3435" spans="2:2" x14ac:dyDescent="0.25">
      <c r="B3435" s="192"/>
    </row>
    <row r="3436" spans="2:2" x14ac:dyDescent="0.25">
      <c r="B3436" s="192"/>
    </row>
    <row r="3437" spans="2:2" x14ac:dyDescent="0.25">
      <c r="B3437" s="192"/>
    </row>
    <row r="3438" spans="2:2" x14ac:dyDescent="0.25">
      <c r="B3438" s="192"/>
    </row>
    <row r="3439" spans="2:2" x14ac:dyDescent="0.25">
      <c r="B3439" s="192"/>
    </row>
    <row r="3440" spans="2:2" x14ac:dyDescent="0.25">
      <c r="B3440" s="192"/>
    </row>
    <row r="3441" spans="2:2" x14ac:dyDescent="0.25">
      <c r="B3441" s="192"/>
    </row>
    <row r="3442" spans="2:2" x14ac:dyDescent="0.25">
      <c r="B3442" s="192"/>
    </row>
    <row r="3443" spans="2:2" x14ac:dyDescent="0.25">
      <c r="B3443" s="192"/>
    </row>
    <row r="3444" spans="2:2" x14ac:dyDescent="0.25">
      <c r="B3444" s="192"/>
    </row>
    <row r="3445" spans="2:2" x14ac:dyDescent="0.25">
      <c r="B3445" s="192"/>
    </row>
    <row r="3446" spans="2:2" x14ac:dyDescent="0.25">
      <c r="B3446" s="192"/>
    </row>
    <row r="3447" spans="2:2" x14ac:dyDescent="0.25">
      <c r="B3447" s="192"/>
    </row>
    <row r="3448" spans="2:2" x14ac:dyDescent="0.25">
      <c r="B3448" s="192"/>
    </row>
    <row r="3449" spans="2:2" x14ac:dyDescent="0.25">
      <c r="B3449" s="192"/>
    </row>
    <row r="3450" spans="2:2" x14ac:dyDescent="0.25">
      <c r="B3450" s="192"/>
    </row>
    <row r="3451" spans="2:2" x14ac:dyDescent="0.25">
      <c r="B3451" s="192"/>
    </row>
    <row r="3452" spans="2:2" x14ac:dyDescent="0.25">
      <c r="B3452" s="192"/>
    </row>
    <row r="3453" spans="2:2" x14ac:dyDescent="0.25">
      <c r="B3453" s="192"/>
    </row>
    <row r="3454" spans="2:2" x14ac:dyDescent="0.25">
      <c r="B3454" s="192"/>
    </row>
    <row r="3455" spans="2:2" x14ac:dyDescent="0.25">
      <c r="B3455" s="192"/>
    </row>
    <row r="3456" spans="2:2" x14ac:dyDescent="0.25">
      <c r="B3456" s="192"/>
    </row>
    <row r="3457" spans="2:2" x14ac:dyDescent="0.25">
      <c r="B3457" s="192"/>
    </row>
    <row r="3458" spans="2:2" x14ac:dyDescent="0.25">
      <c r="B3458" s="192"/>
    </row>
    <row r="3459" spans="2:2" x14ac:dyDescent="0.25">
      <c r="B3459" s="192"/>
    </row>
    <row r="3460" spans="2:2" x14ac:dyDescent="0.25">
      <c r="B3460" s="192"/>
    </row>
    <row r="3461" spans="2:2" x14ac:dyDescent="0.25">
      <c r="B3461" s="192"/>
    </row>
    <row r="3462" spans="2:2" x14ac:dyDescent="0.25">
      <c r="B3462" s="192"/>
    </row>
    <row r="3463" spans="2:2" x14ac:dyDescent="0.25">
      <c r="B3463" s="192"/>
    </row>
    <row r="3464" spans="2:2" x14ac:dyDescent="0.25">
      <c r="B3464" s="192"/>
    </row>
    <row r="3465" spans="2:2" x14ac:dyDescent="0.25">
      <c r="B3465" s="192"/>
    </row>
    <row r="3466" spans="2:2" x14ac:dyDescent="0.25">
      <c r="B3466" s="192"/>
    </row>
    <row r="3467" spans="2:2" x14ac:dyDescent="0.25">
      <c r="B3467" s="192"/>
    </row>
    <row r="3468" spans="2:2" x14ac:dyDescent="0.25">
      <c r="B3468" s="192"/>
    </row>
    <row r="3469" spans="2:2" x14ac:dyDescent="0.25">
      <c r="B3469" s="192"/>
    </row>
    <row r="3470" spans="2:2" x14ac:dyDescent="0.25">
      <c r="B3470" s="192"/>
    </row>
    <row r="3471" spans="2:2" x14ac:dyDescent="0.25">
      <c r="B3471" s="192"/>
    </row>
    <row r="3472" spans="2:2" x14ac:dyDescent="0.25">
      <c r="B3472" s="192"/>
    </row>
    <row r="3473" spans="2:2" x14ac:dyDescent="0.25">
      <c r="B3473" s="192"/>
    </row>
    <row r="3474" spans="2:2" x14ac:dyDescent="0.25">
      <c r="B3474" s="192"/>
    </row>
    <row r="3475" spans="2:2" x14ac:dyDescent="0.25">
      <c r="B3475" s="192"/>
    </row>
    <row r="3476" spans="2:2" x14ac:dyDescent="0.25">
      <c r="B3476" s="192"/>
    </row>
    <row r="3477" spans="2:2" x14ac:dyDescent="0.25">
      <c r="B3477" s="192"/>
    </row>
    <row r="3478" spans="2:2" x14ac:dyDescent="0.25">
      <c r="B3478" s="192"/>
    </row>
    <row r="3479" spans="2:2" x14ac:dyDescent="0.25">
      <c r="B3479" s="192"/>
    </row>
    <row r="3480" spans="2:2" x14ac:dyDescent="0.25">
      <c r="B3480" s="192"/>
    </row>
    <row r="3481" spans="2:2" x14ac:dyDescent="0.25">
      <c r="B3481" s="192"/>
    </row>
    <row r="3482" spans="2:2" x14ac:dyDescent="0.25">
      <c r="B3482" s="192"/>
    </row>
    <row r="3483" spans="2:2" x14ac:dyDescent="0.25">
      <c r="B3483" s="192"/>
    </row>
    <row r="3484" spans="2:2" x14ac:dyDescent="0.25">
      <c r="B3484" s="192"/>
    </row>
    <row r="3485" spans="2:2" x14ac:dyDescent="0.25">
      <c r="B3485" s="192"/>
    </row>
    <row r="3486" spans="2:2" x14ac:dyDescent="0.25">
      <c r="B3486" s="192"/>
    </row>
    <row r="3487" spans="2:2" x14ac:dyDescent="0.25">
      <c r="B3487" s="192"/>
    </row>
    <row r="3488" spans="2:2" x14ac:dyDescent="0.25">
      <c r="B3488" s="192"/>
    </row>
    <row r="3489" spans="2:2" x14ac:dyDescent="0.25">
      <c r="B3489" s="192"/>
    </row>
    <row r="3490" spans="2:2" x14ac:dyDescent="0.25">
      <c r="B3490" s="192"/>
    </row>
    <row r="3491" spans="2:2" x14ac:dyDescent="0.25">
      <c r="B3491" s="192"/>
    </row>
    <row r="3492" spans="2:2" x14ac:dyDescent="0.25">
      <c r="B3492" s="192"/>
    </row>
    <row r="3493" spans="2:2" x14ac:dyDescent="0.25">
      <c r="B3493" s="192"/>
    </row>
    <row r="3494" spans="2:2" x14ac:dyDescent="0.25">
      <c r="B3494" s="192"/>
    </row>
    <row r="3495" spans="2:2" x14ac:dyDescent="0.25">
      <c r="B3495" s="192"/>
    </row>
    <row r="3496" spans="2:2" x14ac:dyDescent="0.25">
      <c r="B3496" s="192"/>
    </row>
    <row r="3497" spans="2:2" x14ac:dyDescent="0.25">
      <c r="B3497" s="192"/>
    </row>
    <row r="3498" spans="2:2" x14ac:dyDescent="0.25">
      <c r="B3498" s="192"/>
    </row>
    <row r="3499" spans="2:2" x14ac:dyDescent="0.25">
      <c r="B3499" s="192"/>
    </row>
    <row r="3500" spans="2:2" x14ac:dyDescent="0.25">
      <c r="B3500" s="192"/>
    </row>
    <row r="3501" spans="2:2" x14ac:dyDescent="0.25">
      <c r="B3501" s="192"/>
    </row>
    <row r="3502" spans="2:2" x14ac:dyDescent="0.25">
      <c r="B3502" s="192"/>
    </row>
    <row r="3503" spans="2:2" x14ac:dyDescent="0.25">
      <c r="B3503" s="192"/>
    </row>
    <row r="3504" spans="2:2" x14ac:dyDescent="0.25">
      <c r="B3504" s="192"/>
    </row>
    <row r="3505" spans="2:2" x14ac:dyDescent="0.25">
      <c r="B3505" s="192"/>
    </row>
    <row r="3506" spans="2:2" x14ac:dyDescent="0.25">
      <c r="B3506" s="192"/>
    </row>
    <row r="3507" spans="2:2" x14ac:dyDescent="0.25">
      <c r="B3507" s="192"/>
    </row>
    <row r="3508" spans="2:2" x14ac:dyDescent="0.25">
      <c r="B3508" s="192"/>
    </row>
    <row r="3509" spans="2:2" x14ac:dyDescent="0.25">
      <c r="B3509" s="192"/>
    </row>
    <row r="3510" spans="2:2" x14ac:dyDescent="0.25">
      <c r="B3510" s="192"/>
    </row>
    <row r="3511" spans="2:2" x14ac:dyDescent="0.25">
      <c r="B3511" s="192"/>
    </row>
    <row r="3512" spans="2:2" x14ac:dyDescent="0.25">
      <c r="B3512" s="192"/>
    </row>
    <row r="3513" spans="2:2" x14ac:dyDescent="0.25">
      <c r="B3513" s="192"/>
    </row>
    <row r="3514" spans="2:2" x14ac:dyDescent="0.25">
      <c r="B3514" s="192"/>
    </row>
    <row r="3515" spans="2:2" x14ac:dyDescent="0.25">
      <c r="B3515" s="192"/>
    </row>
    <row r="3516" spans="2:2" x14ac:dyDescent="0.25">
      <c r="B3516" s="192"/>
    </row>
    <row r="3517" spans="2:2" x14ac:dyDescent="0.25">
      <c r="B3517" s="192"/>
    </row>
    <row r="3518" spans="2:2" x14ac:dyDescent="0.25">
      <c r="B3518" s="192"/>
    </row>
    <row r="3519" spans="2:2" x14ac:dyDescent="0.25">
      <c r="B3519" s="192"/>
    </row>
    <row r="3520" spans="2:2" x14ac:dyDescent="0.25">
      <c r="B3520" s="192"/>
    </row>
    <row r="3521" spans="2:2" x14ac:dyDescent="0.25">
      <c r="B3521" s="192"/>
    </row>
    <row r="3522" spans="2:2" x14ac:dyDescent="0.25">
      <c r="B3522" s="192"/>
    </row>
    <row r="3523" spans="2:2" x14ac:dyDescent="0.25">
      <c r="B3523" s="192"/>
    </row>
    <row r="3524" spans="2:2" x14ac:dyDescent="0.25">
      <c r="B3524" s="192"/>
    </row>
    <row r="3525" spans="2:2" x14ac:dyDescent="0.25">
      <c r="B3525" s="192"/>
    </row>
    <row r="3526" spans="2:2" x14ac:dyDescent="0.25">
      <c r="B3526" s="192"/>
    </row>
    <row r="3527" spans="2:2" x14ac:dyDescent="0.25">
      <c r="B3527" s="192"/>
    </row>
    <row r="3528" spans="2:2" x14ac:dyDescent="0.25">
      <c r="B3528" s="192"/>
    </row>
    <row r="3529" spans="2:2" x14ac:dyDescent="0.25">
      <c r="B3529" s="192"/>
    </row>
    <row r="3530" spans="2:2" x14ac:dyDescent="0.25">
      <c r="B3530" s="192"/>
    </row>
    <row r="3531" spans="2:2" x14ac:dyDescent="0.25">
      <c r="B3531" s="192"/>
    </row>
    <row r="3532" spans="2:2" x14ac:dyDescent="0.25">
      <c r="B3532" s="192"/>
    </row>
    <row r="3533" spans="2:2" x14ac:dyDescent="0.25">
      <c r="B3533" s="192"/>
    </row>
    <row r="3534" spans="2:2" x14ac:dyDescent="0.25">
      <c r="B3534" s="192"/>
    </row>
    <row r="3535" spans="2:2" x14ac:dyDescent="0.25">
      <c r="B3535" s="192"/>
    </row>
    <row r="3536" spans="2:2" x14ac:dyDescent="0.25">
      <c r="B3536" s="192"/>
    </row>
    <row r="3537" spans="2:2" x14ac:dyDescent="0.25">
      <c r="B3537" s="192"/>
    </row>
    <row r="3538" spans="2:2" x14ac:dyDescent="0.25">
      <c r="B3538" s="192"/>
    </row>
    <row r="3539" spans="2:2" x14ac:dyDescent="0.25">
      <c r="B3539" s="192"/>
    </row>
    <row r="3540" spans="2:2" x14ac:dyDescent="0.25">
      <c r="B3540" s="192"/>
    </row>
    <row r="3541" spans="2:2" x14ac:dyDescent="0.25">
      <c r="B3541" s="192"/>
    </row>
    <row r="3542" spans="2:2" x14ac:dyDescent="0.25">
      <c r="B3542" s="192"/>
    </row>
    <row r="3543" spans="2:2" x14ac:dyDescent="0.25">
      <c r="B3543" s="192"/>
    </row>
    <row r="3544" spans="2:2" x14ac:dyDescent="0.25">
      <c r="B3544" s="192"/>
    </row>
    <row r="3545" spans="2:2" x14ac:dyDescent="0.25">
      <c r="B3545" s="192"/>
    </row>
    <row r="3546" spans="2:2" x14ac:dyDescent="0.25">
      <c r="B3546" s="192"/>
    </row>
    <row r="3547" spans="2:2" x14ac:dyDescent="0.25">
      <c r="B3547" s="192"/>
    </row>
    <row r="3548" spans="2:2" x14ac:dyDescent="0.25">
      <c r="B3548" s="192"/>
    </row>
    <row r="3549" spans="2:2" x14ac:dyDescent="0.25">
      <c r="B3549" s="192"/>
    </row>
    <row r="3550" spans="2:2" x14ac:dyDescent="0.25">
      <c r="B3550" s="192"/>
    </row>
    <row r="3551" spans="2:2" x14ac:dyDescent="0.25">
      <c r="B3551" s="192"/>
    </row>
    <row r="3552" spans="2:2" x14ac:dyDescent="0.25">
      <c r="B3552" s="192"/>
    </row>
    <row r="3553" spans="2:2" x14ac:dyDescent="0.25">
      <c r="B3553" s="192"/>
    </row>
    <row r="3554" spans="2:2" x14ac:dyDescent="0.25">
      <c r="B3554" s="192"/>
    </row>
    <row r="3555" spans="2:2" x14ac:dyDescent="0.25">
      <c r="B3555" s="192"/>
    </row>
    <row r="3556" spans="2:2" x14ac:dyDescent="0.25">
      <c r="B3556" s="192"/>
    </row>
    <row r="3557" spans="2:2" x14ac:dyDescent="0.25">
      <c r="B3557" s="192"/>
    </row>
    <row r="3558" spans="2:2" x14ac:dyDescent="0.25">
      <c r="B3558" s="192"/>
    </row>
    <row r="3559" spans="2:2" x14ac:dyDescent="0.25">
      <c r="B3559" s="192"/>
    </row>
    <row r="3560" spans="2:2" x14ac:dyDescent="0.25">
      <c r="B3560" s="192"/>
    </row>
    <row r="3561" spans="2:2" x14ac:dyDescent="0.25">
      <c r="B3561" s="192"/>
    </row>
    <row r="3562" spans="2:2" x14ac:dyDescent="0.25">
      <c r="B3562" s="192"/>
    </row>
    <row r="3563" spans="2:2" x14ac:dyDescent="0.25">
      <c r="B3563" s="192"/>
    </row>
    <row r="3564" spans="2:2" x14ac:dyDescent="0.25">
      <c r="B3564" s="192"/>
    </row>
    <row r="3565" spans="2:2" x14ac:dyDescent="0.25">
      <c r="B3565" s="192"/>
    </row>
    <row r="3566" spans="2:2" x14ac:dyDescent="0.25">
      <c r="B3566" s="192"/>
    </row>
    <row r="3567" spans="2:2" x14ac:dyDescent="0.25">
      <c r="B3567" s="192"/>
    </row>
    <row r="3568" spans="2:2" x14ac:dyDescent="0.25">
      <c r="B3568" s="192"/>
    </row>
    <row r="3569" spans="2:2" x14ac:dyDescent="0.25">
      <c r="B3569" s="192"/>
    </row>
    <row r="3570" spans="2:2" x14ac:dyDescent="0.25">
      <c r="B3570" s="192"/>
    </row>
    <row r="3571" spans="2:2" x14ac:dyDescent="0.25">
      <c r="B3571" s="192"/>
    </row>
    <row r="3572" spans="2:2" x14ac:dyDescent="0.25">
      <c r="B3572" s="192"/>
    </row>
    <row r="3573" spans="2:2" x14ac:dyDescent="0.25">
      <c r="B3573" s="192"/>
    </row>
    <row r="3574" spans="2:2" x14ac:dyDescent="0.25">
      <c r="B3574" s="192"/>
    </row>
    <row r="3575" spans="2:2" x14ac:dyDescent="0.25">
      <c r="B3575" s="192"/>
    </row>
    <row r="3576" spans="2:2" x14ac:dyDescent="0.25">
      <c r="B3576" s="192"/>
    </row>
    <row r="3577" spans="2:2" x14ac:dyDescent="0.25">
      <c r="B3577" s="192"/>
    </row>
    <row r="3578" spans="2:2" x14ac:dyDescent="0.25">
      <c r="B3578" s="192"/>
    </row>
    <row r="3579" spans="2:2" x14ac:dyDescent="0.25">
      <c r="B3579" s="192"/>
    </row>
    <row r="3580" spans="2:2" x14ac:dyDescent="0.25">
      <c r="B3580" s="192"/>
    </row>
    <row r="3581" spans="2:2" x14ac:dyDescent="0.25">
      <c r="B3581" s="192"/>
    </row>
    <row r="3582" spans="2:2" x14ac:dyDescent="0.25">
      <c r="B3582" s="192"/>
    </row>
    <row r="3583" spans="2:2" x14ac:dyDescent="0.25">
      <c r="B3583" s="192"/>
    </row>
    <row r="3584" spans="2:2" x14ac:dyDescent="0.25">
      <c r="B3584" s="192"/>
    </row>
    <row r="3585" spans="2:2" x14ac:dyDescent="0.25">
      <c r="B3585" s="192"/>
    </row>
    <row r="3586" spans="2:2" x14ac:dyDescent="0.25">
      <c r="B3586" s="192"/>
    </row>
    <row r="3587" spans="2:2" x14ac:dyDescent="0.25">
      <c r="B3587" s="192"/>
    </row>
    <row r="3588" spans="2:2" x14ac:dyDescent="0.25">
      <c r="B3588" s="192"/>
    </row>
    <row r="3589" spans="2:2" x14ac:dyDescent="0.25">
      <c r="B3589" s="192"/>
    </row>
    <row r="3590" spans="2:2" x14ac:dyDescent="0.25">
      <c r="B3590" s="192"/>
    </row>
    <row r="3591" spans="2:2" x14ac:dyDescent="0.25">
      <c r="B3591" s="192"/>
    </row>
    <row r="3592" spans="2:2" x14ac:dyDescent="0.25">
      <c r="B3592" s="192"/>
    </row>
    <row r="3593" spans="2:2" x14ac:dyDescent="0.25">
      <c r="B3593" s="192"/>
    </row>
    <row r="3594" spans="2:2" x14ac:dyDescent="0.25">
      <c r="B3594" s="192"/>
    </row>
    <row r="3595" spans="2:2" x14ac:dyDescent="0.25">
      <c r="B3595" s="192"/>
    </row>
    <row r="3596" spans="2:2" x14ac:dyDescent="0.25">
      <c r="B3596" s="192"/>
    </row>
    <row r="3597" spans="2:2" x14ac:dyDescent="0.25">
      <c r="B3597" s="192"/>
    </row>
    <row r="3598" spans="2:2" x14ac:dyDescent="0.25">
      <c r="B3598" s="192"/>
    </row>
    <row r="3599" spans="2:2" x14ac:dyDescent="0.25">
      <c r="B3599" s="192"/>
    </row>
    <row r="3600" spans="2:2" x14ac:dyDescent="0.25">
      <c r="B3600" s="192"/>
    </row>
    <row r="3601" spans="2:2" x14ac:dyDescent="0.25">
      <c r="B3601" s="192"/>
    </row>
    <row r="3602" spans="2:2" x14ac:dyDescent="0.25">
      <c r="B3602" s="192"/>
    </row>
    <row r="3603" spans="2:2" x14ac:dyDescent="0.25">
      <c r="B3603" s="192"/>
    </row>
    <row r="3604" spans="2:2" x14ac:dyDescent="0.25">
      <c r="B3604" s="192"/>
    </row>
    <row r="3605" spans="2:2" x14ac:dyDescent="0.25">
      <c r="B3605" s="192"/>
    </row>
    <row r="3606" spans="2:2" x14ac:dyDescent="0.25">
      <c r="B3606" s="192"/>
    </row>
    <row r="3607" spans="2:2" x14ac:dyDescent="0.25">
      <c r="B3607" s="192"/>
    </row>
    <row r="3608" spans="2:2" x14ac:dyDescent="0.25">
      <c r="B3608" s="192"/>
    </row>
    <row r="3609" spans="2:2" x14ac:dyDescent="0.25">
      <c r="B3609" s="192"/>
    </row>
    <row r="3610" spans="2:2" x14ac:dyDescent="0.25">
      <c r="B3610" s="192"/>
    </row>
    <row r="3611" spans="2:2" x14ac:dyDescent="0.25">
      <c r="B3611" s="192"/>
    </row>
    <row r="3612" spans="2:2" x14ac:dyDescent="0.25">
      <c r="B3612" s="192"/>
    </row>
    <row r="3613" spans="2:2" x14ac:dyDescent="0.25">
      <c r="B3613" s="192"/>
    </row>
    <row r="3614" spans="2:2" x14ac:dyDescent="0.25">
      <c r="B3614" s="192"/>
    </row>
    <row r="3615" spans="2:2" x14ac:dyDescent="0.25">
      <c r="B3615" s="192"/>
    </row>
    <row r="3616" spans="2:2" x14ac:dyDescent="0.25">
      <c r="B3616" s="192"/>
    </row>
    <row r="3617" spans="2:2" x14ac:dyDescent="0.25">
      <c r="B3617" s="192"/>
    </row>
    <row r="3618" spans="2:2" x14ac:dyDescent="0.25">
      <c r="B3618" s="192"/>
    </row>
    <row r="3619" spans="2:2" x14ac:dyDescent="0.25">
      <c r="B3619" s="192"/>
    </row>
    <row r="3620" spans="2:2" x14ac:dyDescent="0.25">
      <c r="B3620" s="192"/>
    </row>
    <row r="3621" spans="2:2" x14ac:dyDescent="0.25">
      <c r="B3621" s="192"/>
    </row>
    <row r="3622" spans="2:2" x14ac:dyDescent="0.25">
      <c r="B3622" s="192"/>
    </row>
    <row r="3623" spans="2:2" x14ac:dyDescent="0.25">
      <c r="B3623" s="192"/>
    </row>
    <row r="3624" spans="2:2" x14ac:dyDescent="0.25">
      <c r="B3624" s="192"/>
    </row>
    <row r="3625" spans="2:2" x14ac:dyDescent="0.25">
      <c r="B3625" s="192"/>
    </row>
    <row r="3626" spans="2:2" x14ac:dyDescent="0.25">
      <c r="B3626" s="192"/>
    </row>
    <row r="3627" spans="2:2" x14ac:dyDescent="0.25">
      <c r="B3627" s="192"/>
    </row>
    <row r="3628" spans="2:2" x14ac:dyDescent="0.25">
      <c r="B3628" s="192"/>
    </row>
    <row r="3629" spans="2:2" x14ac:dyDescent="0.25">
      <c r="B3629" s="192"/>
    </row>
    <row r="3630" spans="2:2" x14ac:dyDescent="0.25">
      <c r="B3630" s="192"/>
    </row>
    <row r="3631" spans="2:2" x14ac:dyDescent="0.25">
      <c r="B3631" s="192"/>
    </row>
    <row r="3632" spans="2:2" x14ac:dyDescent="0.25">
      <c r="B3632" s="192"/>
    </row>
    <row r="3633" spans="2:2" x14ac:dyDescent="0.25">
      <c r="B3633" s="192"/>
    </row>
    <row r="3634" spans="2:2" x14ac:dyDescent="0.25">
      <c r="B3634" s="192"/>
    </row>
    <row r="3635" spans="2:2" x14ac:dyDescent="0.25">
      <c r="B3635" s="192"/>
    </row>
    <row r="3636" spans="2:2" x14ac:dyDescent="0.25">
      <c r="B3636" s="192"/>
    </row>
    <row r="3637" spans="2:2" x14ac:dyDescent="0.25">
      <c r="B3637" s="192"/>
    </row>
    <row r="3638" spans="2:2" x14ac:dyDescent="0.25">
      <c r="B3638" s="192"/>
    </row>
    <row r="3639" spans="2:2" x14ac:dyDescent="0.25">
      <c r="B3639" s="192"/>
    </row>
    <row r="3640" spans="2:2" x14ac:dyDescent="0.25">
      <c r="B3640" s="192"/>
    </row>
    <row r="3641" spans="2:2" x14ac:dyDescent="0.25">
      <c r="B3641" s="192"/>
    </row>
    <row r="3642" spans="2:2" x14ac:dyDescent="0.25">
      <c r="B3642" s="192"/>
    </row>
    <row r="3643" spans="2:2" x14ac:dyDescent="0.25">
      <c r="B3643" s="192"/>
    </row>
    <row r="3644" spans="2:2" x14ac:dyDescent="0.25">
      <c r="B3644" s="192"/>
    </row>
    <row r="3645" spans="2:2" x14ac:dyDescent="0.25">
      <c r="B3645" s="192"/>
    </row>
    <row r="3646" spans="2:2" x14ac:dyDescent="0.25">
      <c r="B3646" s="192"/>
    </row>
    <row r="3647" spans="2:2" x14ac:dyDescent="0.25">
      <c r="B3647" s="192"/>
    </row>
    <row r="3648" spans="2:2" x14ac:dyDescent="0.25">
      <c r="B3648" s="192"/>
    </row>
    <row r="3649" spans="2:2" x14ac:dyDescent="0.25">
      <c r="B3649" s="192"/>
    </row>
    <row r="3650" spans="2:2" x14ac:dyDescent="0.25">
      <c r="B3650" s="192"/>
    </row>
    <row r="3651" spans="2:2" x14ac:dyDescent="0.25">
      <c r="B3651" s="192"/>
    </row>
    <row r="3652" spans="2:2" x14ac:dyDescent="0.25">
      <c r="B3652" s="192"/>
    </row>
    <row r="3653" spans="2:2" x14ac:dyDescent="0.25">
      <c r="B3653" s="192"/>
    </row>
    <row r="3654" spans="2:2" x14ac:dyDescent="0.25">
      <c r="B3654" s="192"/>
    </row>
    <row r="3655" spans="2:2" x14ac:dyDescent="0.25">
      <c r="B3655" s="192"/>
    </row>
    <row r="3656" spans="2:2" x14ac:dyDescent="0.25">
      <c r="B3656" s="192"/>
    </row>
    <row r="3657" spans="2:2" x14ac:dyDescent="0.25">
      <c r="B3657" s="192"/>
    </row>
    <row r="3658" spans="2:2" x14ac:dyDescent="0.25">
      <c r="B3658" s="192"/>
    </row>
    <row r="3659" spans="2:2" x14ac:dyDescent="0.25">
      <c r="B3659" s="192"/>
    </row>
    <row r="3660" spans="2:2" x14ac:dyDescent="0.25">
      <c r="B3660" s="192"/>
    </row>
    <row r="3661" spans="2:2" x14ac:dyDescent="0.25">
      <c r="B3661" s="192"/>
    </row>
    <row r="3662" spans="2:2" x14ac:dyDescent="0.25">
      <c r="B3662" s="192"/>
    </row>
    <row r="3663" spans="2:2" x14ac:dyDescent="0.25">
      <c r="B3663" s="192"/>
    </row>
    <row r="3664" spans="2:2" x14ac:dyDescent="0.25">
      <c r="B3664" s="192"/>
    </row>
    <row r="3665" spans="2:2" x14ac:dyDescent="0.25">
      <c r="B3665" s="192"/>
    </row>
    <row r="3666" spans="2:2" x14ac:dyDescent="0.25">
      <c r="B3666" s="192"/>
    </row>
    <row r="3667" spans="2:2" x14ac:dyDescent="0.25">
      <c r="B3667" s="192"/>
    </row>
    <row r="3668" spans="2:2" x14ac:dyDescent="0.25">
      <c r="B3668" s="192"/>
    </row>
    <row r="3669" spans="2:2" x14ac:dyDescent="0.25">
      <c r="B3669" s="192"/>
    </row>
    <row r="3670" spans="2:2" x14ac:dyDescent="0.25">
      <c r="B3670" s="192"/>
    </row>
    <row r="3671" spans="2:2" x14ac:dyDescent="0.25">
      <c r="B3671" s="192"/>
    </row>
    <row r="3672" spans="2:2" x14ac:dyDescent="0.25">
      <c r="B3672" s="192"/>
    </row>
    <row r="3673" spans="2:2" x14ac:dyDescent="0.25">
      <c r="B3673" s="192"/>
    </row>
    <row r="3674" spans="2:2" x14ac:dyDescent="0.25">
      <c r="B3674" s="192"/>
    </row>
    <row r="3675" spans="2:2" x14ac:dyDescent="0.25">
      <c r="B3675" s="192"/>
    </row>
    <row r="3676" spans="2:2" x14ac:dyDescent="0.25">
      <c r="B3676" s="192"/>
    </row>
    <row r="3677" spans="2:2" x14ac:dyDescent="0.25">
      <c r="B3677" s="192"/>
    </row>
    <row r="3678" spans="2:2" x14ac:dyDescent="0.25">
      <c r="B3678" s="192"/>
    </row>
    <row r="3679" spans="2:2" x14ac:dyDescent="0.25">
      <c r="B3679" s="192"/>
    </row>
    <row r="3680" spans="2:2" x14ac:dyDescent="0.25">
      <c r="B3680" s="192"/>
    </row>
    <row r="3681" spans="2:2" x14ac:dyDescent="0.25">
      <c r="B3681" s="192"/>
    </row>
    <row r="3682" spans="2:2" x14ac:dyDescent="0.25">
      <c r="B3682" s="192"/>
    </row>
    <row r="3683" spans="2:2" x14ac:dyDescent="0.25">
      <c r="B3683" s="192"/>
    </row>
    <row r="3684" spans="2:2" x14ac:dyDescent="0.25">
      <c r="B3684" s="192"/>
    </row>
    <row r="3685" spans="2:2" x14ac:dyDescent="0.25">
      <c r="B3685" s="192"/>
    </row>
    <row r="3686" spans="2:2" x14ac:dyDescent="0.25">
      <c r="B3686" s="192"/>
    </row>
    <row r="3687" spans="2:2" x14ac:dyDescent="0.25">
      <c r="B3687" s="192"/>
    </row>
    <row r="3688" spans="2:2" x14ac:dyDescent="0.25">
      <c r="B3688" s="192"/>
    </row>
    <row r="3689" spans="2:2" x14ac:dyDescent="0.25">
      <c r="B3689" s="192"/>
    </row>
    <row r="3690" spans="2:2" x14ac:dyDescent="0.25">
      <c r="B3690" s="192"/>
    </row>
    <row r="3691" spans="2:2" x14ac:dyDescent="0.25">
      <c r="B3691" s="192"/>
    </row>
    <row r="3692" spans="2:2" x14ac:dyDescent="0.25">
      <c r="B3692" s="192"/>
    </row>
    <row r="3693" spans="2:2" x14ac:dyDescent="0.25">
      <c r="B3693" s="192"/>
    </row>
    <row r="3694" spans="2:2" x14ac:dyDescent="0.25">
      <c r="B3694" s="192"/>
    </row>
    <row r="3695" spans="2:2" x14ac:dyDescent="0.25">
      <c r="B3695" s="192"/>
    </row>
    <row r="3696" spans="2:2" x14ac:dyDescent="0.25">
      <c r="B3696" s="192"/>
    </row>
    <row r="3697" spans="2:2" x14ac:dyDescent="0.25">
      <c r="B3697" s="192"/>
    </row>
    <row r="3698" spans="2:2" x14ac:dyDescent="0.25">
      <c r="B3698" s="192"/>
    </row>
    <row r="3699" spans="2:2" x14ac:dyDescent="0.25">
      <c r="B3699" s="192"/>
    </row>
    <row r="3700" spans="2:2" x14ac:dyDescent="0.25">
      <c r="B3700" s="192"/>
    </row>
    <row r="3701" spans="2:2" x14ac:dyDescent="0.25">
      <c r="B3701" s="192"/>
    </row>
    <row r="3702" spans="2:2" x14ac:dyDescent="0.25">
      <c r="B3702" s="192"/>
    </row>
    <row r="3703" spans="2:2" x14ac:dyDescent="0.25">
      <c r="B3703" s="192"/>
    </row>
    <row r="3704" spans="2:2" x14ac:dyDescent="0.25">
      <c r="B3704" s="192"/>
    </row>
    <row r="3705" spans="2:2" x14ac:dyDescent="0.25">
      <c r="B3705" s="192"/>
    </row>
    <row r="3706" spans="2:2" x14ac:dyDescent="0.25">
      <c r="B3706" s="192"/>
    </row>
    <row r="3707" spans="2:2" x14ac:dyDescent="0.25">
      <c r="B3707" s="192"/>
    </row>
    <row r="3708" spans="2:2" x14ac:dyDescent="0.25">
      <c r="B3708" s="192"/>
    </row>
    <row r="3709" spans="2:2" x14ac:dyDescent="0.25">
      <c r="B3709" s="192"/>
    </row>
    <row r="3710" spans="2:2" x14ac:dyDescent="0.25">
      <c r="B3710" s="192"/>
    </row>
    <row r="3711" spans="2:2" x14ac:dyDescent="0.25">
      <c r="B3711" s="192"/>
    </row>
    <row r="3712" spans="2:2" x14ac:dyDescent="0.25">
      <c r="B3712" s="192"/>
    </row>
    <row r="3713" spans="2:2" x14ac:dyDescent="0.25">
      <c r="B3713" s="192"/>
    </row>
    <row r="3714" spans="2:2" x14ac:dyDescent="0.25">
      <c r="B3714" s="192"/>
    </row>
    <row r="3715" spans="2:2" x14ac:dyDescent="0.25">
      <c r="B3715" s="192"/>
    </row>
    <row r="3716" spans="2:2" x14ac:dyDescent="0.25">
      <c r="B3716" s="192"/>
    </row>
    <row r="3717" spans="2:2" x14ac:dyDescent="0.25">
      <c r="B3717" s="192"/>
    </row>
    <row r="3718" spans="2:2" x14ac:dyDescent="0.25">
      <c r="B3718" s="192"/>
    </row>
    <row r="3719" spans="2:2" x14ac:dyDescent="0.25">
      <c r="B3719" s="192"/>
    </row>
    <row r="3720" spans="2:2" x14ac:dyDescent="0.25">
      <c r="B3720" s="192"/>
    </row>
    <row r="3721" spans="2:2" x14ac:dyDescent="0.25">
      <c r="B3721" s="192"/>
    </row>
    <row r="3722" spans="2:2" x14ac:dyDescent="0.25">
      <c r="B3722" s="192"/>
    </row>
    <row r="3723" spans="2:2" x14ac:dyDescent="0.25">
      <c r="B3723" s="192"/>
    </row>
    <row r="3724" spans="2:2" x14ac:dyDescent="0.25">
      <c r="B3724" s="192"/>
    </row>
    <row r="3725" spans="2:2" x14ac:dyDescent="0.25">
      <c r="B3725" s="192"/>
    </row>
    <row r="3726" spans="2:2" x14ac:dyDescent="0.25">
      <c r="B3726" s="192"/>
    </row>
    <row r="3727" spans="2:2" x14ac:dyDescent="0.25">
      <c r="B3727" s="192"/>
    </row>
    <row r="3728" spans="2:2" x14ac:dyDescent="0.25">
      <c r="B3728" s="192"/>
    </row>
    <row r="3729" spans="2:2" x14ac:dyDescent="0.25">
      <c r="B3729" s="192"/>
    </row>
    <row r="3730" spans="2:2" x14ac:dyDescent="0.25">
      <c r="B3730" s="192"/>
    </row>
    <row r="3731" spans="2:2" x14ac:dyDescent="0.25">
      <c r="B3731" s="192"/>
    </row>
    <row r="3732" spans="2:2" x14ac:dyDescent="0.25">
      <c r="B3732" s="192"/>
    </row>
    <row r="3733" spans="2:2" x14ac:dyDescent="0.25">
      <c r="B3733" s="192"/>
    </row>
    <row r="3734" spans="2:2" x14ac:dyDescent="0.25">
      <c r="B3734" s="192"/>
    </row>
    <row r="3735" spans="2:2" x14ac:dyDescent="0.25">
      <c r="B3735" s="192"/>
    </row>
    <row r="3736" spans="2:2" x14ac:dyDescent="0.25">
      <c r="B3736" s="192"/>
    </row>
    <row r="3737" spans="2:2" x14ac:dyDescent="0.25">
      <c r="B3737" s="192"/>
    </row>
    <row r="3738" spans="2:2" x14ac:dyDescent="0.25">
      <c r="B3738" s="192"/>
    </row>
    <row r="3739" spans="2:2" x14ac:dyDescent="0.25">
      <c r="B3739" s="192"/>
    </row>
    <row r="3740" spans="2:2" x14ac:dyDescent="0.25">
      <c r="B3740" s="192"/>
    </row>
    <row r="3741" spans="2:2" x14ac:dyDescent="0.25">
      <c r="B3741" s="192"/>
    </row>
    <row r="3742" spans="2:2" x14ac:dyDescent="0.25">
      <c r="B3742" s="192"/>
    </row>
    <row r="3743" spans="2:2" x14ac:dyDescent="0.25">
      <c r="B3743" s="192"/>
    </row>
    <row r="3744" spans="2:2" x14ac:dyDescent="0.25">
      <c r="B3744" s="192"/>
    </row>
    <row r="3745" spans="2:2" x14ac:dyDescent="0.25">
      <c r="B3745" s="192"/>
    </row>
    <row r="3746" spans="2:2" x14ac:dyDescent="0.25">
      <c r="B3746" s="192"/>
    </row>
    <row r="3747" spans="2:2" x14ac:dyDescent="0.25">
      <c r="B3747" s="192"/>
    </row>
    <row r="3748" spans="2:2" x14ac:dyDescent="0.25">
      <c r="B3748" s="192"/>
    </row>
    <row r="3749" spans="2:2" x14ac:dyDescent="0.25">
      <c r="B3749" s="192"/>
    </row>
    <row r="3750" spans="2:2" x14ac:dyDescent="0.25">
      <c r="B3750" s="192"/>
    </row>
    <row r="3751" spans="2:2" x14ac:dyDescent="0.25">
      <c r="B3751" s="192"/>
    </row>
    <row r="3752" spans="2:2" x14ac:dyDescent="0.25">
      <c r="B3752" s="192"/>
    </row>
    <row r="3753" spans="2:2" x14ac:dyDescent="0.25">
      <c r="B3753" s="192"/>
    </row>
    <row r="3754" spans="2:2" x14ac:dyDescent="0.25">
      <c r="B3754" s="192"/>
    </row>
    <row r="3755" spans="2:2" x14ac:dyDescent="0.25">
      <c r="B3755" s="192"/>
    </row>
    <row r="3756" spans="2:2" x14ac:dyDescent="0.25">
      <c r="B3756" s="192"/>
    </row>
    <row r="3757" spans="2:2" x14ac:dyDescent="0.25">
      <c r="B3757" s="192"/>
    </row>
    <row r="3758" spans="2:2" x14ac:dyDescent="0.25">
      <c r="B3758" s="192"/>
    </row>
    <row r="3759" spans="2:2" x14ac:dyDescent="0.25">
      <c r="B3759" s="192"/>
    </row>
    <row r="3760" spans="2:2" x14ac:dyDescent="0.25">
      <c r="B3760" s="192"/>
    </row>
    <row r="3761" spans="2:2" x14ac:dyDescent="0.25">
      <c r="B3761" s="192"/>
    </row>
    <row r="3762" spans="2:2" x14ac:dyDescent="0.25">
      <c r="B3762" s="192"/>
    </row>
    <row r="3763" spans="2:2" x14ac:dyDescent="0.25">
      <c r="B3763" s="192"/>
    </row>
    <row r="3764" spans="2:2" x14ac:dyDescent="0.25">
      <c r="B3764" s="192"/>
    </row>
    <row r="3765" spans="2:2" x14ac:dyDescent="0.25">
      <c r="B3765" s="192"/>
    </row>
    <row r="3766" spans="2:2" x14ac:dyDescent="0.25">
      <c r="B3766" s="192"/>
    </row>
    <row r="3767" spans="2:2" x14ac:dyDescent="0.25">
      <c r="B3767" s="192"/>
    </row>
    <row r="3768" spans="2:2" x14ac:dyDescent="0.25">
      <c r="B3768" s="192"/>
    </row>
    <row r="3769" spans="2:2" x14ac:dyDescent="0.25">
      <c r="B3769" s="192"/>
    </row>
    <row r="3770" spans="2:2" x14ac:dyDescent="0.25">
      <c r="B3770" s="192"/>
    </row>
    <row r="3771" spans="2:2" x14ac:dyDescent="0.25">
      <c r="B3771" s="192"/>
    </row>
    <row r="3772" spans="2:2" x14ac:dyDescent="0.25">
      <c r="B3772" s="192"/>
    </row>
    <row r="3773" spans="2:2" x14ac:dyDescent="0.25">
      <c r="B3773" s="192"/>
    </row>
    <row r="3774" spans="2:2" x14ac:dyDescent="0.25">
      <c r="B3774" s="192"/>
    </row>
    <row r="3775" spans="2:2" x14ac:dyDescent="0.25">
      <c r="B3775" s="192"/>
    </row>
    <row r="3776" spans="2:2" x14ac:dyDescent="0.25">
      <c r="B3776" s="192"/>
    </row>
    <row r="3777" spans="2:2" x14ac:dyDescent="0.25">
      <c r="B3777" s="192"/>
    </row>
    <row r="3778" spans="2:2" x14ac:dyDescent="0.25">
      <c r="B3778" s="192"/>
    </row>
    <row r="3779" spans="2:2" x14ac:dyDescent="0.25">
      <c r="B3779" s="192"/>
    </row>
    <row r="3780" spans="2:2" x14ac:dyDescent="0.25">
      <c r="B3780" s="192"/>
    </row>
    <row r="3781" spans="2:2" x14ac:dyDescent="0.25">
      <c r="B3781" s="192"/>
    </row>
    <row r="3782" spans="2:2" x14ac:dyDescent="0.25">
      <c r="B3782" s="192"/>
    </row>
    <row r="3783" spans="2:2" x14ac:dyDescent="0.25">
      <c r="B3783" s="192"/>
    </row>
    <row r="3784" spans="2:2" x14ac:dyDescent="0.25">
      <c r="B3784" s="192"/>
    </row>
    <row r="3785" spans="2:2" x14ac:dyDescent="0.25">
      <c r="B3785" s="192"/>
    </row>
    <row r="3786" spans="2:2" x14ac:dyDescent="0.25">
      <c r="B3786" s="192"/>
    </row>
    <row r="3787" spans="2:2" x14ac:dyDescent="0.25">
      <c r="B3787" s="192"/>
    </row>
    <row r="3788" spans="2:2" x14ac:dyDescent="0.25">
      <c r="B3788" s="192"/>
    </row>
    <row r="3789" spans="2:2" x14ac:dyDescent="0.25">
      <c r="B3789" s="192"/>
    </row>
    <row r="3790" spans="2:2" x14ac:dyDescent="0.25">
      <c r="B3790" s="192"/>
    </row>
    <row r="3791" spans="2:2" x14ac:dyDescent="0.25">
      <c r="B3791" s="192"/>
    </row>
    <row r="3792" spans="2:2" x14ac:dyDescent="0.25">
      <c r="B3792" s="192"/>
    </row>
    <row r="3793" spans="2:2" x14ac:dyDescent="0.25">
      <c r="B3793" s="192"/>
    </row>
    <row r="3794" spans="2:2" x14ac:dyDescent="0.25">
      <c r="B3794" s="192"/>
    </row>
    <row r="3795" spans="2:2" x14ac:dyDescent="0.25">
      <c r="B3795" s="192"/>
    </row>
    <row r="3796" spans="2:2" x14ac:dyDescent="0.25">
      <c r="B3796" s="192"/>
    </row>
    <row r="3797" spans="2:2" x14ac:dyDescent="0.25">
      <c r="B3797" s="192"/>
    </row>
    <row r="3798" spans="2:2" x14ac:dyDescent="0.25">
      <c r="B3798" s="192"/>
    </row>
    <row r="3799" spans="2:2" x14ac:dyDescent="0.25">
      <c r="B3799" s="192"/>
    </row>
    <row r="3800" spans="2:2" x14ac:dyDescent="0.25">
      <c r="B3800" s="192"/>
    </row>
    <row r="3801" spans="2:2" x14ac:dyDescent="0.25">
      <c r="B3801" s="192"/>
    </row>
    <row r="3802" spans="2:2" x14ac:dyDescent="0.25">
      <c r="B3802" s="192"/>
    </row>
    <row r="3803" spans="2:2" x14ac:dyDescent="0.25">
      <c r="B3803" s="192"/>
    </row>
    <row r="3804" spans="2:2" x14ac:dyDescent="0.25">
      <c r="B3804" s="192"/>
    </row>
    <row r="3805" spans="2:2" x14ac:dyDescent="0.25">
      <c r="B3805" s="192"/>
    </row>
    <row r="3806" spans="2:2" x14ac:dyDescent="0.25">
      <c r="B3806" s="192"/>
    </row>
    <row r="3807" spans="2:2" x14ac:dyDescent="0.25">
      <c r="B3807" s="192"/>
    </row>
    <row r="3808" spans="2:2" x14ac:dyDescent="0.25">
      <c r="B3808" s="192"/>
    </row>
    <row r="3809" spans="2:2" x14ac:dyDescent="0.25">
      <c r="B3809" s="192"/>
    </row>
    <row r="3810" spans="2:2" x14ac:dyDescent="0.25">
      <c r="B3810" s="192"/>
    </row>
    <row r="3811" spans="2:2" x14ac:dyDescent="0.25">
      <c r="B3811" s="192"/>
    </row>
    <row r="3812" spans="2:2" x14ac:dyDescent="0.25">
      <c r="B3812" s="192"/>
    </row>
    <row r="3813" spans="2:2" x14ac:dyDescent="0.25">
      <c r="B3813" s="192"/>
    </row>
    <row r="3814" spans="2:2" x14ac:dyDescent="0.25">
      <c r="B3814" s="192"/>
    </row>
    <row r="3815" spans="2:2" x14ac:dyDescent="0.25">
      <c r="B3815" s="192"/>
    </row>
    <row r="3816" spans="2:2" x14ac:dyDescent="0.25">
      <c r="B3816" s="192"/>
    </row>
    <row r="3817" spans="2:2" x14ac:dyDescent="0.25">
      <c r="B3817" s="192"/>
    </row>
    <row r="3818" spans="2:2" x14ac:dyDescent="0.25">
      <c r="B3818" s="192"/>
    </row>
    <row r="3819" spans="2:2" x14ac:dyDescent="0.25">
      <c r="B3819" s="192"/>
    </row>
    <row r="3820" spans="2:2" x14ac:dyDescent="0.25">
      <c r="B3820" s="192"/>
    </row>
    <row r="3821" spans="2:2" x14ac:dyDescent="0.25">
      <c r="B3821" s="192"/>
    </row>
    <row r="3822" spans="2:2" x14ac:dyDescent="0.25">
      <c r="B3822" s="192"/>
    </row>
    <row r="3823" spans="2:2" x14ac:dyDescent="0.25">
      <c r="B3823" s="192"/>
    </row>
    <row r="3824" spans="2:2" x14ac:dyDescent="0.25">
      <c r="B3824" s="192"/>
    </row>
    <row r="3825" spans="2:2" x14ac:dyDescent="0.25">
      <c r="B3825" s="192"/>
    </row>
    <row r="3826" spans="2:2" x14ac:dyDescent="0.25">
      <c r="B3826" s="192"/>
    </row>
    <row r="3827" spans="2:2" x14ac:dyDescent="0.25">
      <c r="B3827" s="192"/>
    </row>
    <row r="3828" spans="2:2" x14ac:dyDescent="0.25">
      <c r="B3828" s="192"/>
    </row>
    <row r="3829" spans="2:2" x14ac:dyDescent="0.25">
      <c r="B3829" s="192"/>
    </row>
    <row r="3830" spans="2:2" x14ac:dyDescent="0.25">
      <c r="B3830" s="192"/>
    </row>
    <row r="3831" spans="2:2" x14ac:dyDescent="0.25">
      <c r="B3831" s="192"/>
    </row>
    <row r="3832" spans="2:2" x14ac:dyDescent="0.25">
      <c r="B3832" s="192"/>
    </row>
    <row r="3833" spans="2:2" x14ac:dyDescent="0.25">
      <c r="B3833" s="192"/>
    </row>
    <row r="3834" spans="2:2" x14ac:dyDescent="0.25">
      <c r="B3834" s="192"/>
    </row>
    <row r="3835" spans="2:2" x14ac:dyDescent="0.25">
      <c r="B3835" s="192"/>
    </row>
    <row r="3836" spans="2:2" x14ac:dyDescent="0.25">
      <c r="B3836" s="192"/>
    </row>
    <row r="3837" spans="2:2" x14ac:dyDescent="0.25">
      <c r="B3837" s="192"/>
    </row>
    <row r="3838" spans="2:2" x14ac:dyDescent="0.25">
      <c r="B3838" s="192"/>
    </row>
    <row r="3839" spans="2:2" x14ac:dyDescent="0.25">
      <c r="B3839" s="192"/>
    </row>
    <row r="3840" spans="2:2" x14ac:dyDescent="0.25">
      <c r="B3840" s="192"/>
    </row>
    <row r="3841" spans="2:2" x14ac:dyDescent="0.25">
      <c r="B3841" s="192"/>
    </row>
    <row r="3842" spans="2:2" x14ac:dyDescent="0.25">
      <c r="B3842" s="192"/>
    </row>
    <row r="3843" spans="2:2" x14ac:dyDescent="0.25">
      <c r="B3843" s="192"/>
    </row>
    <row r="3844" spans="2:2" x14ac:dyDescent="0.25">
      <c r="B3844" s="192"/>
    </row>
    <row r="3845" spans="2:2" x14ac:dyDescent="0.25">
      <c r="B3845" s="192"/>
    </row>
    <row r="3846" spans="2:2" x14ac:dyDescent="0.25">
      <c r="B3846" s="192"/>
    </row>
    <row r="3847" spans="2:2" x14ac:dyDescent="0.25">
      <c r="B3847" s="192"/>
    </row>
    <row r="3848" spans="2:2" x14ac:dyDescent="0.25">
      <c r="B3848" s="192"/>
    </row>
    <row r="3849" spans="2:2" x14ac:dyDescent="0.25">
      <c r="B3849" s="192"/>
    </row>
    <row r="3850" spans="2:2" x14ac:dyDescent="0.25">
      <c r="B3850" s="192"/>
    </row>
    <row r="3851" spans="2:2" x14ac:dyDescent="0.25">
      <c r="B3851" s="192"/>
    </row>
    <row r="3852" spans="2:2" x14ac:dyDescent="0.25">
      <c r="B3852" s="192"/>
    </row>
    <row r="3853" spans="2:2" x14ac:dyDescent="0.25">
      <c r="B3853" s="192"/>
    </row>
    <row r="3854" spans="2:2" x14ac:dyDescent="0.25">
      <c r="B3854" s="192"/>
    </row>
    <row r="3855" spans="2:2" x14ac:dyDescent="0.25">
      <c r="B3855" s="192"/>
    </row>
    <row r="3856" spans="2:2" x14ac:dyDescent="0.25">
      <c r="B3856" s="192"/>
    </row>
    <row r="3857" spans="2:2" x14ac:dyDescent="0.25">
      <c r="B3857" s="192"/>
    </row>
    <row r="3858" spans="2:2" x14ac:dyDescent="0.25">
      <c r="B3858" s="192"/>
    </row>
    <row r="3859" spans="2:2" x14ac:dyDescent="0.25">
      <c r="B3859" s="192"/>
    </row>
    <row r="3860" spans="2:2" x14ac:dyDescent="0.25">
      <c r="B3860" s="192"/>
    </row>
    <row r="3861" spans="2:2" x14ac:dyDescent="0.25">
      <c r="B3861" s="192"/>
    </row>
    <row r="3862" spans="2:2" x14ac:dyDescent="0.25">
      <c r="B3862" s="192"/>
    </row>
    <row r="3863" spans="2:2" x14ac:dyDescent="0.25">
      <c r="B3863" s="192"/>
    </row>
    <row r="3864" spans="2:2" x14ac:dyDescent="0.25">
      <c r="B3864" s="192"/>
    </row>
    <row r="3865" spans="2:2" x14ac:dyDescent="0.25">
      <c r="B3865" s="192"/>
    </row>
    <row r="3866" spans="2:2" x14ac:dyDescent="0.25">
      <c r="B3866" s="192"/>
    </row>
    <row r="3867" spans="2:2" x14ac:dyDescent="0.25">
      <c r="B3867" s="192"/>
    </row>
    <row r="3868" spans="2:2" x14ac:dyDescent="0.25">
      <c r="B3868" s="192"/>
    </row>
    <row r="3869" spans="2:2" x14ac:dyDescent="0.25">
      <c r="B3869" s="192"/>
    </row>
    <row r="3870" spans="2:2" x14ac:dyDescent="0.25">
      <c r="B3870" s="192"/>
    </row>
    <row r="3871" spans="2:2" x14ac:dyDescent="0.25">
      <c r="B3871" s="192"/>
    </row>
    <row r="3872" spans="2:2" x14ac:dyDescent="0.25">
      <c r="B3872" s="192"/>
    </row>
    <row r="3873" spans="2:2" x14ac:dyDescent="0.25">
      <c r="B3873" s="192"/>
    </row>
    <row r="3874" spans="2:2" x14ac:dyDescent="0.25">
      <c r="B3874" s="192"/>
    </row>
    <row r="3875" spans="2:2" x14ac:dyDescent="0.25">
      <c r="B3875" s="192"/>
    </row>
    <row r="3876" spans="2:2" x14ac:dyDescent="0.25">
      <c r="B3876" s="192"/>
    </row>
    <row r="3877" spans="2:2" x14ac:dyDescent="0.25">
      <c r="B3877" s="192"/>
    </row>
    <row r="3878" spans="2:2" x14ac:dyDescent="0.25">
      <c r="B3878" s="192"/>
    </row>
    <row r="3879" spans="2:2" x14ac:dyDescent="0.25">
      <c r="B3879" s="192"/>
    </row>
    <row r="3880" spans="2:2" x14ac:dyDescent="0.25">
      <c r="B3880" s="192"/>
    </row>
    <row r="3881" spans="2:2" x14ac:dyDescent="0.25">
      <c r="B3881" s="192"/>
    </row>
    <row r="3882" spans="2:2" x14ac:dyDescent="0.25">
      <c r="B3882" s="192"/>
    </row>
    <row r="3883" spans="2:2" x14ac:dyDescent="0.25">
      <c r="B3883" s="192"/>
    </row>
    <row r="3884" spans="2:2" x14ac:dyDescent="0.25">
      <c r="B3884" s="192"/>
    </row>
    <row r="3885" spans="2:2" x14ac:dyDescent="0.25">
      <c r="B3885" s="192"/>
    </row>
    <row r="3886" spans="2:2" x14ac:dyDescent="0.25">
      <c r="B3886" s="192"/>
    </row>
    <row r="3887" spans="2:2" x14ac:dyDescent="0.25">
      <c r="B3887" s="192"/>
    </row>
    <row r="3888" spans="2:2" x14ac:dyDescent="0.25">
      <c r="B3888" s="192"/>
    </row>
    <row r="3889" spans="2:2" x14ac:dyDescent="0.25">
      <c r="B3889" s="192"/>
    </row>
    <row r="3890" spans="2:2" x14ac:dyDescent="0.25">
      <c r="B3890" s="192"/>
    </row>
    <row r="3891" spans="2:2" x14ac:dyDescent="0.25">
      <c r="B3891" s="192"/>
    </row>
    <row r="3892" spans="2:2" x14ac:dyDescent="0.25">
      <c r="B3892" s="192"/>
    </row>
    <row r="3893" spans="2:2" x14ac:dyDescent="0.25">
      <c r="B3893" s="192"/>
    </row>
    <row r="3894" spans="2:2" x14ac:dyDescent="0.25">
      <c r="B3894" s="192"/>
    </row>
    <row r="3895" spans="2:2" x14ac:dyDescent="0.25">
      <c r="B3895" s="192"/>
    </row>
    <row r="3896" spans="2:2" x14ac:dyDescent="0.25">
      <c r="B3896" s="192"/>
    </row>
    <row r="3897" spans="2:2" x14ac:dyDescent="0.25">
      <c r="B3897" s="192"/>
    </row>
    <row r="3898" spans="2:2" x14ac:dyDescent="0.25">
      <c r="B3898" s="192"/>
    </row>
    <row r="3899" spans="2:2" x14ac:dyDescent="0.25">
      <c r="B3899" s="192"/>
    </row>
    <row r="3900" spans="2:2" x14ac:dyDescent="0.25">
      <c r="B3900" s="192"/>
    </row>
    <row r="3901" spans="2:2" x14ac:dyDescent="0.25">
      <c r="B3901" s="192"/>
    </row>
    <row r="3902" spans="2:2" x14ac:dyDescent="0.25">
      <c r="B3902" s="192"/>
    </row>
    <row r="3903" spans="2:2" x14ac:dyDescent="0.25">
      <c r="B3903" s="192"/>
    </row>
    <row r="3904" spans="2:2" x14ac:dyDescent="0.25">
      <c r="B3904" s="192"/>
    </row>
    <row r="3905" spans="2:2" x14ac:dyDescent="0.25">
      <c r="B3905" s="192"/>
    </row>
    <row r="3906" spans="2:2" x14ac:dyDescent="0.25">
      <c r="B3906" s="192"/>
    </row>
    <row r="3907" spans="2:2" x14ac:dyDescent="0.25">
      <c r="B3907" s="192"/>
    </row>
    <row r="3908" spans="2:2" x14ac:dyDescent="0.25">
      <c r="B3908" s="192"/>
    </row>
    <row r="3909" spans="2:2" x14ac:dyDescent="0.25">
      <c r="B3909" s="192"/>
    </row>
    <row r="3910" spans="2:2" x14ac:dyDescent="0.25">
      <c r="B3910" s="192"/>
    </row>
    <row r="3911" spans="2:2" x14ac:dyDescent="0.25">
      <c r="B3911" s="192"/>
    </row>
    <row r="3912" spans="2:2" x14ac:dyDescent="0.25">
      <c r="B3912" s="192"/>
    </row>
    <row r="3913" spans="2:2" x14ac:dyDescent="0.25">
      <c r="B3913" s="192"/>
    </row>
    <row r="3914" spans="2:2" x14ac:dyDescent="0.25">
      <c r="B3914" s="192"/>
    </row>
    <row r="3915" spans="2:2" x14ac:dyDescent="0.25">
      <c r="B3915" s="192"/>
    </row>
    <row r="3916" spans="2:2" x14ac:dyDescent="0.25">
      <c r="B3916" s="192"/>
    </row>
    <row r="3917" spans="2:2" x14ac:dyDescent="0.25">
      <c r="B3917" s="192"/>
    </row>
    <row r="3918" spans="2:2" x14ac:dyDescent="0.25">
      <c r="B3918" s="192"/>
    </row>
    <row r="3919" spans="2:2" x14ac:dyDescent="0.25">
      <c r="B3919" s="192"/>
    </row>
    <row r="3920" spans="2:2" x14ac:dyDescent="0.25">
      <c r="B3920" s="192"/>
    </row>
    <row r="3921" spans="2:2" x14ac:dyDescent="0.25">
      <c r="B3921" s="192"/>
    </row>
    <row r="3922" spans="2:2" x14ac:dyDescent="0.25">
      <c r="B3922" s="192"/>
    </row>
    <row r="3923" spans="2:2" x14ac:dyDescent="0.25">
      <c r="B3923" s="192"/>
    </row>
    <row r="3924" spans="2:2" x14ac:dyDescent="0.25">
      <c r="B3924" s="192"/>
    </row>
    <row r="3925" spans="2:2" x14ac:dyDescent="0.25">
      <c r="B3925" s="192"/>
    </row>
    <row r="3926" spans="2:2" x14ac:dyDescent="0.25">
      <c r="B3926" s="192"/>
    </row>
    <row r="3927" spans="2:2" x14ac:dyDescent="0.25">
      <c r="B3927" s="192"/>
    </row>
    <row r="3928" spans="2:2" x14ac:dyDescent="0.25">
      <c r="B3928" s="192"/>
    </row>
    <row r="3929" spans="2:2" x14ac:dyDescent="0.25">
      <c r="B3929" s="192"/>
    </row>
    <row r="3930" spans="2:2" x14ac:dyDescent="0.25">
      <c r="B3930" s="192"/>
    </row>
    <row r="3931" spans="2:2" x14ac:dyDescent="0.25">
      <c r="B3931" s="192"/>
    </row>
    <row r="3932" spans="2:2" x14ac:dyDescent="0.25">
      <c r="B3932" s="192"/>
    </row>
    <row r="3933" spans="2:2" x14ac:dyDescent="0.25">
      <c r="B3933" s="192"/>
    </row>
    <row r="3934" spans="2:2" x14ac:dyDescent="0.25">
      <c r="B3934" s="192"/>
    </row>
    <row r="3935" spans="2:2" x14ac:dyDescent="0.25">
      <c r="B3935" s="192"/>
    </row>
    <row r="3936" spans="2:2" x14ac:dyDescent="0.25">
      <c r="B3936" s="192"/>
    </row>
    <row r="3937" spans="2:2" x14ac:dyDescent="0.25">
      <c r="B3937" s="192"/>
    </row>
    <row r="3938" spans="2:2" x14ac:dyDescent="0.25">
      <c r="B3938" s="192"/>
    </row>
    <row r="3939" spans="2:2" x14ac:dyDescent="0.25">
      <c r="B3939" s="192"/>
    </row>
    <row r="3940" spans="2:2" x14ac:dyDescent="0.25">
      <c r="B3940" s="192"/>
    </row>
    <row r="3941" spans="2:2" x14ac:dyDescent="0.25">
      <c r="B3941" s="192"/>
    </row>
    <row r="3942" spans="2:2" x14ac:dyDescent="0.25">
      <c r="B3942" s="192"/>
    </row>
    <row r="3943" spans="2:2" x14ac:dyDescent="0.25">
      <c r="B3943" s="192"/>
    </row>
    <row r="3944" spans="2:2" x14ac:dyDescent="0.25">
      <c r="B3944" s="192"/>
    </row>
    <row r="3945" spans="2:2" x14ac:dyDescent="0.25">
      <c r="B3945" s="192"/>
    </row>
    <row r="3946" spans="2:2" x14ac:dyDescent="0.25">
      <c r="B3946" s="192"/>
    </row>
    <row r="3947" spans="2:2" x14ac:dyDescent="0.25">
      <c r="B3947" s="192"/>
    </row>
    <row r="3948" spans="2:2" x14ac:dyDescent="0.25">
      <c r="B3948" s="192"/>
    </row>
    <row r="3949" spans="2:2" x14ac:dyDescent="0.25">
      <c r="B3949" s="192"/>
    </row>
    <row r="3950" spans="2:2" x14ac:dyDescent="0.25">
      <c r="B3950" s="192"/>
    </row>
    <row r="3951" spans="2:2" x14ac:dyDescent="0.25">
      <c r="B3951" s="192"/>
    </row>
    <row r="3952" spans="2:2" x14ac:dyDescent="0.25">
      <c r="B3952" s="192"/>
    </row>
    <row r="3953" spans="2:2" x14ac:dyDescent="0.25">
      <c r="B3953" s="192"/>
    </row>
    <row r="3954" spans="2:2" x14ac:dyDescent="0.25">
      <c r="B3954" s="192"/>
    </row>
    <row r="3955" spans="2:2" x14ac:dyDescent="0.25">
      <c r="B3955" s="192"/>
    </row>
    <row r="3956" spans="2:2" x14ac:dyDescent="0.25">
      <c r="B3956" s="192"/>
    </row>
    <row r="3957" spans="2:2" x14ac:dyDescent="0.25">
      <c r="B3957" s="192"/>
    </row>
    <row r="3958" spans="2:2" x14ac:dyDescent="0.25">
      <c r="B3958" s="192"/>
    </row>
    <row r="3959" spans="2:2" x14ac:dyDescent="0.25">
      <c r="B3959" s="192"/>
    </row>
    <row r="3960" spans="2:2" x14ac:dyDescent="0.25">
      <c r="B3960" s="192"/>
    </row>
    <row r="3961" spans="2:2" x14ac:dyDescent="0.25">
      <c r="B3961" s="192"/>
    </row>
    <row r="3962" spans="2:2" x14ac:dyDescent="0.25">
      <c r="B3962" s="192"/>
    </row>
    <row r="3963" spans="2:2" x14ac:dyDescent="0.25">
      <c r="B3963" s="192"/>
    </row>
    <row r="3964" spans="2:2" x14ac:dyDescent="0.25">
      <c r="B3964" s="192"/>
    </row>
    <row r="3965" spans="2:2" x14ac:dyDescent="0.25">
      <c r="B3965" s="192"/>
    </row>
    <row r="3966" spans="2:2" x14ac:dyDescent="0.25">
      <c r="B3966" s="192"/>
    </row>
    <row r="3967" spans="2:2" x14ac:dyDescent="0.25">
      <c r="B3967" s="192"/>
    </row>
    <row r="3968" spans="2:2" x14ac:dyDescent="0.25">
      <c r="B3968" s="192"/>
    </row>
    <row r="3969" spans="2:2" x14ac:dyDescent="0.25">
      <c r="B3969" s="192"/>
    </row>
    <row r="3970" spans="2:2" x14ac:dyDescent="0.25">
      <c r="B3970" s="192"/>
    </row>
    <row r="3971" spans="2:2" x14ac:dyDescent="0.25">
      <c r="B3971" s="192"/>
    </row>
    <row r="3972" spans="2:2" x14ac:dyDescent="0.25">
      <c r="B3972" s="192"/>
    </row>
    <row r="3973" spans="2:2" x14ac:dyDescent="0.25">
      <c r="B3973" s="192"/>
    </row>
    <row r="3974" spans="2:2" x14ac:dyDescent="0.25">
      <c r="B3974" s="192"/>
    </row>
    <row r="3975" spans="2:2" x14ac:dyDescent="0.25">
      <c r="B3975" s="192"/>
    </row>
    <row r="3976" spans="2:2" x14ac:dyDescent="0.25">
      <c r="B3976" s="192"/>
    </row>
    <row r="3977" spans="2:2" x14ac:dyDescent="0.25">
      <c r="B3977" s="192"/>
    </row>
    <row r="3978" spans="2:2" x14ac:dyDescent="0.25">
      <c r="B3978" s="192"/>
    </row>
    <row r="3979" spans="2:2" x14ac:dyDescent="0.25">
      <c r="B3979" s="192"/>
    </row>
    <row r="3980" spans="2:2" x14ac:dyDescent="0.25">
      <c r="B3980" s="192"/>
    </row>
    <row r="3981" spans="2:2" x14ac:dyDescent="0.25">
      <c r="B3981" s="192"/>
    </row>
    <row r="3982" spans="2:2" x14ac:dyDescent="0.25">
      <c r="B3982" s="192"/>
    </row>
    <row r="3983" spans="2:2" x14ac:dyDescent="0.25">
      <c r="B3983" s="192"/>
    </row>
    <row r="3984" spans="2:2" x14ac:dyDescent="0.25">
      <c r="B3984" s="192"/>
    </row>
    <row r="3985" spans="2:2" x14ac:dyDescent="0.25">
      <c r="B3985" s="192"/>
    </row>
    <row r="3986" spans="2:2" x14ac:dyDescent="0.25">
      <c r="B3986" s="192"/>
    </row>
    <row r="3987" spans="2:2" x14ac:dyDescent="0.25">
      <c r="B3987" s="192"/>
    </row>
    <row r="3988" spans="2:2" x14ac:dyDescent="0.25">
      <c r="B3988" s="192"/>
    </row>
    <row r="3989" spans="2:2" x14ac:dyDescent="0.25">
      <c r="B3989" s="192"/>
    </row>
    <row r="3990" spans="2:2" x14ac:dyDescent="0.25">
      <c r="B3990" s="192"/>
    </row>
    <row r="3991" spans="2:2" x14ac:dyDescent="0.25">
      <c r="B3991" s="192"/>
    </row>
    <row r="3992" spans="2:2" x14ac:dyDescent="0.25">
      <c r="B3992" s="192"/>
    </row>
    <row r="3993" spans="2:2" x14ac:dyDescent="0.25">
      <c r="B3993" s="192"/>
    </row>
    <row r="3994" spans="2:2" x14ac:dyDescent="0.25">
      <c r="B3994" s="192"/>
    </row>
    <row r="3995" spans="2:2" x14ac:dyDescent="0.25">
      <c r="B3995" s="192"/>
    </row>
    <row r="3996" spans="2:2" x14ac:dyDescent="0.25">
      <c r="B3996" s="192"/>
    </row>
    <row r="3997" spans="2:2" x14ac:dyDescent="0.25">
      <c r="B3997" s="192"/>
    </row>
    <row r="3998" spans="2:2" x14ac:dyDescent="0.25">
      <c r="B3998" s="192"/>
    </row>
    <row r="3999" spans="2:2" x14ac:dyDescent="0.25">
      <c r="B3999" s="192"/>
    </row>
    <row r="4000" spans="2:2" x14ac:dyDescent="0.25">
      <c r="B4000" s="192"/>
    </row>
    <row r="4001" spans="2:2" x14ac:dyDescent="0.25">
      <c r="B4001" s="192"/>
    </row>
    <row r="4002" spans="2:2" x14ac:dyDescent="0.25">
      <c r="B4002" s="192"/>
    </row>
    <row r="4003" spans="2:2" x14ac:dyDescent="0.25">
      <c r="B4003" s="192"/>
    </row>
    <row r="4004" spans="2:2" x14ac:dyDescent="0.25">
      <c r="B4004" s="192"/>
    </row>
    <row r="4005" spans="2:2" x14ac:dyDescent="0.25">
      <c r="B4005" s="192"/>
    </row>
    <row r="4006" spans="2:2" x14ac:dyDescent="0.25">
      <c r="B4006" s="192"/>
    </row>
    <row r="4007" spans="2:2" x14ac:dyDescent="0.25">
      <c r="B4007" s="192"/>
    </row>
    <row r="4008" spans="2:2" x14ac:dyDescent="0.25">
      <c r="B4008" s="192"/>
    </row>
    <row r="4009" spans="2:2" x14ac:dyDescent="0.25">
      <c r="B4009" s="192"/>
    </row>
    <row r="4010" spans="2:2" x14ac:dyDescent="0.25">
      <c r="B4010" s="192"/>
    </row>
    <row r="4011" spans="2:2" x14ac:dyDescent="0.25">
      <c r="B4011" s="192"/>
    </row>
    <row r="4012" spans="2:2" x14ac:dyDescent="0.25">
      <c r="B4012" s="192"/>
    </row>
    <row r="4013" spans="2:2" x14ac:dyDescent="0.25">
      <c r="B4013" s="192"/>
    </row>
    <row r="4014" spans="2:2" x14ac:dyDescent="0.25">
      <c r="B4014" s="192"/>
    </row>
    <row r="4015" spans="2:2" x14ac:dyDescent="0.25">
      <c r="B4015" s="192"/>
    </row>
    <row r="4016" spans="2:2" x14ac:dyDescent="0.25">
      <c r="B4016" s="192"/>
    </row>
    <row r="4017" spans="2:2" x14ac:dyDescent="0.25">
      <c r="B4017" s="192"/>
    </row>
    <row r="4018" spans="2:2" x14ac:dyDescent="0.25">
      <c r="B4018" s="192"/>
    </row>
    <row r="4019" spans="2:2" x14ac:dyDescent="0.25">
      <c r="B4019" s="192"/>
    </row>
    <row r="4020" spans="2:2" x14ac:dyDescent="0.25">
      <c r="B4020" s="192"/>
    </row>
    <row r="4021" spans="2:2" x14ac:dyDescent="0.25">
      <c r="B4021" s="192"/>
    </row>
    <row r="4022" spans="2:2" x14ac:dyDescent="0.25">
      <c r="B4022" s="192"/>
    </row>
    <row r="4023" spans="2:2" x14ac:dyDescent="0.25">
      <c r="B4023" s="192"/>
    </row>
    <row r="4024" spans="2:2" x14ac:dyDescent="0.25">
      <c r="B4024" s="192"/>
    </row>
    <row r="4025" spans="2:2" x14ac:dyDescent="0.25">
      <c r="B4025" s="192"/>
    </row>
    <row r="4026" spans="2:2" x14ac:dyDescent="0.25">
      <c r="B4026" s="192"/>
    </row>
    <row r="4027" spans="2:2" x14ac:dyDescent="0.25">
      <c r="B4027" s="192"/>
    </row>
    <row r="4028" spans="2:2" x14ac:dyDescent="0.25">
      <c r="B4028" s="192"/>
    </row>
    <row r="4029" spans="2:2" x14ac:dyDescent="0.25">
      <c r="B4029" s="192"/>
    </row>
    <row r="4030" spans="2:2" x14ac:dyDescent="0.25">
      <c r="B4030" s="192"/>
    </row>
    <row r="4031" spans="2:2" x14ac:dyDescent="0.25">
      <c r="B4031" s="192"/>
    </row>
    <row r="4032" spans="2:2" x14ac:dyDescent="0.25">
      <c r="B4032" s="192"/>
    </row>
    <row r="4033" spans="2:2" x14ac:dyDescent="0.25">
      <c r="B4033" s="192"/>
    </row>
    <row r="4034" spans="2:2" x14ac:dyDescent="0.25">
      <c r="B4034" s="192"/>
    </row>
    <row r="4035" spans="2:2" x14ac:dyDescent="0.25">
      <c r="B4035" s="192"/>
    </row>
    <row r="4036" spans="2:2" x14ac:dyDescent="0.25">
      <c r="B4036" s="192"/>
    </row>
    <row r="4037" spans="2:2" x14ac:dyDescent="0.25">
      <c r="B4037" s="192"/>
    </row>
    <row r="4038" spans="2:2" x14ac:dyDescent="0.25">
      <c r="B4038" s="192"/>
    </row>
    <row r="4039" spans="2:2" x14ac:dyDescent="0.25">
      <c r="B4039" s="192"/>
    </row>
    <row r="4040" spans="2:2" x14ac:dyDescent="0.25">
      <c r="B4040" s="192"/>
    </row>
    <row r="4041" spans="2:2" x14ac:dyDescent="0.25">
      <c r="B4041" s="192"/>
    </row>
    <row r="4042" spans="2:2" x14ac:dyDescent="0.25">
      <c r="B4042" s="192"/>
    </row>
    <row r="4043" spans="2:2" x14ac:dyDescent="0.25">
      <c r="B4043" s="192"/>
    </row>
    <row r="4044" spans="2:2" x14ac:dyDescent="0.25">
      <c r="B4044" s="192"/>
    </row>
    <row r="4045" spans="2:2" x14ac:dyDescent="0.25">
      <c r="B4045" s="192"/>
    </row>
    <row r="4046" spans="2:2" x14ac:dyDescent="0.25">
      <c r="B4046" s="192"/>
    </row>
    <row r="4047" spans="2:2" x14ac:dyDescent="0.25">
      <c r="B4047" s="192"/>
    </row>
    <row r="4048" spans="2:2" x14ac:dyDescent="0.25">
      <c r="B4048" s="192"/>
    </row>
    <row r="4049" spans="2:2" x14ac:dyDescent="0.25">
      <c r="B4049" s="192"/>
    </row>
    <row r="4050" spans="2:2" x14ac:dyDescent="0.25">
      <c r="B4050" s="192"/>
    </row>
    <row r="4051" spans="2:2" x14ac:dyDescent="0.25">
      <c r="B4051" s="192"/>
    </row>
    <row r="4052" spans="2:2" x14ac:dyDescent="0.25">
      <c r="B4052" s="192"/>
    </row>
    <row r="4053" spans="2:2" x14ac:dyDescent="0.25">
      <c r="B4053" s="192"/>
    </row>
    <row r="4054" spans="2:2" x14ac:dyDescent="0.25">
      <c r="B4054" s="192"/>
    </row>
    <row r="4055" spans="2:2" x14ac:dyDescent="0.25">
      <c r="B4055" s="192"/>
    </row>
    <row r="4056" spans="2:2" x14ac:dyDescent="0.25">
      <c r="B4056" s="192"/>
    </row>
    <row r="4057" spans="2:2" x14ac:dyDescent="0.25">
      <c r="B4057" s="192"/>
    </row>
    <row r="4058" spans="2:2" x14ac:dyDescent="0.25">
      <c r="B4058" s="192"/>
    </row>
    <row r="4059" spans="2:2" x14ac:dyDescent="0.25">
      <c r="B4059" s="192"/>
    </row>
    <row r="4060" spans="2:2" x14ac:dyDescent="0.25">
      <c r="B4060" s="192"/>
    </row>
    <row r="4061" spans="2:2" x14ac:dyDescent="0.25">
      <c r="B4061" s="192"/>
    </row>
    <row r="4062" spans="2:2" x14ac:dyDescent="0.25">
      <c r="B4062" s="192"/>
    </row>
    <row r="4063" spans="2:2" x14ac:dyDescent="0.25">
      <c r="B4063" s="192"/>
    </row>
    <row r="4064" spans="2:2" x14ac:dyDescent="0.25">
      <c r="B4064" s="192"/>
    </row>
    <row r="4065" spans="2:2" x14ac:dyDescent="0.25">
      <c r="B4065" s="192"/>
    </row>
    <row r="4066" spans="2:2" x14ac:dyDescent="0.25">
      <c r="B4066" s="192"/>
    </row>
    <row r="4067" spans="2:2" x14ac:dyDescent="0.25">
      <c r="B4067" s="192"/>
    </row>
    <row r="4068" spans="2:2" x14ac:dyDescent="0.25">
      <c r="B4068" s="192"/>
    </row>
    <row r="4069" spans="2:2" x14ac:dyDescent="0.25">
      <c r="B4069" s="192"/>
    </row>
    <row r="4070" spans="2:2" x14ac:dyDescent="0.25">
      <c r="B4070" s="192"/>
    </row>
    <row r="4071" spans="2:2" x14ac:dyDescent="0.25">
      <c r="B4071" s="192"/>
    </row>
    <row r="4072" spans="2:2" x14ac:dyDescent="0.25">
      <c r="B4072" s="192"/>
    </row>
    <row r="4073" spans="2:2" x14ac:dyDescent="0.25">
      <c r="B4073" s="192"/>
    </row>
    <row r="4074" spans="2:2" x14ac:dyDescent="0.25">
      <c r="B4074" s="192"/>
    </row>
    <row r="4075" spans="2:2" x14ac:dyDescent="0.25">
      <c r="B4075" s="192"/>
    </row>
    <row r="4076" spans="2:2" x14ac:dyDescent="0.25">
      <c r="B4076" s="192"/>
    </row>
    <row r="4077" spans="2:2" x14ac:dyDescent="0.25">
      <c r="B4077" s="192"/>
    </row>
    <row r="4078" spans="2:2" x14ac:dyDescent="0.25">
      <c r="B4078" s="192"/>
    </row>
    <row r="4079" spans="2:2" x14ac:dyDescent="0.25">
      <c r="B4079" s="192"/>
    </row>
    <row r="4080" spans="2:2" x14ac:dyDescent="0.25">
      <c r="B4080" s="192"/>
    </row>
    <row r="4081" spans="2:2" x14ac:dyDescent="0.25">
      <c r="B4081" s="192"/>
    </row>
    <row r="4082" spans="2:2" x14ac:dyDescent="0.25">
      <c r="B4082" s="192"/>
    </row>
    <row r="4083" spans="2:2" x14ac:dyDescent="0.25">
      <c r="B4083" s="192"/>
    </row>
    <row r="4084" spans="2:2" x14ac:dyDescent="0.25">
      <c r="B4084" s="192"/>
    </row>
    <row r="4085" spans="2:2" x14ac:dyDescent="0.25">
      <c r="B4085" s="192"/>
    </row>
    <row r="4086" spans="2:2" x14ac:dyDescent="0.25">
      <c r="B4086" s="192"/>
    </row>
    <row r="4087" spans="2:2" x14ac:dyDescent="0.25">
      <c r="B4087" s="192"/>
    </row>
    <row r="4088" spans="2:2" x14ac:dyDescent="0.25">
      <c r="B4088" s="192"/>
    </row>
    <row r="4089" spans="2:2" x14ac:dyDescent="0.25">
      <c r="B4089" s="192"/>
    </row>
    <row r="4090" spans="2:2" x14ac:dyDescent="0.25">
      <c r="B4090" s="192"/>
    </row>
    <row r="4091" spans="2:2" x14ac:dyDescent="0.25">
      <c r="B4091" s="192"/>
    </row>
    <row r="4092" spans="2:2" x14ac:dyDescent="0.25">
      <c r="B4092" s="192"/>
    </row>
    <row r="4093" spans="2:2" x14ac:dyDescent="0.25">
      <c r="B4093" s="192"/>
    </row>
    <row r="4094" spans="2:2" x14ac:dyDescent="0.25">
      <c r="B4094" s="192"/>
    </row>
    <row r="4095" spans="2:2" x14ac:dyDescent="0.25">
      <c r="B4095" s="192"/>
    </row>
    <row r="4096" spans="2:2" x14ac:dyDescent="0.25">
      <c r="B4096" s="192"/>
    </row>
    <row r="4097" spans="2:2" x14ac:dyDescent="0.25">
      <c r="B4097" s="192"/>
    </row>
    <row r="4098" spans="2:2" x14ac:dyDescent="0.25">
      <c r="B4098" s="192"/>
    </row>
    <row r="4099" spans="2:2" x14ac:dyDescent="0.25">
      <c r="B4099" s="192"/>
    </row>
    <row r="4100" spans="2:2" x14ac:dyDescent="0.25">
      <c r="B4100" s="192"/>
    </row>
    <row r="4101" spans="2:2" x14ac:dyDescent="0.25">
      <c r="B4101" s="192"/>
    </row>
    <row r="4102" spans="2:2" x14ac:dyDescent="0.25">
      <c r="B4102" s="192"/>
    </row>
    <row r="4103" spans="2:2" x14ac:dyDescent="0.25">
      <c r="B4103" s="192"/>
    </row>
    <row r="4104" spans="2:2" x14ac:dyDescent="0.25">
      <c r="B4104" s="192"/>
    </row>
    <row r="4105" spans="2:2" x14ac:dyDescent="0.25">
      <c r="B4105" s="192"/>
    </row>
    <row r="4106" spans="2:2" x14ac:dyDescent="0.25">
      <c r="B4106" s="192"/>
    </row>
    <row r="4107" spans="2:2" x14ac:dyDescent="0.25">
      <c r="B4107" s="192"/>
    </row>
    <row r="4108" spans="2:2" x14ac:dyDescent="0.25">
      <c r="B4108" s="192"/>
    </row>
    <row r="4109" spans="2:2" x14ac:dyDescent="0.25">
      <c r="B4109" s="192"/>
    </row>
    <row r="4110" spans="2:2" x14ac:dyDescent="0.25">
      <c r="B4110" s="192"/>
    </row>
    <row r="4111" spans="2:2" x14ac:dyDescent="0.25">
      <c r="B4111" s="192"/>
    </row>
    <row r="4112" spans="2:2" x14ac:dyDescent="0.25">
      <c r="B4112" s="192"/>
    </row>
    <row r="4113" spans="2:2" x14ac:dyDescent="0.25">
      <c r="B4113" s="192"/>
    </row>
    <row r="4114" spans="2:2" x14ac:dyDescent="0.25">
      <c r="B4114" s="192"/>
    </row>
    <row r="4115" spans="2:2" x14ac:dyDescent="0.25">
      <c r="B4115" s="192"/>
    </row>
    <row r="4116" spans="2:2" x14ac:dyDescent="0.25">
      <c r="B4116" s="192"/>
    </row>
    <row r="4117" spans="2:2" x14ac:dyDescent="0.25">
      <c r="B4117" s="192"/>
    </row>
    <row r="4118" spans="2:2" x14ac:dyDescent="0.25">
      <c r="B4118" s="192"/>
    </row>
    <row r="4119" spans="2:2" x14ac:dyDescent="0.25">
      <c r="B4119" s="192"/>
    </row>
    <row r="4120" spans="2:2" x14ac:dyDescent="0.25">
      <c r="B4120" s="192"/>
    </row>
    <row r="4121" spans="2:2" x14ac:dyDescent="0.25">
      <c r="B4121" s="192"/>
    </row>
    <row r="4122" spans="2:2" x14ac:dyDescent="0.25">
      <c r="B4122" s="192"/>
    </row>
    <row r="4123" spans="2:2" x14ac:dyDescent="0.25">
      <c r="B4123" s="192"/>
    </row>
    <row r="4124" spans="2:2" x14ac:dyDescent="0.25">
      <c r="B4124" s="192"/>
    </row>
    <row r="4125" spans="2:2" x14ac:dyDescent="0.25">
      <c r="B4125" s="192"/>
    </row>
    <row r="4126" spans="2:2" x14ac:dyDescent="0.25">
      <c r="B4126" s="192"/>
    </row>
    <row r="4127" spans="2:2" x14ac:dyDescent="0.25">
      <c r="B4127" s="192"/>
    </row>
    <row r="4128" spans="2:2" x14ac:dyDescent="0.25">
      <c r="B4128" s="192"/>
    </row>
    <row r="4129" spans="2:2" x14ac:dyDescent="0.25">
      <c r="B4129" s="192"/>
    </row>
    <row r="4130" spans="2:2" x14ac:dyDescent="0.25">
      <c r="B4130" s="192"/>
    </row>
    <row r="4131" spans="2:2" x14ac:dyDescent="0.25">
      <c r="B4131" s="192"/>
    </row>
    <row r="4132" spans="2:2" x14ac:dyDescent="0.25">
      <c r="B4132" s="192"/>
    </row>
    <row r="4133" spans="2:2" x14ac:dyDescent="0.25">
      <c r="B4133" s="192"/>
    </row>
    <row r="4134" spans="2:2" x14ac:dyDescent="0.25">
      <c r="B4134" s="192"/>
    </row>
    <row r="4135" spans="2:2" x14ac:dyDescent="0.25">
      <c r="B4135" s="192"/>
    </row>
    <row r="4136" spans="2:2" x14ac:dyDescent="0.25">
      <c r="B4136" s="192"/>
    </row>
    <row r="4137" spans="2:2" x14ac:dyDescent="0.25">
      <c r="B4137" s="192"/>
    </row>
    <row r="4138" spans="2:2" x14ac:dyDescent="0.25">
      <c r="B4138" s="192"/>
    </row>
    <row r="4139" spans="2:2" x14ac:dyDescent="0.25">
      <c r="B4139" s="192"/>
    </row>
    <row r="4140" spans="2:2" x14ac:dyDescent="0.25">
      <c r="B4140" s="192"/>
    </row>
    <row r="4141" spans="2:2" x14ac:dyDescent="0.25">
      <c r="B4141" s="192"/>
    </row>
    <row r="4142" spans="2:2" x14ac:dyDescent="0.25">
      <c r="B4142" s="192"/>
    </row>
    <row r="4143" spans="2:2" x14ac:dyDescent="0.25">
      <c r="B4143" s="192"/>
    </row>
    <row r="4144" spans="2:2" x14ac:dyDescent="0.25">
      <c r="B4144" s="192"/>
    </row>
    <row r="4145" spans="2:2" x14ac:dyDescent="0.25">
      <c r="B4145" s="192"/>
    </row>
    <row r="4146" spans="2:2" x14ac:dyDescent="0.25">
      <c r="B4146" s="192"/>
    </row>
    <row r="4147" spans="2:2" x14ac:dyDescent="0.25">
      <c r="B4147" s="192"/>
    </row>
    <row r="4148" spans="2:2" x14ac:dyDescent="0.25">
      <c r="B4148" s="192"/>
    </row>
    <row r="4149" spans="2:2" x14ac:dyDescent="0.25">
      <c r="B4149" s="192"/>
    </row>
    <row r="4150" spans="2:2" x14ac:dyDescent="0.25">
      <c r="B4150" s="192"/>
    </row>
    <row r="4151" spans="2:2" x14ac:dyDescent="0.25">
      <c r="B4151" s="192"/>
    </row>
    <row r="4152" spans="2:2" x14ac:dyDescent="0.25">
      <c r="B4152" s="192"/>
    </row>
    <row r="4153" spans="2:2" x14ac:dyDescent="0.25">
      <c r="B4153" s="192"/>
    </row>
    <row r="4154" spans="2:2" x14ac:dyDescent="0.25">
      <c r="B4154" s="192"/>
    </row>
    <row r="4155" spans="2:2" x14ac:dyDescent="0.25">
      <c r="B4155" s="192"/>
    </row>
    <row r="4156" spans="2:2" x14ac:dyDescent="0.25">
      <c r="B4156" s="192"/>
    </row>
    <row r="4157" spans="2:2" x14ac:dyDescent="0.25">
      <c r="B4157" s="192"/>
    </row>
    <row r="4158" spans="2:2" x14ac:dyDescent="0.25">
      <c r="B4158" s="192"/>
    </row>
    <row r="4159" spans="2:2" x14ac:dyDescent="0.25">
      <c r="B4159" s="192"/>
    </row>
    <row r="4160" spans="2:2" x14ac:dyDescent="0.25">
      <c r="B4160" s="192"/>
    </row>
    <row r="4161" spans="2:2" x14ac:dyDescent="0.25">
      <c r="B4161" s="192"/>
    </row>
    <row r="4162" spans="2:2" x14ac:dyDescent="0.25">
      <c r="B4162" s="192"/>
    </row>
    <row r="4163" spans="2:2" x14ac:dyDescent="0.25">
      <c r="B4163" s="192"/>
    </row>
    <row r="4164" spans="2:2" x14ac:dyDescent="0.25">
      <c r="B4164" s="192"/>
    </row>
    <row r="4165" spans="2:2" x14ac:dyDescent="0.25">
      <c r="B4165" s="192"/>
    </row>
    <row r="4166" spans="2:2" x14ac:dyDescent="0.25">
      <c r="B4166" s="192"/>
    </row>
    <row r="4167" spans="2:2" x14ac:dyDescent="0.25">
      <c r="B4167" s="192"/>
    </row>
    <row r="4168" spans="2:2" x14ac:dyDescent="0.25">
      <c r="B4168" s="192"/>
    </row>
    <row r="4169" spans="2:2" x14ac:dyDescent="0.25">
      <c r="B4169" s="192"/>
    </row>
    <row r="4170" spans="2:2" x14ac:dyDescent="0.25">
      <c r="B4170" s="192"/>
    </row>
    <row r="4171" spans="2:2" x14ac:dyDescent="0.25">
      <c r="B4171" s="192"/>
    </row>
    <row r="4172" spans="2:2" x14ac:dyDescent="0.25">
      <c r="B4172" s="192"/>
    </row>
    <row r="4173" spans="2:2" x14ac:dyDescent="0.25">
      <c r="B4173" s="192"/>
    </row>
    <row r="4174" spans="2:2" x14ac:dyDescent="0.25">
      <c r="B4174" s="192"/>
    </row>
    <row r="4175" spans="2:2" x14ac:dyDescent="0.25">
      <c r="B4175" s="192"/>
    </row>
    <row r="4176" spans="2:2" x14ac:dyDescent="0.25">
      <c r="B4176" s="192"/>
    </row>
    <row r="4177" spans="2:2" x14ac:dyDescent="0.25">
      <c r="B4177" s="192"/>
    </row>
    <row r="4178" spans="2:2" x14ac:dyDescent="0.25">
      <c r="B4178" s="192"/>
    </row>
    <row r="4179" spans="2:2" x14ac:dyDescent="0.25">
      <c r="B4179" s="192"/>
    </row>
    <row r="4180" spans="2:2" x14ac:dyDescent="0.25">
      <c r="B4180" s="192"/>
    </row>
    <row r="4181" spans="2:2" x14ac:dyDescent="0.25">
      <c r="B4181" s="192"/>
    </row>
    <row r="4182" spans="2:2" x14ac:dyDescent="0.25">
      <c r="B4182" s="192"/>
    </row>
    <row r="4183" spans="2:2" x14ac:dyDescent="0.25">
      <c r="B4183" s="192"/>
    </row>
    <row r="4184" spans="2:2" x14ac:dyDescent="0.25">
      <c r="B4184" s="192"/>
    </row>
    <row r="4185" spans="2:2" x14ac:dyDescent="0.25">
      <c r="B4185" s="192"/>
    </row>
    <row r="4186" spans="2:2" x14ac:dyDescent="0.25">
      <c r="B4186" s="192"/>
    </row>
    <row r="4187" spans="2:2" x14ac:dyDescent="0.25">
      <c r="B4187" s="192"/>
    </row>
    <row r="4188" spans="2:2" x14ac:dyDescent="0.25">
      <c r="B4188" s="192"/>
    </row>
    <row r="4189" spans="2:2" x14ac:dyDescent="0.25">
      <c r="B4189" s="192"/>
    </row>
    <row r="4190" spans="2:2" x14ac:dyDescent="0.25">
      <c r="B4190" s="192"/>
    </row>
    <row r="4191" spans="2:2" x14ac:dyDescent="0.25">
      <c r="B4191" s="192"/>
    </row>
    <row r="4192" spans="2:2" x14ac:dyDescent="0.25">
      <c r="B4192" s="192"/>
    </row>
    <row r="4193" spans="2:2" x14ac:dyDescent="0.25">
      <c r="B4193" s="192"/>
    </row>
    <row r="4194" spans="2:2" x14ac:dyDescent="0.25">
      <c r="B4194" s="192"/>
    </row>
    <row r="4195" spans="2:2" x14ac:dyDescent="0.25">
      <c r="B4195" s="192"/>
    </row>
    <row r="4196" spans="2:2" x14ac:dyDescent="0.25">
      <c r="B4196" s="192"/>
    </row>
    <row r="4197" spans="2:2" x14ac:dyDescent="0.25">
      <c r="B4197" s="192"/>
    </row>
    <row r="4198" spans="2:2" x14ac:dyDescent="0.25">
      <c r="B4198" s="192"/>
    </row>
    <row r="4199" spans="2:2" x14ac:dyDescent="0.25">
      <c r="B4199" s="192"/>
    </row>
    <row r="4200" spans="2:2" x14ac:dyDescent="0.25">
      <c r="B4200" s="192"/>
    </row>
    <row r="4201" spans="2:2" x14ac:dyDescent="0.25">
      <c r="B4201" s="192"/>
    </row>
    <row r="4202" spans="2:2" x14ac:dyDescent="0.25">
      <c r="B4202" s="192"/>
    </row>
    <row r="4203" spans="2:2" x14ac:dyDescent="0.25">
      <c r="B4203" s="192"/>
    </row>
    <row r="4204" spans="2:2" x14ac:dyDescent="0.25">
      <c r="B4204" s="192"/>
    </row>
    <row r="4205" spans="2:2" x14ac:dyDescent="0.25">
      <c r="B4205" s="192"/>
    </row>
    <row r="4206" spans="2:2" x14ac:dyDescent="0.25">
      <c r="B4206" s="192"/>
    </row>
    <row r="4207" spans="2:2" x14ac:dyDescent="0.25">
      <c r="B4207" s="192"/>
    </row>
    <row r="4208" spans="2:2" x14ac:dyDescent="0.25">
      <c r="B4208" s="192"/>
    </row>
    <row r="4209" spans="2:2" x14ac:dyDescent="0.25">
      <c r="B4209" s="192"/>
    </row>
    <row r="4210" spans="2:2" x14ac:dyDescent="0.25">
      <c r="B4210" s="192"/>
    </row>
    <row r="4211" spans="2:2" x14ac:dyDescent="0.25">
      <c r="B4211" s="192"/>
    </row>
    <row r="4212" spans="2:2" x14ac:dyDescent="0.25">
      <c r="B4212" s="192"/>
    </row>
    <row r="4213" spans="2:2" x14ac:dyDescent="0.25">
      <c r="B4213" s="192"/>
    </row>
    <row r="4214" spans="2:2" x14ac:dyDescent="0.25">
      <c r="B4214" s="192"/>
    </row>
    <row r="4215" spans="2:2" x14ac:dyDescent="0.25">
      <c r="B4215" s="192"/>
    </row>
    <row r="4216" spans="2:2" x14ac:dyDescent="0.25">
      <c r="B4216" s="192"/>
    </row>
    <row r="4217" spans="2:2" x14ac:dyDescent="0.25">
      <c r="B4217" s="192"/>
    </row>
    <row r="4218" spans="2:2" x14ac:dyDescent="0.25">
      <c r="B4218" s="192"/>
    </row>
    <row r="4219" spans="2:2" x14ac:dyDescent="0.25">
      <c r="B4219" s="192"/>
    </row>
    <row r="4220" spans="2:2" x14ac:dyDescent="0.25">
      <c r="B4220" s="192"/>
    </row>
    <row r="4221" spans="2:2" x14ac:dyDescent="0.25">
      <c r="B4221" s="192"/>
    </row>
    <row r="4222" spans="2:2" x14ac:dyDescent="0.25">
      <c r="B4222" s="192"/>
    </row>
    <row r="4223" spans="2:2" x14ac:dyDescent="0.25">
      <c r="B4223" s="192"/>
    </row>
    <row r="4224" spans="2:2" x14ac:dyDescent="0.25">
      <c r="B4224" s="192"/>
    </row>
    <row r="4225" spans="2:2" x14ac:dyDescent="0.25">
      <c r="B4225" s="192"/>
    </row>
    <row r="4226" spans="2:2" x14ac:dyDescent="0.25">
      <c r="B4226" s="192"/>
    </row>
    <row r="4227" spans="2:2" x14ac:dyDescent="0.25">
      <c r="B4227" s="192"/>
    </row>
    <row r="4228" spans="2:2" x14ac:dyDescent="0.25">
      <c r="B4228" s="192"/>
    </row>
    <row r="4229" spans="2:2" x14ac:dyDescent="0.25">
      <c r="B4229" s="192"/>
    </row>
    <row r="4230" spans="2:2" x14ac:dyDescent="0.25">
      <c r="B4230" s="192"/>
    </row>
    <row r="4231" spans="2:2" x14ac:dyDescent="0.25">
      <c r="B4231" s="192"/>
    </row>
    <row r="4232" spans="2:2" x14ac:dyDescent="0.25">
      <c r="B4232" s="192"/>
    </row>
    <row r="4233" spans="2:2" x14ac:dyDescent="0.25">
      <c r="B4233" s="192"/>
    </row>
    <row r="4234" spans="2:2" x14ac:dyDescent="0.25">
      <c r="B4234" s="192"/>
    </row>
    <row r="4235" spans="2:2" x14ac:dyDescent="0.25">
      <c r="B4235" s="192"/>
    </row>
    <row r="4236" spans="2:2" x14ac:dyDescent="0.25">
      <c r="B4236" s="192"/>
    </row>
    <row r="4237" spans="2:2" x14ac:dyDescent="0.25">
      <c r="B4237" s="192"/>
    </row>
    <row r="4238" spans="2:2" x14ac:dyDescent="0.25">
      <c r="B4238" s="192"/>
    </row>
    <row r="4239" spans="2:2" x14ac:dyDescent="0.25">
      <c r="B4239" s="192"/>
    </row>
    <row r="4240" spans="2:2" x14ac:dyDescent="0.25">
      <c r="B4240" s="192"/>
    </row>
    <row r="4241" spans="2:2" x14ac:dyDescent="0.25">
      <c r="B4241" s="192"/>
    </row>
    <row r="4242" spans="2:2" x14ac:dyDescent="0.25">
      <c r="B4242" s="192"/>
    </row>
    <row r="4243" spans="2:2" x14ac:dyDescent="0.25">
      <c r="B4243" s="192"/>
    </row>
    <row r="4244" spans="2:2" x14ac:dyDescent="0.25">
      <c r="B4244" s="192"/>
    </row>
    <row r="4245" spans="2:2" x14ac:dyDescent="0.25">
      <c r="B4245" s="192"/>
    </row>
    <row r="4246" spans="2:2" x14ac:dyDescent="0.25">
      <c r="B4246" s="192"/>
    </row>
    <row r="4247" spans="2:2" x14ac:dyDescent="0.25">
      <c r="B4247" s="192"/>
    </row>
    <row r="4248" spans="2:2" x14ac:dyDescent="0.25">
      <c r="B4248" s="192"/>
    </row>
    <row r="4249" spans="2:2" x14ac:dyDescent="0.25">
      <c r="B4249" s="192"/>
    </row>
    <row r="4250" spans="2:2" x14ac:dyDescent="0.25">
      <c r="B4250" s="192"/>
    </row>
    <row r="4251" spans="2:2" x14ac:dyDescent="0.25">
      <c r="B4251" s="192"/>
    </row>
    <row r="4252" spans="2:2" x14ac:dyDescent="0.25">
      <c r="B4252" s="192"/>
    </row>
    <row r="4253" spans="2:2" x14ac:dyDescent="0.25">
      <c r="B4253" s="192"/>
    </row>
    <row r="4254" spans="2:2" x14ac:dyDescent="0.25">
      <c r="B4254" s="192"/>
    </row>
    <row r="4255" spans="2:2" x14ac:dyDescent="0.25">
      <c r="B4255" s="192"/>
    </row>
    <row r="4256" spans="2:2" x14ac:dyDescent="0.25">
      <c r="B4256" s="192"/>
    </row>
    <row r="4257" spans="2:2" x14ac:dyDescent="0.25">
      <c r="B4257" s="192"/>
    </row>
    <row r="4258" spans="2:2" x14ac:dyDescent="0.25">
      <c r="B4258" s="192"/>
    </row>
    <row r="4259" spans="2:2" x14ac:dyDescent="0.25">
      <c r="B4259" s="192"/>
    </row>
    <row r="4260" spans="2:2" x14ac:dyDescent="0.25">
      <c r="B4260" s="192"/>
    </row>
    <row r="4261" spans="2:2" x14ac:dyDescent="0.25">
      <c r="B4261" s="192"/>
    </row>
    <row r="4262" spans="2:2" x14ac:dyDescent="0.25">
      <c r="B4262" s="192"/>
    </row>
    <row r="4263" spans="2:2" x14ac:dyDescent="0.25">
      <c r="B4263" s="192"/>
    </row>
    <row r="4264" spans="2:2" x14ac:dyDescent="0.25">
      <c r="B4264" s="192"/>
    </row>
    <row r="4265" spans="2:2" x14ac:dyDescent="0.25">
      <c r="B4265" s="192"/>
    </row>
    <row r="4266" spans="2:2" x14ac:dyDescent="0.25">
      <c r="B4266" s="192"/>
    </row>
    <row r="4267" spans="2:2" x14ac:dyDescent="0.25">
      <c r="B4267" s="192"/>
    </row>
    <row r="4268" spans="2:2" x14ac:dyDescent="0.25">
      <c r="B4268" s="192"/>
    </row>
    <row r="4269" spans="2:2" x14ac:dyDescent="0.25">
      <c r="B4269" s="192"/>
    </row>
    <row r="4270" spans="2:2" x14ac:dyDescent="0.25">
      <c r="B4270" s="192"/>
    </row>
    <row r="4271" spans="2:2" x14ac:dyDescent="0.25">
      <c r="B4271" s="192"/>
    </row>
    <row r="4272" spans="2:2" x14ac:dyDescent="0.25">
      <c r="B4272" s="192"/>
    </row>
    <row r="4273" spans="2:2" x14ac:dyDescent="0.25">
      <c r="B4273" s="192"/>
    </row>
    <row r="4274" spans="2:2" x14ac:dyDescent="0.25">
      <c r="B4274" s="192"/>
    </row>
    <row r="4275" spans="2:2" x14ac:dyDescent="0.25">
      <c r="B4275" s="192"/>
    </row>
    <row r="4276" spans="2:2" x14ac:dyDescent="0.25">
      <c r="B4276" s="192"/>
    </row>
    <row r="4277" spans="2:2" x14ac:dyDescent="0.25">
      <c r="B4277" s="192"/>
    </row>
    <row r="4278" spans="2:2" x14ac:dyDescent="0.25">
      <c r="B4278" s="192"/>
    </row>
    <row r="4279" spans="2:2" x14ac:dyDescent="0.25">
      <c r="B4279" s="192"/>
    </row>
    <row r="4280" spans="2:2" x14ac:dyDescent="0.25">
      <c r="B4280" s="192"/>
    </row>
    <row r="4281" spans="2:2" x14ac:dyDescent="0.25">
      <c r="B4281" s="192"/>
    </row>
    <row r="4282" spans="2:2" x14ac:dyDescent="0.25">
      <c r="B4282" s="192"/>
    </row>
    <row r="4283" spans="2:2" x14ac:dyDescent="0.25">
      <c r="B4283" s="192"/>
    </row>
    <row r="4284" spans="2:2" x14ac:dyDescent="0.25">
      <c r="B4284" s="192"/>
    </row>
    <row r="4285" spans="2:2" x14ac:dyDescent="0.25">
      <c r="B4285" s="192"/>
    </row>
    <row r="4286" spans="2:2" x14ac:dyDescent="0.25">
      <c r="B4286" s="192"/>
    </row>
    <row r="4287" spans="2:2" x14ac:dyDescent="0.25">
      <c r="B4287" s="192"/>
    </row>
    <row r="4288" spans="2:2" x14ac:dyDescent="0.25">
      <c r="B4288" s="192"/>
    </row>
    <row r="4289" spans="2:2" x14ac:dyDescent="0.25">
      <c r="B4289" s="192"/>
    </row>
    <row r="4290" spans="2:2" x14ac:dyDescent="0.25">
      <c r="B4290" s="192"/>
    </row>
    <row r="4291" spans="2:2" x14ac:dyDescent="0.25">
      <c r="B4291" s="192"/>
    </row>
    <row r="4292" spans="2:2" x14ac:dyDescent="0.25">
      <c r="B4292" s="192"/>
    </row>
    <row r="4293" spans="2:2" x14ac:dyDescent="0.25">
      <c r="B4293" s="192"/>
    </row>
    <row r="4294" spans="2:2" x14ac:dyDescent="0.25">
      <c r="B4294" s="192"/>
    </row>
    <row r="4295" spans="2:2" x14ac:dyDescent="0.25">
      <c r="B4295" s="192"/>
    </row>
    <row r="4296" spans="2:2" x14ac:dyDescent="0.25">
      <c r="B4296" s="192"/>
    </row>
    <row r="4297" spans="2:2" x14ac:dyDescent="0.25">
      <c r="B4297" s="192"/>
    </row>
    <row r="4298" spans="2:2" x14ac:dyDescent="0.25">
      <c r="B4298" s="192"/>
    </row>
    <row r="4299" spans="2:2" x14ac:dyDescent="0.25">
      <c r="B4299" s="192"/>
    </row>
    <row r="4300" spans="2:2" x14ac:dyDescent="0.25">
      <c r="B4300" s="192"/>
    </row>
    <row r="4301" spans="2:2" x14ac:dyDescent="0.25">
      <c r="B4301" s="192"/>
    </row>
    <row r="4302" spans="2:2" x14ac:dyDescent="0.25">
      <c r="B4302" s="192"/>
    </row>
    <row r="4303" spans="2:2" x14ac:dyDescent="0.25">
      <c r="B4303" s="192"/>
    </row>
    <row r="4304" spans="2:2" x14ac:dyDescent="0.25">
      <c r="B4304" s="192"/>
    </row>
    <row r="4305" spans="2:2" x14ac:dyDescent="0.25">
      <c r="B4305" s="192"/>
    </row>
    <row r="4306" spans="2:2" x14ac:dyDescent="0.25">
      <c r="B4306" s="192"/>
    </row>
    <row r="4307" spans="2:2" x14ac:dyDescent="0.25">
      <c r="B4307" s="192"/>
    </row>
    <row r="4308" spans="2:2" x14ac:dyDescent="0.25">
      <c r="B4308" s="192"/>
    </row>
    <row r="4309" spans="2:2" x14ac:dyDescent="0.25">
      <c r="B4309" s="192"/>
    </row>
    <row r="4310" spans="2:2" x14ac:dyDescent="0.25">
      <c r="B4310" s="192"/>
    </row>
    <row r="4311" spans="2:2" x14ac:dyDescent="0.25">
      <c r="B4311" s="192"/>
    </row>
    <row r="4312" spans="2:2" x14ac:dyDescent="0.25">
      <c r="B4312" s="192"/>
    </row>
    <row r="4313" spans="2:2" x14ac:dyDescent="0.25">
      <c r="B4313" s="192"/>
    </row>
    <row r="4314" spans="2:2" x14ac:dyDescent="0.25">
      <c r="B4314" s="192"/>
    </row>
    <row r="4315" spans="2:2" x14ac:dyDescent="0.25">
      <c r="B4315" s="192"/>
    </row>
    <row r="4316" spans="2:2" x14ac:dyDescent="0.25">
      <c r="B4316" s="192"/>
    </row>
    <row r="4317" spans="2:2" x14ac:dyDescent="0.25">
      <c r="B4317" s="192"/>
    </row>
    <row r="4318" spans="2:2" x14ac:dyDescent="0.25">
      <c r="B4318" s="192"/>
    </row>
    <row r="4319" spans="2:2" x14ac:dyDescent="0.25">
      <c r="B4319" s="192"/>
    </row>
    <row r="4320" spans="2:2" x14ac:dyDescent="0.25">
      <c r="B4320" s="192"/>
    </row>
    <row r="4321" spans="2:2" x14ac:dyDescent="0.25">
      <c r="B4321" s="192"/>
    </row>
    <row r="4322" spans="2:2" x14ac:dyDescent="0.25">
      <c r="B4322" s="192"/>
    </row>
    <row r="4323" spans="2:2" x14ac:dyDescent="0.25">
      <c r="B4323" s="192"/>
    </row>
    <row r="4324" spans="2:2" x14ac:dyDescent="0.25">
      <c r="B4324" s="192"/>
    </row>
    <row r="4325" spans="2:2" x14ac:dyDescent="0.25">
      <c r="B4325" s="192"/>
    </row>
    <row r="4326" spans="2:2" x14ac:dyDescent="0.25">
      <c r="B4326" s="192"/>
    </row>
    <row r="4327" spans="2:2" x14ac:dyDescent="0.25">
      <c r="B4327" s="192"/>
    </row>
    <row r="4328" spans="2:2" x14ac:dyDescent="0.25">
      <c r="B4328" s="192"/>
    </row>
    <row r="4329" spans="2:2" x14ac:dyDescent="0.25">
      <c r="B4329" s="192"/>
    </row>
    <row r="4330" spans="2:2" x14ac:dyDescent="0.25">
      <c r="B4330" s="192"/>
    </row>
    <row r="4331" spans="2:2" x14ac:dyDescent="0.25">
      <c r="B4331" s="192"/>
    </row>
    <row r="4332" spans="2:2" x14ac:dyDescent="0.25">
      <c r="B4332" s="192"/>
    </row>
    <row r="4333" spans="2:2" x14ac:dyDescent="0.25">
      <c r="B4333" s="192"/>
    </row>
    <row r="4334" spans="2:2" x14ac:dyDescent="0.25">
      <c r="B4334" s="192"/>
    </row>
    <row r="4335" spans="2:2" x14ac:dyDescent="0.25">
      <c r="B4335" s="192"/>
    </row>
    <row r="4336" spans="2:2" x14ac:dyDescent="0.25">
      <c r="B4336" s="192"/>
    </row>
    <row r="4337" spans="2:2" x14ac:dyDescent="0.25">
      <c r="B4337" s="192"/>
    </row>
    <row r="4338" spans="2:2" x14ac:dyDescent="0.25">
      <c r="B4338" s="192"/>
    </row>
    <row r="4339" spans="2:2" x14ac:dyDescent="0.25">
      <c r="B4339" s="192"/>
    </row>
    <row r="4340" spans="2:2" x14ac:dyDescent="0.25">
      <c r="B4340" s="192"/>
    </row>
    <row r="4341" spans="2:2" x14ac:dyDescent="0.25">
      <c r="B4341" s="192"/>
    </row>
    <row r="4342" spans="2:2" x14ac:dyDescent="0.25">
      <c r="B4342" s="192"/>
    </row>
    <row r="4343" spans="2:2" x14ac:dyDescent="0.25">
      <c r="B4343" s="192"/>
    </row>
    <row r="4344" spans="2:2" x14ac:dyDescent="0.25">
      <c r="B4344" s="192"/>
    </row>
    <row r="4345" spans="2:2" x14ac:dyDescent="0.25">
      <c r="B4345" s="192"/>
    </row>
    <row r="4346" spans="2:2" x14ac:dyDescent="0.25">
      <c r="B4346" s="192"/>
    </row>
    <row r="4347" spans="2:2" x14ac:dyDescent="0.25">
      <c r="B4347" s="192"/>
    </row>
    <row r="4348" spans="2:2" x14ac:dyDescent="0.25">
      <c r="B4348" s="192"/>
    </row>
    <row r="4349" spans="2:2" x14ac:dyDescent="0.25">
      <c r="B4349" s="192"/>
    </row>
    <row r="4350" spans="2:2" x14ac:dyDescent="0.25">
      <c r="B4350" s="192"/>
    </row>
    <row r="4351" spans="2:2" x14ac:dyDescent="0.25">
      <c r="B4351" s="192"/>
    </row>
    <row r="4352" spans="2:2" x14ac:dyDescent="0.25">
      <c r="B4352" s="192"/>
    </row>
    <row r="4353" spans="2:2" x14ac:dyDescent="0.25">
      <c r="B4353" s="192"/>
    </row>
    <row r="4354" spans="2:2" x14ac:dyDescent="0.25">
      <c r="B4354" s="192"/>
    </row>
    <row r="4355" spans="2:2" x14ac:dyDescent="0.25">
      <c r="B4355" s="192"/>
    </row>
    <row r="4356" spans="2:2" x14ac:dyDescent="0.25">
      <c r="B4356" s="192"/>
    </row>
    <row r="4357" spans="2:2" x14ac:dyDescent="0.25">
      <c r="B4357" s="192"/>
    </row>
    <row r="4358" spans="2:2" x14ac:dyDescent="0.25">
      <c r="B4358" s="192"/>
    </row>
    <row r="4359" spans="2:2" x14ac:dyDescent="0.25">
      <c r="B4359" s="192"/>
    </row>
    <row r="4360" spans="2:2" x14ac:dyDescent="0.25">
      <c r="B4360" s="192"/>
    </row>
    <row r="4361" spans="2:2" x14ac:dyDescent="0.25">
      <c r="B4361" s="192"/>
    </row>
    <row r="4362" spans="2:2" x14ac:dyDescent="0.25">
      <c r="B4362" s="192"/>
    </row>
    <row r="4363" spans="2:2" x14ac:dyDescent="0.25">
      <c r="B4363" s="192"/>
    </row>
    <row r="4364" spans="2:2" x14ac:dyDescent="0.25">
      <c r="B4364" s="192"/>
    </row>
    <row r="4365" spans="2:2" x14ac:dyDescent="0.25">
      <c r="B4365" s="192"/>
    </row>
    <row r="4366" spans="2:2" x14ac:dyDescent="0.25">
      <c r="B4366" s="192"/>
    </row>
    <row r="4367" spans="2:2" x14ac:dyDescent="0.25">
      <c r="B4367" s="192"/>
    </row>
    <row r="4368" spans="2:2" x14ac:dyDescent="0.25">
      <c r="B4368" s="192"/>
    </row>
    <row r="4369" spans="2:2" x14ac:dyDescent="0.25">
      <c r="B4369" s="192"/>
    </row>
    <row r="4370" spans="2:2" x14ac:dyDescent="0.25">
      <c r="B4370" s="192"/>
    </row>
    <row r="4371" spans="2:2" x14ac:dyDescent="0.25">
      <c r="B4371" s="192"/>
    </row>
    <row r="4372" spans="2:2" x14ac:dyDescent="0.25">
      <c r="B4372" s="192"/>
    </row>
    <row r="4373" spans="2:2" x14ac:dyDescent="0.25">
      <c r="B4373" s="192"/>
    </row>
    <row r="4374" spans="2:2" x14ac:dyDescent="0.25">
      <c r="B4374" s="192"/>
    </row>
    <row r="4375" spans="2:2" x14ac:dyDescent="0.25">
      <c r="B4375" s="192"/>
    </row>
    <row r="4376" spans="2:2" x14ac:dyDescent="0.25">
      <c r="B4376" s="192"/>
    </row>
    <row r="4377" spans="2:2" x14ac:dyDescent="0.25">
      <c r="B4377" s="192"/>
    </row>
    <row r="4378" spans="2:2" x14ac:dyDescent="0.25">
      <c r="B4378" s="192"/>
    </row>
    <row r="4379" spans="2:2" x14ac:dyDescent="0.25">
      <c r="B4379" s="192"/>
    </row>
    <row r="4380" spans="2:2" x14ac:dyDescent="0.25">
      <c r="B4380" s="192"/>
    </row>
    <row r="4381" spans="2:2" x14ac:dyDescent="0.25">
      <c r="B4381" s="192"/>
    </row>
    <row r="4382" spans="2:2" x14ac:dyDescent="0.25">
      <c r="B4382" s="192"/>
    </row>
    <row r="4383" spans="2:2" x14ac:dyDescent="0.25">
      <c r="B4383" s="192"/>
    </row>
    <row r="4384" spans="2:2" x14ac:dyDescent="0.25">
      <c r="B4384" s="192"/>
    </row>
    <row r="4385" spans="2:2" x14ac:dyDescent="0.25">
      <c r="B4385" s="192"/>
    </row>
    <row r="4386" spans="2:2" x14ac:dyDescent="0.25">
      <c r="B4386" s="192"/>
    </row>
    <row r="4387" spans="2:2" x14ac:dyDescent="0.25">
      <c r="B4387" s="192"/>
    </row>
    <row r="4388" spans="2:2" x14ac:dyDescent="0.25">
      <c r="B4388" s="192"/>
    </row>
    <row r="4389" spans="2:2" x14ac:dyDescent="0.25">
      <c r="B4389" s="192"/>
    </row>
    <row r="4390" spans="2:2" x14ac:dyDescent="0.25">
      <c r="B4390" s="192"/>
    </row>
    <row r="4391" spans="2:2" x14ac:dyDescent="0.25">
      <c r="B4391" s="192"/>
    </row>
    <row r="4392" spans="2:2" x14ac:dyDescent="0.25">
      <c r="B4392" s="192"/>
    </row>
    <row r="4393" spans="2:2" x14ac:dyDescent="0.25">
      <c r="B4393" s="192"/>
    </row>
    <row r="4394" spans="2:2" x14ac:dyDescent="0.25">
      <c r="B4394" s="192"/>
    </row>
    <row r="4395" spans="2:2" x14ac:dyDescent="0.25">
      <c r="B4395" s="192"/>
    </row>
    <row r="4396" spans="2:2" x14ac:dyDescent="0.25">
      <c r="B4396" s="192"/>
    </row>
    <row r="4397" spans="2:2" x14ac:dyDescent="0.25">
      <c r="B4397" s="192"/>
    </row>
    <row r="4398" spans="2:2" x14ac:dyDescent="0.25">
      <c r="B4398" s="192"/>
    </row>
    <row r="4399" spans="2:2" x14ac:dyDescent="0.25">
      <c r="B4399" s="192"/>
    </row>
    <row r="4400" spans="2:2" x14ac:dyDescent="0.25">
      <c r="B4400" s="192"/>
    </row>
    <row r="4401" spans="2:2" x14ac:dyDescent="0.25">
      <c r="B4401" s="192"/>
    </row>
    <row r="4402" spans="2:2" x14ac:dyDescent="0.25">
      <c r="B4402" s="192"/>
    </row>
    <row r="4403" spans="2:2" x14ac:dyDescent="0.25">
      <c r="B4403" s="192"/>
    </row>
    <row r="4404" spans="2:2" x14ac:dyDescent="0.25">
      <c r="B4404" s="192"/>
    </row>
    <row r="4405" spans="2:2" x14ac:dyDescent="0.25">
      <c r="B4405" s="192"/>
    </row>
    <row r="4406" spans="2:2" x14ac:dyDescent="0.25">
      <c r="B4406" s="192"/>
    </row>
    <row r="4407" spans="2:2" x14ac:dyDescent="0.25">
      <c r="B4407" s="192"/>
    </row>
    <row r="4408" spans="2:2" x14ac:dyDescent="0.25">
      <c r="B4408" s="192"/>
    </row>
    <row r="4409" spans="2:2" x14ac:dyDescent="0.25">
      <c r="B4409" s="192"/>
    </row>
    <row r="4410" spans="2:2" x14ac:dyDescent="0.25">
      <c r="B4410" s="192"/>
    </row>
    <row r="4411" spans="2:2" x14ac:dyDescent="0.25">
      <c r="B4411" s="192"/>
    </row>
    <row r="4412" spans="2:2" x14ac:dyDescent="0.25">
      <c r="B4412" s="192"/>
    </row>
    <row r="4413" spans="2:2" x14ac:dyDescent="0.25">
      <c r="B4413" s="192"/>
    </row>
    <row r="4414" spans="2:2" x14ac:dyDescent="0.25">
      <c r="B4414" s="192"/>
    </row>
    <row r="4415" spans="2:2" x14ac:dyDescent="0.25">
      <c r="B4415" s="192"/>
    </row>
    <row r="4416" spans="2:2" x14ac:dyDescent="0.25">
      <c r="B4416" s="192"/>
    </row>
    <row r="4417" spans="2:2" x14ac:dyDescent="0.25">
      <c r="B4417" s="192"/>
    </row>
    <row r="4418" spans="2:2" x14ac:dyDescent="0.25">
      <c r="B4418" s="192"/>
    </row>
    <row r="4419" spans="2:2" x14ac:dyDescent="0.25">
      <c r="B4419" s="192"/>
    </row>
    <row r="4420" spans="2:2" x14ac:dyDescent="0.25">
      <c r="B4420" s="192"/>
    </row>
    <row r="4421" spans="2:2" x14ac:dyDescent="0.25">
      <c r="B4421" s="192"/>
    </row>
    <row r="4422" spans="2:2" x14ac:dyDescent="0.25">
      <c r="B4422" s="192"/>
    </row>
    <row r="4423" spans="2:2" x14ac:dyDescent="0.25">
      <c r="B4423" s="192"/>
    </row>
    <row r="4424" spans="2:2" x14ac:dyDescent="0.25">
      <c r="B4424" s="192"/>
    </row>
    <row r="4425" spans="2:2" x14ac:dyDescent="0.25">
      <c r="B4425" s="192"/>
    </row>
    <row r="4426" spans="2:2" x14ac:dyDescent="0.25">
      <c r="B4426" s="192"/>
    </row>
    <row r="4427" spans="2:2" x14ac:dyDescent="0.25">
      <c r="B4427" s="192"/>
    </row>
    <row r="4428" spans="2:2" x14ac:dyDescent="0.25">
      <c r="B4428" s="192"/>
    </row>
    <row r="4429" spans="2:2" x14ac:dyDescent="0.25">
      <c r="B4429" s="192"/>
    </row>
    <row r="4430" spans="2:2" x14ac:dyDescent="0.25">
      <c r="B4430" s="192"/>
    </row>
    <row r="4431" spans="2:2" x14ac:dyDescent="0.25">
      <c r="B4431" s="192"/>
    </row>
    <row r="4432" spans="2:2" x14ac:dyDescent="0.25">
      <c r="B4432" s="192"/>
    </row>
    <row r="4433" spans="2:2" x14ac:dyDescent="0.25">
      <c r="B4433" s="192"/>
    </row>
    <row r="4434" spans="2:2" x14ac:dyDescent="0.25">
      <c r="B4434" s="192"/>
    </row>
    <row r="4435" spans="2:2" x14ac:dyDescent="0.25">
      <c r="B4435" s="192"/>
    </row>
    <row r="4436" spans="2:2" x14ac:dyDescent="0.25">
      <c r="B4436" s="192"/>
    </row>
    <row r="4437" spans="2:2" x14ac:dyDescent="0.25">
      <c r="B4437" s="192"/>
    </row>
    <row r="4438" spans="2:2" x14ac:dyDescent="0.25">
      <c r="B4438" s="192"/>
    </row>
    <row r="4439" spans="2:2" x14ac:dyDescent="0.25">
      <c r="B4439" s="192"/>
    </row>
    <row r="4440" spans="2:2" x14ac:dyDescent="0.25">
      <c r="B4440" s="192"/>
    </row>
    <row r="4441" spans="2:2" x14ac:dyDescent="0.25">
      <c r="B4441" s="192"/>
    </row>
    <row r="4442" spans="2:2" x14ac:dyDescent="0.25">
      <c r="B4442" s="192"/>
    </row>
    <row r="4443" spans="2:2" x14ac:dyDescent="0.25">
      <c r="B4443" s="192"/>
    </row>
    <row r="4444" spans="2:2" x14ac:dyDescent="0.25">
      <c r="B4444" s="192"/>
    </row>
    <row r="4445" spans="2:2" x14ac:dyDescent="0.25">
      <c r="B4445" s="192"/>
    </row>
    <row r="4446" spans="2:2" x14ac:dyDescent="0.25">
      <c r="B4446" s="192"/>
    </row>
    <row r="4447" spans="2:2" x14ac:dyDescent="0.25">
      <c r="B4447" s="192"/>
    </row>
    <row r="4448" spans="2:2" x14ac:dyDescent="0.25">
      <c r="B4448" s="192"/>
    </row>
    <row r="4449" spans="2:2" x14ac:dyDescent="0.25">
      <c r="B4449" s="192"/>
    </row>
    <row r="4450" spans="2:2" x14ac:dyDescent="0.25">
      <c r="B4450" s="192"/>
    </row>
    <row r="4451" spans="2:2" x14ac:dyDescent="0.25">
      <c r="B4451" s="192"/>
    </row>
    <row r="4452" spans="2:2" x14ac:dyDescent="0.25">
      <c r="B4452" s="192"/>
    </row>
    <row r="4453" spans="2:2" x14ac:dyDescent="0.25">
      <c r="B4453" s="192"/>
    </row>
    <row r="4454" spans="2:2" x14ac:dyDescent="0.25">
      <c r="B4454" s="192"/>
    </row>
    <row r="4455" spans="2:2" x14ac:dyDescent="0.25">
      <c r="B4455" s="192"/>
    </row>
    <row r="4456" spans="2:2" x14ac:dyDescent="0.25">
      <c r="B4456" s="192"/>
    </row>
    <row r="4457" spans="2:2" x14ac:dyDescent="0.25">
      <c r="B4457" s="192"/>
    </row>
    <row r="4458" spans="2:2" x14ac:dyDescent="0.25">
      <c r="B4458" s="192"/>
    </row>
    <row r="4459" spans="2:2" x14ac:dyDescent="0.25">
      <c r="B4459" s="192"/>
    </row>
    <row r="4460" spans="2:2" x14ac:dyDescent="0.25">
      <c r="B4460" s="192"/>
    </row>
    <row r="4461" spans="2:2" x14ac:dyDescent="0.25">
      <c r="B4461" s="192"/>
    </row>
    <row r="4462" spans="2:2" x14ac:dyDescent="0.25">
      <c r="B4462" s="192"/>
    </row>
    <row r="4463" spans="2:2" x14ac:dyDescent="0.25">
      <c r="B4463" s="192"/>
    </row>
    <row r="4464" spans="2:2" x14ac:dyDescent="0.25">
      <c r="B4464" s="192"/>
    </row>
    <row r="4465" spans="2:2" x14ac:dyDescent="0.25">
      <c r="B4465" s="192"/>
    </row>
    <row r="4466" spans="2:2" x14ac:dyDescent="0.25">
      <c r="B4466" s="192"/>
    </row>
    <row r="4467" spans="2:2" x14ac:dyDescent="0.25">
      <c r="B4467" s="192"/>
    </row>
    <row r="4468" spans="2:2" x14ac:dyDescent="0.25">
      <c r="B4468" s="192"/>
    </row>
    <row r="4469" spans="2:2" x14ac:dyDescent="0.25">
      <c r="B4469" s="192"/>
    </row>
    <row r="4470" spans="2:2" x14ac:dyDescent="0.25">
      <c r="B4470" s="192"/>
    </row>
    <row r="4471" spans="2:2" x14ac:dyDescent="0.25">
      <c r="B4471" s="192"/>
    </row>
    <row r="4472" spans="2:2" x14ac:dyDescent="0.25">
      <c r="B4472" s="192"/>
    </row>
    <row r="4473" spans="2:2" x14ac:dyDescent="0.25">
      <c r="B4473" s="192"/>
    </row>
    <row r="4474" spans="2:2" x14ac:dyDescent="0.25">
      <c r="B4474" s="192"/>
    </row>
    <row r="4475" spans="2:2" x14ac:dyDescent="0.25">
      <c r="B4475" s="192"/>
    </row>
    <row r="4476" spans="2:2" x14ac:dyDescent="0.25">
      <c r="B4476" s="192"/>
    </row>
    <row r="4477" spans="2:2" x14ac:dyDescent="0.25">
      <c r="B4477" s="192"/>
    </row>
    <row r="4478" spans="2:2" x14ac:dyDescent="0.25">
      <c r="B4478" s="192"/>
    </row>
    <row r="4479" spans="2:2" x14ac:dyDescent="0.25">
      <c r="B4479" s="192"/>
    </row>
    <row r="4480" spans="2:2" x14ac:dyDescent="0.25">
      <c r="B4480" s="192"/>
    </row>
    <row r="4481" spans="2:2" x14ac:dyDescent="0.25">
      <c r="B4481" s="192"/>
    </row>
    <row r="4482" spans="2:2" x14ac:dyDescent="0.25">
      <c r="B4482" s="192"/>
    </row>
    <row r="4483" spans="2:2" x14ac:dyDescent="0.25">
      <c r="B4483" s="192"/>
    </row>
    <row r="4484" spans="2:2" x14ac:dyDescent="0.25">
      <c r="B4484" s="192"/>
    </row>
    <row r="4485" spans="2:2" x14ac:dyDescent="0.25">
      <c r="B4485" s="192"/>
    </row>
    <row r="4486" spans="2:2" x14ac:dyDescent="0.25">
      <c r="B4486" s="192"/>
    </row>
    <row r="4487" spans="2:2" x14ac:dyDescent="0.25">
      <c r="B4487" s="192"/>
    </row>
    <row r="4488" spans="2:2" x14ac:dyDescent="0.25">
      <c r="B4488" s="192"/>
    </row>
    <row r="4489" spans="2:2" x14ac:dyDescent="0.25">
      <c r="B4489" s="192"/>
    </row>
    <row r="4490" spans="2:2" x14ac:dyDescent="0.25">
      <c r="B4490" s="192"/>
    </row>
    <row r="4491" spans="2:2" x14ac:dyDescent="0.25">
      <c r="B4491" s="192"/>
    </row>
    <row r="4492" spans="2:2" x14ac:dyDescent="0.25">
      <c r="B4492" s="192"/>
    </row>
    <row r="4493" spans="2:2" x14ac:dyDescent="0.25">
      <c r="B4493" s="192"/>
    </row>
    <row r="4494" spans="2:2" x14ac:dyDescent="0.25">
      <c r="B4494" s="192"/>
    </row>
    <row r="4495" spans="2:2" x14ac:dyDescent="0.25">
      <c r="B4495" s="192"/>
    </row>
    <row r="4496" spans="2:2" x14ac:dyDescent="0.25">
      <c r="B4496" s="192"/>
    </row>
    <row r="4497" spans="2:2" x14ac:dyDescent="0.25">
      <c r="B4497" s="192"/>
    </row>
    <row r="4498" spans="2:2" x14ac:dyDescent="0.25">
      <c r="B4498" s="192"/>
    </row>
    <row r="4499" spans="2:2" x14ac:dyDescent="0.25">
      <c r="B4499" s="192"/>
    </row>
    <row r="4500" spans="2:2" x14ac:dyDescent="0.25">
      <c r="B4500" s="192"/>
    </row>
    <row r="4501" spans="2:2" x14ac:dyDescent="0.25">
      <c r="B4501" s="192"/>
    </row>
    <row r="4502" spans="2:2" x14ac:dyDescent="0.25">
      <c r="B4502" s="192"/>
    </row>
    <row r="4503" spans="2:2" x14ac:dyDescent="0.25">
      <c r="B4503" s="192"/>
    </row>
    <row r="4504" spans="2:2" x14ac:dyDescent="0.25">
      <c r="B4504" s="192"/>
    </row>
    <row r="4505" spans="2:2" x14ac:dyDescent="0.25">
      <c r="B4505" s="192"/>
    </row>
    <row r="4506" spans="2:2" x14ac:dyDescent="0.25">
      <c r="B4506" s="192"/>
    </row>
    <row r="4507" spans="2:2" x14ac:dyDescent="0.25">
      <c r="B4507" s="192"/>
    </row>
    <row r="4508" spans="2:2" x14ac:dyDescent="0.25">
      <c r="B4508" s="192"/>
    </row>
    <row r="4509" spans="2:2" x14ac:dyDescent="0.25">
      <c r="B4509" s="192"/>
    </row>
    <row r="4510" spans="2:2" x14ac:dyDescent="0.25">
      <c r="B4510" s="192"/>
    </row>
    <row r="4511" spans="2:2" x14ac:dyDescent="0.25">
      <c r="B4511" s="192"/>
    </row>
    <row r="4512" spans="2:2" x14ac:dyDescent="0.25">
      <c r="B4512" s="192"/>
    </row>
    <row r="4513" spans="2:2" x14ac:dyDescent="0.25">
      <c r="B4513" s="192"/>
    </row>
    <row r="4514" spans="2:2" x14ac:dyDescent="0.25">
      <c r="B4514" s="192"/>
    </row>
    <row r="4515" spans="2:2" x14ac:dyDescent="0.25">
      <c r="B4515" s="192"/>
    </row>
    <row r="4516" spans="2:2" x14ac:dyDescent="0.25">
      <c r="B4516" s="192"/>
    </row>
    <row r="4517" spans="2:2" x14ac:dyDescent="0.25">
      <c r="B4517" s="192"/>
    </row>
    <row r="4518" spans="2:2" x14ac:dyDescent="0.25">
      <c r="B4518" s="192"/>
    </row>
    <row r="4519" spans="2:2" x14ac:dyDescent="0.25">
      <c r="B4519" s="192"/>
    </row>
    <row r="4520" spans="2:2" x14ac:dyDescent="0.25">
      <c r="B4520" s="192"/>
    </row>
    <row r="4521" spans="2:2" x14ac:dyDescent="0.25">
      <c r="B4521" s="192"/>
    </row>
    <row r="4522" spans="2:2" x14ac:dyDescent="0.25">
      <c r="B4522" s="192"/>
    </row>
    <row r="4523" spans="2:2" x14ac:dyDescent="0.25">
      <c r="B4523" s="192"/>
    </row>
    <row r="4524" spans="2:2" x14ac:dyDescent="0.25">
      <c r="B4524" s="192"/>
    </row>
    <row r="4525" spans="2:2" x14ac:dyDescent="0.25">
      <c r="B4525" s="192"/>
    </row>
    <row r="4526" spans="2:2" x14ac:dyDescent="0.25">
      <c r="B4526" s="192"/>
    </row>
    <row r="4527" spans="2:2" x14ac:dyDescent="0.25">
      <c r="B4527" s="192"/>
    </row>
    <row r="4528" spans="2:2" x14ac:dyDescent="0.25">
      <c r="B4528" s="192"/>
    </row>
    <row r="4529" spans="2:2" x14ac:dyDescent="0.25">
      <c r="B4529" s="192"/>
    </row>
    <row r="4530" spans="2:2" x14ac:dyDescent="0.25">
      <c r="B4530" s="192"/>
    </row>
    <row r="4531" spans="2:2" x14ac:dyDescent="0.25">
      <c r="B4531" s="192"/>
    </row>
    <row r="4532" spans="2:2" x14ac:dyDescent="0.25">
      <c r="B4532" s="192"/>
    </row>
    <row r="4533" spans="2:2" x14ac:dyDescent="0.25">
      <c r="B4533" s="192"/>
    </row>
    <row r="4534" spans="2:2" x14ac:dyDescent="0.25">
      <c r="B4534" s="192"/>
    </row>
    <row r="4535" spans="2:2" x14ac:dyDescent="0.25">
      <c r="B4535" s="192"/>
    </row>
    <row r="4536" spans="2:2" x14ac:dyDescent="0.25">
      <c r="B4536" s="192"/>
    </row>
    <row r="4537" spans="2:2" x14ac:dyDescent="0.25">
      <c r="B4537" s="192"/>
    </row>
    <row r="4538" spans="2:2" x14ac:dyDescent="0.25">
      <c r="B4538" s="192"/>
    </row>
    <row r="4539" spans="2:2" x14ac:dyDescent="0.25">
      <c r="B4539" s="192"/>
    </row>
    <row r="4540" spans="2:2" x14ac:dyDescent="0.25">
      <c r="B4540" s="192"/>
    </row>
    <row r="4541" spans="2:2" x14ac:dyDescent="0.25">
      <c r="B4541" s="192"/>
    </row>
    <row r="4542" spans="2:2" x14ac:dyDescent="0.25">
      <c r="B4542" s="192"/>
    </row>
    <row r="4543" spans="2:2" x14ac:dyDescent="0.25">
      <c r="B4543" s="192"/>
    </row>
    <row r="4544" spans="2:2" x14ac:dyDescent="0.25">
      <c r="B4544" s="192"/>
    </row>
    <row r="4545" spans="2:2" x14ac:dyDescent="0.25">
      <c r="B4545" s="192"/>
    </row>
    <row r="4546" spans="2:2" x14ac:dyDescent="0.25">
      <c r="B4546" s="192"/>
    </row>
    <row r="4547" spans="2:2" x14ac:dyDescent="0.25">
      <c r="B4547" s="192"/>
    </row>
    <row r="4548" spans="2:2" x14ac:dyDescent="0.25">
      <c r="B4548" s="192"/>
    </row>
    <row r="4549" spans="2:2" x14ac:dyDescent="0.25">
      <c r="B4549" s="192"/>
    </row>
    <row r="4550" spans="2:2" x14ac:dyDescent="0.25">
      <c r="B4550" s="192"/>
    </row>
    <row r="4551" spans="2:2" x14ac:dyDescent="0.25">
      <c r="B4551" s="192"/>
    </row>
    <row r="4552" spans="2:2" x14ac:dyDescent="0.25">
      <c r="B4552" s="192"/>
    </row>
    <row r="4553" spans="2:2" x14ac:dyDescent="0.25">
      <c r="B4553" s="192"/>
    </row>
    <row r="4554" spans="2:2" x14ac:dyDescent="0.25">
      <c r="B4554" s="192"/>
    </row>
    <row r="4555" spans="2:2" x14ac:dyDescent="0.25">
      <c r="B4555" s="192"/>
    </row>
    <row r="4556" spans="2:2" x14ac:dyDescent="0.25">
      <c r="B4556" s="192"/>
    </row>
    <row r="4557" spans="2:2" x14ac:dyDescent="0.25">
      <c r="B4557" s="192"/>
    </row>
    <row r="4558" spans="2:2" x14ac:dyDescent="0.25">
      <c r="B4558" s="192"/>
    </row>
    <row r="4559" spans="2:2" x14ac:dyDescent="0.25">
      <c r="B4559" s="192"/>
    </row>
    <row r="4560" spans="2:2" x14ac:dyDescent="0.25">
      <c r="B4560" s="192"/>
    </row>
    <row r="4561" spans="2:2" x14ac:dyDescent="0.25">
      <c r="B4561" s="192"/>
    </row>
    <row r="4562" spans="2:2" x14ac:dyDescent="0.25">
      <c r="B4562" s="192"/>
    </row>
    <row r="4563" spans="2:2" x14ac:dyDescent="0.25">
      <c r="B4563" s="192"/>
    </row>
    <row r="4564" spans="2:2" x14ac:dyDescent="0.25">
      <c r="B4564" s="192"/>
    </row>
    <row r="4565" spans="2:2" x14ac:dyDescent="0.25">
      <c r="B4565" s="192"/>
    </row>
    <row r="4566" spans="2:2" x14ac:dyDescent="0.25">
      <c r="B4566" s="192"/>
    </row>
    <row r="4567" spans="2:2" x14ac:dyDescent="0.25">
      <c r="B4567" s="192"/>
    </row>
    <row r="4568" spans="2:2" x14ac:dyDescent="0.25">
      <c r="B4568" s="192"/>
    </row>
    <row r="4569" spans="2:2" x14ac:dyDescent="0.25">
      <c r="B4569" s="192"/>
    </row>
    <row r="4570" spans="2:2" x14ac:dyDescent="0.25">
      <c r="B4570" s="192"/>
    </row>
    <row r="4571" spans="2:2" x14ac:dyDescent="0.25">
      <c r="B4571" s="192"/>
    </row>
    <row r="4572" spans="2:2" x14ac:dyDescent="0.25">
      <c r="B4572" s="192"/>
    </row>
    <row r="4573" spans="2:2" x14ac:dyDescent="0.25">
      <c r="B4573" s="192"/>
    </row>
    <row r="4574" spans="2:2" x14ac:dyDescent="0.25">
      <c r="B4574" s="192"/>
    </row>
    <row r="4575" spans="2:2" x14ac:dyDescent="0.25">
      <c r="B4575" s="192"/>
    </row>
    <row r="4576" spans="2:2" x14ac:dyDescent="0.25">
      <c r="B4576" s="192"/>
    </row>
    <row r="4577" spans="2:2" x14ac:dyDescent="0.25">
      <c r="B4577" s="192"/>
    </row>
    <row r="4578" spans="2:2" x14ac:dyDescent="0.25">
      <c r="B4578" s="192"/>
    </row>
    <row r="4579" spans="2:2" x14ac:dyDescent="0.25">
      <c r="B4579" s="192"/>
    </row>
    <row r="4580" spans="2:2" x14ac:dyDescent="0.25">
      <c r="B4580" s="192"/>
    </row>
    <row r="4581" spans="2:2" x14ac:dyDescent="0.25">
      <c r="B4581" s="192"/>
    </row>
    <row r="4582" spans="2:2" x14ac:dyDescent="0.25">
      <c r="B4582" s="192"/>
    </row>
    <row r="4583" spans="2:2" x14ac:dyDescent="0.25">
      <c r="B4583" s="192"/>
    </row>
    <row r="4584" spans="2:2" x14ac:dyDescent="0.25">
      <c r="B4584" s="192"/>
    </row>
    <row r="4585" spans="2:2" x14ac:dyDescent="0.25">
      <c r="B4585" s="192"/>
    </row>
    <row r="4586" spans="2:2" x14ac:dyDescent="0.25">
      <c r="B4586" s="192"/>
    </row>
    <row r="4587" spans="2:2" x14ac:dyDescent="0.25">
      <c r="B4587" s="192"/>
    </row>
    <row r="4588" spans="2:2" x14ac:dyDescent="0.25">
      <c r="B4588" s="192"/>
    </row>
    <row r="4589" spans="2:2" x14ac:dyDescent="0.25">
      <c r="B4589" s="192"/>
    </row>
    <row r="4590" spans="2:2" x14ac:dyDescent="0.25">
      <c r="B4590" s="192"/>
    </row>
    <row r="4591" spans="2:2" x14ac:dyDescent="0.25">
      <c r="B4591" s="192"/>
    </row>
    <row r="4592" spans="2:2" x14ac:dyDescent="0.25">
      <c r="B4592" s="192"/>
    </row>
    <row r="4593" spans="2:2" x14ac:dyDescent="0.25">
      <c r="B4593" s="192"/>
    </row>
    <row r="4594" spans="2:2" x14ac:dyDescent="0.25">
      <c r="B4594" s="192"/>
    </row>
    <row r="4595" spans="2:2" x14ac:dyDescent="0.25">
      <c r="B4595" s="192"/>
    </row>
    <row r="4596" spans="2:2" x14ac:dyDescent="0.25">
      <c r="B4596" s="192"/>
    </row>
    <row r="4597" spans="2:2" x14ac:dyDescent="0.25">
      <c r="B4597" s="192"/>
    </row>
    <row r="4598" spans="2:2" x14ac:dyDescent="0.25">
      <c r="B4598" s="192"/>
    </row>
    <row r="4599" spans="2:2" x14ac:dyDescent="0.25">
      <c r="B4599" s="192"/>
    </row>
    <row r="4600" spans="2:2" x14ac:dyDescent="0.25">
      <c r="B4600" s="192"/>
    </row>
    <row r="4601" spans="2:2" x14ac:dyDescent="0.25">
      <c r="B4601" s="192"/>
    </row>
    <row r="4602" spans="2:2" x14ac:dyDescent="0.25">
      <c r="B4602" s="192"/>
    </row>
    <row r="4603" spans="2:2" x14ac:dyDescent="0.25">
      <c r="B4603" s="192"/>
    </row>
    <row r="4604" spans="2:2" x14ac:dyDescent="0.25">
      <c r="B4604" s="192"/>
    </row>
    <row r="4605" spans="2:2" x14ac:dyDescent="0.25">
      <c r="B4605" s="192"/>
    </row>
    <row r="4606" spans="2:2" x14ac:dyDescent="0.25">
      <c r="B4606" s="192"/>
    </row>
    <row r="4607" spans="2:2" x14ac:dyDescent="0.25">
      <c r="B4607" s="192"/>
    </row>
    <row r="4608" spans="2:2" x14ac:dyDescent="0.25">
      <c r="B4608" s="192"/>
    </row>
    <row r="4609" spans="2:2" x14ac:dyDescent="0.25">
      <c r="B4609" s="192"/>
    </row>
    <row r="4610" spans="2:2" x14ac:dyDescent="0.25">
      <c r="B4610" s="192"/>
    </row>
    <row r="4611" spans="2:2" x14ac:dyDescent="0.25">
      <c r="B4611" s="192"/>
    </row>
    <row r="4612" spans="2:2" x14ac:dyDescent="0.25">
      <c r="B4612" s="192"/>
    </row>
    <row r="4613" spans="2:2" x14ac:dyDescent="0.25">
      <c r="B4613" s="192"/>
    </row>
    <row r="4614" spans="2:2" x14ac:dyDescent="0.25">
      <c r="B4614" s="192"/>
    </row>
    <row r="4615" spans="2:2" x14ac:dyDescent="0.25">
      <c r="B4615" s="192"/>
    </row>
    <row r="4616" spans="2:2" x14ac:dyDescent="0.25">
      <c r="B4616" s="192"/>
    </row>
    <row r="4617" spans="2:2" x14ac:dyDescent="0.25">
      <c r="B4617" s="192"/>
    </row>
    <row r="4618" spans="2:2" x14ac:dyDescent="0.25">
      <c r="B4618" s="192"/>
    </row>
    <row r="4619" spans="2:2" x14ac:dyDescent="0.25">
      <c r="B4619" s="192"/>
    </row>
    <row r="4620" spans="2:2" x14ac:dyDescent="0.25">
      <c r="B4620" s="192"/>
    </row>
    <row r="4621" spans="2:2" x14ac:dyDescent="0.25">
      <c r="B4621" s="192"/>
    </row>
    <row r="4622" spans="2:2" x14ac:dyDescent="0.25">
      <c r="B4622" s="192"/>
    </row>
    <row r="4623" spans="2:2" x14ac:dyDescent="0.25">
      <c r="B4623" s="192"/>
    </row>
    <row r="4624" spans="2:2" x14ac:dyDescent="0.25">
      <c r="B4624" s="192"/>
    </row>
    <row r="4625" spans="2:2" x14ac:dyDescent="0.25">
      <c r="B4625" s="192"/>
    </row>
    <row r="4626" spans="2:2" x14ac:dyDescent="0.25">
      <c r="B4626" s="192"/>
    </row>
    <row r="4627" spans="2:2" x14ac:dyDescent="0.25">
      <c r="B4627" s="192"/>
    </row>
    <row r="4628" spans="2:2" x14ac:dyDescent="0.25">
      <c r="B4628" s="192"/>
    </row>
    <row r="4629" spans="2:2" x14ac:dyDescent="0.25">
      <c r="B4629" s="192"/>
    </row>
    <row r="4630" spans="2:2" x14ac:dyDescent="0.25">
      <c r="B4630" s="192"/>
    </row>
    <row r="4631" spans="2:2" x14ac:dyDescent="0.25">
      <c r="B4631" s="192"/>
    </row>
    <row r="4632" spans="2:2" x14ac:dyDescent="0.25">
      <c r="B4632" s="192"/>
    </row>
    <row r="4633" spans="2:2" x14ac:dyDescent="0.25">
      <c r="B4633" s="192"/>
    </row>
    <row r="4634" spans="2:2" x14ac:dyDescent="0.25">
      <c r="B4634" s="192"/>
    </row>
    <row r="4635" spans="2:2" x14ac:dyDescent="0.25">
      <c r="B4635" s="192"/>
    </row>
    <row r="4636" spans="2:2" x14ac:dyDescent="0.25">
      <c r="B4636" s="192"/>
    </row>
    <row r="4637" spans="2:2" x14ac:dyDescent="0.25">
      <c r="B4637" s="192"/>
    </row>
    <row r="4638" spans="2:2" x14ac:dyDescent="0.25">
      <c r="B4638" s="192"/>
    </row>
    <row r="4639" spans="2:2" x14ac:dyDescent="0.25">
      <c r="B4639" s="192"/>
    </row>
    <row r="4640" spans="2:2" x14ac:dyDescent="0.25">
      <c r="B4640" s="192"/>
    </row>
    <row r="4641" spans="2:2" x14ac:dyDescent="0.25">
      <c r="B4641" s="192"/>
    </row>
    <row r="4642" spans="2:2" x14ac:dyDescent="0.25">
      <c r="B4642" s="192"/>
    </row>
    <row r="4643" spans="2:2" x14ac:dyDescent="0.25">
      <c r="B4643" s="192"/>
    </row>
    <row r="4644" spans="2:2" x14ac:dyDescent="0.25">
      <c r="B4644" s="192"/>
    </row>
    <row r="4645" spans="2:2" x14ac:dyDescent="0.25">
      <c r="B4645" s="192"/>
    </row>
    <row r="4646" spans="2:2" x14ac:dyDescent="0.25">
      <c r="B4646" s="192"/>
    </row>
    <row r="4647" spans="2:2" x14ac:dyDescent="0.25">
      <c r="B4647" s="192"/>
    </row>
    <row r="4648" spans="2:2" x14ac:dyDescent="0.25">
      <c r="B4648" s="192"/>
    </row>
    <row r="4649" spans="2:2" x14ac:dyDescent="0.25">
      <c r="B4649" s="192"/>
    </row>
    <row r="4650" spans="2:2" x14ac:dyDescent="0.25">
      <c r="B4650" s="192"/>
    </row>
    <row r="4651" spans="2:2" x14ac:dyDescent="0.25">
      <c r="B4651" s="192"/>
    </row>
    <row r="4652" spans="2:2" x14ac:dyDescent="0.25">
      <c r="B4652" s="192"/>
    </row>
    <row r="4653" spans="2:2" x14ac:dyDescent="0.25">
      <c r="B4653" s="192"/>
    </row>
    <row r="4654" spans="2:2" x14ac:dyDescent="0.25">
      <c r="B4654" s="192"/>
    </row>
    <row r="4655" spans="2:2" x14ac:dyDescent="0.25">
      <c r="B4655" s="192"/>
    </row>
    <row r="4656" spans="2:2" x14ac:dyDescent="0.25">
      <c r="B4656" s="192"/>
    </row>
    <row r="4657" spans="2:2" x14ac:dyDescent="0.25">
      <c r="B4657" s="192"/>
    </row>
    <row r="4658" spans="2:2" x14ac:dyDescent="0.25">
      <c r="B4658" s="192"/>
    </row>
    <row r="4659" spans="2:2" x14ac:dyDescent="0.25">
      <c r="B4659" s="192"/>
    </row>
    <row r="4660" spans="2:2" x14ac:dyDescent="0.25">
      <c r="B4660" s="192"/>
    </row>
    <row r="4661" spans="2:2" x14ac:dyDescent="0.25">
      <c r="B4661" s="192"/>
    </row>
    <row r="4662" spans="2:2" x14ac:dyDescent="0.25">
      <c r="B4662" s="192"/>
    </row>
    <row r="4663" spans="2:2" x14ac:dyDescent="0.25">
      <c r="B4663" s="192"/>
    </row>
    <row r="4664" spans="2:2" x14ac:dyDescent="0.25">
      <c r="B4664" s="192"/>
    </row>
    <row r="4665" spans="2:2" x14ac:dyDescent="0.25">
      <c r="B4665" s="192"/>
    </row>
    <row r="4666" spans="2:2" x14ac:dyDescent="0.25">
      <c r="B4666" s="192"/>
    </row>
    <row r="4667" spans="2:2" x14ac:dyDescent="0.25">
      <c r="B4667" s="192"/>
    </row>
    <row r="4668" spans="2:2" x14ac:dyDescent="0.25">
      <c r="B4668" s="192"/>
    </row>
    <row r="4669" spans="2:2" x14ac:dyDescent="0.25">
      <c r="B4669" s="192"/>
    </row>
    <row r="4670" spans="2:2" x14ac:dyDescent="0.25">
      <c r="B4670" s="192"/>
    </row>
    <row r="4671" spans="2:2" x14ac:dyDescent="0.25">
      <c r="B4671" s="192"/>
    </row>
    <row r="4672" spans="2:2" x14ac:dyDescent="0.25">
      <c r="B4672" s="192"/>
    </row>
    <row r="4673" spans="2:2" x14ac:dyDescent="0.25">
      <c r="B4673" s="192"/>
    </row>
    <row r="4674" spans="2:2" x14ac:dyDescent="0.25">
      <c r="B4674" s="192"/>
    </row>
    <row r="4675" spans="2:2" x14ac:dyDescent="0.25">
      <c r="B4675" s="192"/>
    </row>
    <row r="4676" spans="2:2" x14ac:dyDescent="0.25">
      <c r="B4676" s="192"/>
    </row>
    <row r="4677" spans="2:2" x14ac:dyDescent="0.25">
      <c r="B4677" s="192"/>
    </row>
    <row r="4678" spans="2:2" x14ac:dyDescent="0.25">
      <c r="B4678" s="192"/>
    </row>
    <row r="4679" spans="2:2" x14ac:dyDescent="0.25">
      <c r="B4679" s="192"/>
    </row>
    <row r="4680" spans="2:2" x14ac:dyDescent="0.25">
      <c r="B4680" s="192"/>
    </row>
    <row r="4681" spans="2:2" x14ac:dyDescent="0.25">
      <c r="B4681" s="192"/>
    </row>
    <row r="4682" spans="2:2" x14ac:dyDescent="0.25">
      <c r="B4682" s="192"/>
    </row>
    <row r="4683" spans="2:2" x14ac:dyDescent="0.25">
      <c r="B4683" s="192"/>
    </row>
    <row r="4684" spans="2:2" x14ac:dyDescent="0.25">
      <c r="B4684" s="192"/>
    </row>
    <row r="4685" spans="2:2" x14ac:dyDescent="0.25">
      <c r="B4685" s="192"/>
    </row>
    <row r="4686" spans="2:2" x14ac:dyDescent="0.25">
      <c r="B4686" s="192"/>
    </row>
    <row r="4687" spans="2:2" x14ac:dyDescent="0.25">
      <c r="B4687" s="192"/>
    </row>
    <row r="4688" spans="2:2" x14ac:dyDescent="0.25">
      <c r="B4688" s="192"/>
    </row>
    <row r="4689" spans="2:2" x14ac:dyDescent="0.25">
      <c r="B4689" s="192"/>
    </row>
    <row r="4690" spans="2:2" x14ac:dyDescent="0.25">
      <c r="B4690" s="192"/>
    </row>
    <row r="4691" spans="2:2" x14ac:dyDescent="0.25">
      <c r="B4691" s="192"/>
    </row>
    <row r="4692" spans="2:2" x14ac:dyDescent="0.25">
      <c r="B4692" s="192"/>
    </row>
    <row r="4693" spans="2:2" x14ac:dyDescent="0.25">
      <c r="B4693" s="192"/>
    </row>
    <row r="4694" spans="2:2" x14ac:dyDescent="0.25">
      <c r="B4694" s="192"/>
    </row>
    <row r="4695" spans="2:2" x14ac:dyDescent="0.25">
      <c r="B4695" s="192"/>
    </row>
    <row r="4696" spans="2:2" x14ac:dyDescent="0.25">
      <c r="B4696" s="192"/>
    </row>
    <row r="4697" spans="2:2" x14ac:dyDescent="0.25">
      <c r="B4697" s="192"/>
    </row>
    <row r="4698" spans="2:2" x14ac:dyDescent="0.25">
      <c r="B4698" s="192"/>
    </row>
    <row r="4699" spans="2:2" x14ac:dyDescent="0.25">
      <c r="B4699" s="192"/>
    </row>
    <row r="4700" spans="2:2" x14ac:dyDescent="0.25">
      <c r="B4700" s="192"/>
    </row>
    <row r="4701" spans="2:2" x14ac:dyDescent="0.25">
      <c r="B4701" s="192"/>
    </row>
    <row r="4702" spans="2:2" x14ac:dyDescent="0.25">
      <c r="B4702" s="192"/>
    </row>
    <row r="4703" spans="2:2" x14ac:dyDescent="0.25">
      <c r="B4703" s="192"/>
    </row>
    <row r="4704" spans="2:2" x14ac:dyDescent="0.25">
      <c r="B4704" s="192"/>
    </row>
    <row r="4705" spans="2:2" x14ac:dyDescent="0.25">
      <c r="B4705" s="192"/>
    </row>
    <row r="4706" spans="2:2" x14ac:dyDescent="0.25">
      <c r="B4706" s="192"/>
    </row>
    <row r="4707" spans="2:2" x14ac:dyDescent="0.25">
      <c r="B4707" s="192"/>
    </row>
  </sheetData>
  <mergeCells count="16"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5"/>
  <sheetViews>
    <sheetView workbookViewId="0">
      <selection activeCell="G2" sqref="G2"/>
    </sheetView>
  </sheetViews>
  <sheetFormatPr defaultRowHeight="13.2" x14ac:dyDescent="0.25"/>
  <cols>
    <col min="1" max="1" width="8" bestFit="1" customWidth="1"/>
    <col min="2" max="6" width="10.44140625" bestFit="1" customWidth="1"/>
    <col min="7" max="7" width="10.33203125" bestFit="1" customWidth="1"/>
    <col min="8" max="13" width="10.6640625" bestFit="1" customWidth="1"/>
    <col min="14" max="14" width="29.33203125" bestFit="1" customWidth="1"/>
    <col min="15" max="15" width="0.5546875" customWidth="1"/>
    <col min="16" max="20" width="9.5546875" bestFit="1" customWidth="1"/>
    <col min="21" max="21" width="10.33203125" bestFit="1" customWidth="1"/>
    <col min="22" max="22" width="29.33203125" bestFit="1" customWidth="1"/>
    <col min="23" max="23" width="7.33203125" bestFit="1" customWidth="1"/>
  </cols>
  <sheetData>
    <row r="1" spans="1:22" x14ac:dyDescent="0.25">
      <c r="A1" t="s">
        <v>163</v>
      </c>
      <c r="B1" t="s">
        <v>164</v>
      </c>
      <c r="C1" t="s">
        <v>165</v>
      </c>
      <c r="D1" t="s">
        <v>166</v>
      </c>
      <c r="E1" t="s">
        <v>167</v>
      </c>
      <c r="F1" t="s">
        <v>168</v>
      </c>
      <c r="G1" t="s">
        <v>169</v>
      </c>
      <c r="H1" t="s">
        <v>164</v>
      </c>
      <c r="I1" t="s">
        <v>165</v>
      </c>
      <c r="J1" t="s">
        <v>166</v>
      </c>
      <c r="K1" t="s">
        <v>167</v>
      </c>
      <c r="L1" t="s">
        <v>168</v>
      </c>
      <c r="M1" t="s">
        <v>169</v>
      </c>
      <c r="N1" t="s">
        <v>170</v>
      </c>
      <c r="P1" t="s">
        <v>164</v>
      </c>
      <c r="Q1" t="s">
        <v>165</v>
      </c>
      <c r="R1" t="s">
        <v>166</v>
      </c>
      <c r="S1" t="s">
        <v>167</v>
      </c>
      <c r="T1" t="s">
        <v>168</v>
      </c>
      <c r="U1" t="s">
        <v>169</v>
      </c>
      <c r="V1" t="s">
        <v>170</v>
      </c>
    </row>
    <row r="2" spans="1:22" x14ac:dyDescent="0.25">
      <c r="A2">
        <v>1</v>
      </c>
      <c r="B2" s="137">
        <v>80395</v>
      </c>
      <c r="C2" s="137">
        <v>12348</v>
      </c>
      <c r="D2" s="137">
        <v>13373</v>
      </c>
      <c r="E2" s="137">
        <v>25280</v>
      </c>
      <c r="F2" s="137">
        <v>1991</v>
      </c>
      <c r="G2" s="137" t="e">
        <f>#REF!</f>
        <v>#REF!</v>
      </c>
      <c r="H2" s="137">
        <f t="shared" ref="H2:M2" si="0">B2</f>
        <v>80395</v>
      </c>
      <c r="I2" s="137">
        <f t="shared" si="0"/>
        <v>12348</v>
      </c>
      <c r="J2" s="137">
        <f t="shared" si="0"/>
        <v>13373</v>
      </c>
      <c r="K2" s="137">
        <f t="shared" si="0"/>
        <v>25280</v>
      </c>
      <c r="L2" s="137">
        <f t="shared" si="0"/>
        <v>1991</v>
      </c>
      <c r="M2" s="137" t="e">
        <f t="shared" si="0"/>
        <v>#REF!</v>
      </c>
      <c r="N2" s="138">
        <f>AVERAGE(H2:L2)</f>
        <v>26677.4</v>
      </c>
      <c r="P2" s="139">
        <f t="shared" ref="P2:P18" si="1">H2/H$55</f>
        <v>3.2871226729076816E-2</v>
      </c>
      <c r="Q2" s="139">
        <f t="shared" ref="Q2:V17" si="2">I2/I$55</f>
        <v>6.0062367969071868E-3</v>
      </c>
      <c r="R2" s="139">
        <f t="shared" si="2"/>
        <v>5.8427129271934964E-3</v>
      </c>
      <c r="S2" s="139">
        <f t="shared" si="2"/>
        <v>1.2209811704225039E-2</v>
      </c>
      <c r="T2" s="139">
        <f t="shared" si="2"/>
        <v>7.8349859867478161E-4</v>
      </c>
      <c r="U2" s="139" t="e">
        <f t="shared" si="2"/>
        <v>#REF!</v>
      </c>
      <c r="V2" s="139">
        <f t="shared" si="2"/>
        <v>1.1698474445682523E-2</v>
      </c>
    </row>
    <row r="3" spans="1:22" x14ac:dyDescent="0.25">
      <c r="A3">
        <v>2</v>
      </c>
      <c r="B3" s="137">
        <v>59425</v>
      </c>
      <c r="C3" s="137">
        <v>19225</v>
      </c>
      <c r="D3" s="137">
        <v>11647</v>
      </c>
      <c r="E3" s="137">
        <v>15239</v>
      </c>
      <c r="F3" s="137">
        <v>22957</v>
      </c>
      <c r="G3" s="137" t="e">
        <f>#REF!</f>
        <v>#REF!</v>
      </c>
      <c r="H3" s="137">
        <f t="shared" ref="H3:H34" si="3">H2+B3</f>
        <v>139820</v>
      </c>
      <c r="I3" s="137">
        <f t="shared" ref="I3:I34" si="4">I2+C3</f>
        <v>31573</v>
      </c>
      <c r="J3" s="137">
        <f t="shared" ref="J3:J34" si="5">J2+D3</f>
        <v>25020</v>
      </c>
      <c r="K3" s="137">
        <f t="shared" ref="K3:K34" si="6">K2+E3</f>
        <v>40519</v>
      </c>
      <c r="L3" s="137">
        <f t="shared" ref="L3:L34" si="7">L2+F3</f>
        <v>24948</v>
      </c>
      <c r="M3" s="137" t="e">
        <f t="shared" ref="M3:M34" si="8">M2+G3</f>
        <v>#REF!</v>
      </c>
      <c r="N3" s="138">
        <f t="shared" ref="N3:N10" si="9">AVERAGE(H3:L3)</f>
        <v>52376</v>
      </c>
      <c r="P3" s="139">
        <f t="shared" si="1"/>
        <v>5.7168417454562109E-2</v>
      </c>
      <c r="Q3" s="139">
        <f t="shared" si="2"/>
        <v>1.5357540847809411E-2</v>
      </c>
      <c r="R3" s="139">
        <f t="shared" si="2"/>
        <v>1.0931330100828631E-2</v>
      </c>
      <c r="S3" s="139">
        <f t="shared" si="2"/>
        <v>1.9569990523872403E-2</v>
      </c>
      <c r="T3" s="139">
        <f t="shared" si="2"/>
        <v>9.8175404519027874E-3</v>
      </c>
      <c r="U3" s="139" t="e">
        <f t="shared" si="2"/>
        <v>#REF!</v>
      </c>
      <c r="V3" s="139">
        <f t="shared" si="2"/>
        <v>2.2967729147783059E-2</v>
      </c>
    </row>
    <row r="4" spans="1:22" x14ac:dyDescent="0.25">
      <c r="A4">
        <v>3</v>
      </c>
      <c r="B4" s="137">
        <v>91522</v>
      </c>
      <c r="C4" s="137">
        <v>59935</v>
      </c>
      <c r="D4" s="137">
        <v>9954</v>
      </c>
      <c r="E4" s="137">
        <v>65020</v>
      </c>
      <c r="F4" s="137">
        <v>26383</v>
      </c>
      <c r="G4" s="137" t="e">
        <f>#REF!</f>
        <v>#REF!</v>
      </c>
      <c r="H4" s="137">
        <f t="shared" si="3"/>
        <v>231342</v>
      </c>
      <c r="I4" s="137">
        <f t="shared" si="4"/>
        <v>91508</v>
      </c>
      <c r="J4" s="137">
        <f t="shared" si="5"/>
        <v>34974</v>
      </c>
      <c r="K4" s="137">
        <f t="shared" si="6"/>
        <v>105539</v>
      </c>
      <c r="L4" s="137">
        <f t="shared" si="7"/>
        <v>51331</v>
      </c>
      <c r="M4" s="137" t="e">
        <f t="shared" si="8"/>
        <v>#REF!</v>
      </c>
      <c r="N4" s="138">
        <f t="shared" si="9"/>
        <v>102938.8</v>
      </c>
      <c r="P4" s="139">
        <f t="shared" si="1"/>
        <v>9.4589157708291419E-2</v>
      </c>
      <c r="Q4" s="139">
        <f t="shared" si="2"/>
        <v>4.4510748041090287E-2</v>
      </c>
      <c r="R4" s="139">
        <f t="shared" si="2"/>
        <v>1.5280269342381317E-2</v>
      </c>
      <c r="S4" s="139">
        <f t="shared" si="2"/>
        <v>5.0973548949849935E-2</v>
      </c>
      <c r="T4" s="139">
        <f t="shared" si="2"/>
        <v>2.0199782304658569E-2</v>
      </c>
      <c r="U4" s="139" t="e">
        <f t="shared" si="2"/>
        <v>#REF!</v>
      </c>
      <c r="V4" s="139">
        <f t="shared" si="2"/>
        <v>4.5140340560520291E-2</v>
      </c>
    </row>
    <row r="5" spans="1:22" ht="13.95" customHeight="1" x14ac:dyDescent="0.25">
      <c r="A5">
        <v>4</v>
      </c>
      <c r="B5" s="137">
        <v>35394</v>
      </c>
      <c r="C5" s="137">
        <v>47615</v>
      </c>
      <c r="D5" s="137">
        <v>13895</v>
      </c>
      <c r="E5" s="137">
        <v>82788</v>
      </c>
      <c r="F5" s="137">
        <v>30474</v>
      </c>
      <c r="G5" s="137" t="e">
        <f>#REF!</f>
        <v>#REF!</v>
      </c>
      <c r="H5" s="137">
        <f t="shared" si="3"/>
        <v>266736</v>
      </c>
      <c r="I5" s="137">
        <f t="shared" si="4"/>
        <v>139123</v>
      </c>
      <c r="J5" s="137">
        <f t="shared" si="5"/>
        <v>48869</v>
      </c>
      <c r="K5" s="137">
        <f t="shared" si="6"/>
        <v>188327</v>
      </c>
      <c r="L5" s="137">
        <f t="shared" si="7"/>
        <v>81805</v>
      </c>
      <c r="M5" s="137" t="e">
        <f t="shared" si="8"/>
        <v>#REF!</v>
      </c>
      <c r="N5" s="138">
        <f t="shared" si="9"/>
        <v>144972</v>
      </c>
      <c r="P5" s="139">
        <f t="shared" si="1"/>
        <v>0.10906075667401</v>
      </c>
      <c r="Q5" s="139">
        <f t="shared" si="2"/>
        <v>6.7671338022037467E-2</v>
      </c>
      <c r="R5" s="139">
        <f t="shared" si="2"/>
        <v>2.1351045991102893E-2</v>
      </c>
      <c r="S5" s="139">
        <f t="shared" si="2"/>
        <v>9.0958750348955258E-2</v>
      </c>
      <c r="T5" s="139">
        <f t="shared" si="2"/>
        <v>3.2191915050020344E-2</v>
      </c>
      <c r="U5" s="139" t="e">
        <f t="shared" si="2"/>
        <v>#REF!</v>
      </c>
      <c r="V5" s="139">
        <f t="shared" si="2"/>
        <v>6.3572583435397997E-2</v>
      </c>
    </row>
    <row r="6" spans="1:22" x14ac:dyDescent="0.25">
      <c r="A6">
        <v>5</v>
      </c>
      <c r="B6" s="137">
        <v>40154</v>
      </c>
      <c r="C6" s="137">
        <v>94731</v>
      </c>
      <c r="D6" s="137">
        <v>30810</v>
      </c>
      <c r="E6" s="137">
        <v>101589</v>
      </c>
      <c r="F6" s="137">
        <v>79198</v>
      </c>
      <c r="G6" s="137" t="e">
        <f>#REF!</f>
        <v>#REF!</v>
      </c>
      <c r="H6" s="137">
        <f t="shared" si="3"/>
        <v>306890</v>
      </c>
      <c r="I6" s="137">
        <f t="shared" si="4"/>
        <v>233854</v>
      </c>
      <c r="J6" s="137">
        <f t="shared" si="5"/>
        <v>79679</v>
      </c>
      <c r="K6" s="137">
        <f t="shared" si="6"/>
        <v>289916</v>
      </c>
      <c r="L6" s="137">
        <f t="shared" si="7"/>
        <v>161003</v>
      </c>
      <c r="M6" s="137" t="e">
        <f t="shared" si="8"/>
        <v>#REF!</v>
      </c>
      <c r="N6" s="138">
        <f t="shared" si="9"/>
        <v>214268.4</v>
      </c>
      <c r="P6" s="139">
        <f t="shared" si="1"/>
        <v>0.12547858412695298</v>
      </c>
      <c r="Q6" s="139">
        <f t="shared" si="2"/>
        <v>0.1137497975302829</v>
      </c>
      <c r="R6" s="139">
        <f t="shared" si="2"/>
        <v>3.4812048405432637E-2</v>
      </c>
      <c r="S6" s="139">
        <f t="shared" si="2"/>
        <v>0.14002451622002005</v>
      </c>
      <c r="T6" s="139">
        <f t="shared" si="2"/>
        <v>6.3357923095146082E-2</v>
      </c>
      <c r="U6" s="139" t="e">
        <f t="shared" si="2"/>
        <v>#REF!</v>
      </c>
      <c r="V6" s="139">
        <f t="shared" si="2"/>
        <v>9.3960183597999833E-2</v>
      </c>
    </row>
    <row r="7" spans="1:22" x14ac:dyDescent="0.25">
      <c r="A7">
        <v>6</v>
      </c>
      <c r="B7" s="137">
        <v>37596</v>
      </c>
      <c r="C7" s="137">
        <v>67834</v>
      </c>
      <c r="D7" s="137">
        <v>73548</v>
      </c>
      <c r="E7" s="137">
        <v>28080</v>
      </c>
      <c r="F7" s="137">
        <v>61090</v>
      </c>
      <c r="G7" s="137" t="e">
        <f>#REF!</f>
        <v>#REF!</v>
      </c>
      <c r="H7" s="137">
        <f t="shared" si="3"/>
        <v>344486</v>
      </c>
      <c r="I7" s="137">
        <f t="shared" si="4"/>
        <v>301688</v>
      </c>
      <c r="J7" s="137">
        <f t="shared" si="5"/>
        <v>153227</v>
      </c>
      <c r="K7" s="137">
        <f t="shared" si="6"/>
        <v>317996</v>
      </c>
      <c r="L7" s="137">
        <f t="shared" si="7"/>
        <v>222093</v>
      </c>
      <c r="M7" s="137" t="e">
        <f t="shared" si="8"/>
        <v>#REF!</v>
      </c>
      <c r="N7" s="138">
        <f t="shared" si="9"/>
        <v>267898</v>
      </c>
      <c r="P7" s="139">
        <f t="shared" si="1"/>
        <v>0.14085051820377831</v>
      </c>
      <c r="Q7" s="139">
        <f t="shared" si="2"/>
        <v>0.14674518681449103</v>
      </c>
      <c r="R7" s="139">
        <f t="shared" si="2"/>
        <v>6.6945440342113055E-2</v>
      </c>
      <c r="S7" s="139">
        <f t="shared" si="2"/>
        <v>0.15358668048642191</v>
      </c>
      <c r="T7" s="139">
        <f t="shared" si="2"/>
        <v>8.7398068445744978E-2</v>
      </c>
      <c r="U7" s="139" t="e">
        <f t="shared" si="2"/>
        <v>#REF!</v>
      </c>
      <c r="V7" s="139">
        <f t="shared" si="2"/>
        <v>0.11747763676555648</v>
      </c>
    </row>
    <row r="8" spans="1:22" x14ac:dyDescent="0.25">
      <c r="A8">
        <v>7</v>
      </c>
      <c r="B8" s="137">
        <v>41963</v>
      </c>
      <c r="C8" s="137">
        <v>43331</v>
      </c>
      <c r="D8" s="137">
        <v>63938</v>
      </c>
      <c r="E8" s="137">
        <v>86196</v>
      </c>
      <c r="F8" s="137">
        <v>95227</v>
      </c>
      <c r="G8" s="137" t="e">
        <f>#REF!</f>
        <v>#REF!</v>
      </c>
      <c r="H8" s="137">
        <f t="shared" si="3"/>
        <v>386449</v>
      </c>
      <c r="I8" s="137">
        <f t="shared" si="4"/>
        <v>345019</v>
      </c>
      <c r="J8" s="137">
        <f t="shared" si="5"/>
        <v>217165</v>
      </c>
      <c r="K8" s="137">
        <f t="shared" si="6"/>
        <v>404192</v>
      </c>
      <c r="L8" s="137">
        <f t="shared" si="7"/>
        <v>317320</v>
      </c>
      <c r="M8" s="137" t="e">
        <f t="shared" si="8"/>
        <v>#REF!</v>
      </c>
      <c r="N8" s="138">
        <f t="shared" si="9"/>
        <v>334029</v>
      </c>
      <c r="P8" s="139">
        <f t="shared" si="1"/>
        <v>0.15800799425617273</v>
      </c>
      <c r="Q8" s="139">
        <f t="shared" si="2"/>
        <v>0.1678219803556949</v>
      </c>
      <c r="R8" s="139">
        <f t="shared" si="2"/>
        <v>9.4880187903535168E-2</v>
      </c>
      <c r="S8" s="139">
        <f t="shared" si="2"/>
        <v>0.19521788814691959</v>
      </c>
      <c r="T8" s="139">
        <f t="shared" si="2"/>
        <v>0.12487181081440567</v>
      </c>
      <c r="U8" s="139" t="e">
        <f t="shared" si="2"/>
        <v>#REF!</v>
      </c>
      <c r="V8" s="139">
        <f t="shared" si="2"/>
        <v>0.14647715746725271</v>
      </c>
    </row>
    <row r="9" spans="1:22" x14ac:dyDescent="0.25">
      <c r="A9">
        <v>8</v>
      </c>
      <c r="B9" s="137">
        <v>99446</v>
      </c>
      <c r="C9" s="137">
        <v>58395</v>
      </c>
      <c r="D9" s="137">
        <v>87337</v>
      </c>
      <c r="E9" s="137">
        <v>75157</v>
      </c>
      <c r="F9" s="137">
        <v>72315</v>
      </c>
      <c r="G9" s="137" t="e">
        <f>#REF!</f>
        <v>#REF!</v>
      </c>
      <c r="H9" s="137">
        <f t="shared" si="3"/>
        <v>485895</v>
      </c>
      <c r="I9" s="137">
        <f t="shared" si="4"/>
        <v>403414</v>
      </c>
      <c r="J9" s="137">
        <f t="shared" si="5"/>
        <v>304502</v>
      </c>
      <c r="K9" s="137">
        <f t="shared" si="6"/>
        <v>479349</v>
      </c>
      <c r="L9" s="137">
        <f t="shared" si="7"/>
        <v>389635</v>
      </c>
      <c r="M9" s="137" t="e">
        <f t="shared" si="8"/>
        <v>#REF!</v>
      </c>
      <c r="N9" s="138">
        <f t="shared" si="9"/>
        <v>412559</v>
      </c>
      <c r="P9" s="139">
        <f t="shared" si="1"/>
        <v>0.19866863252098738</v>
      </c>
      <c r="Q9" s="139">
        <f t="shared" si="2"/>
        <v>0.19622611039743407</v>
      </c>
      <c r="R9" s="139">
        <f t="shared" si="2"/>
        <v>0.13303804469874181</v>
      </c>
      <c r="S9" s="139">
        <f t="shared" si="2"/>
        <v>0.23151744583103515</v>
      </c>
      <c r="T9" s="139">
        <f t="shared" si="2"/>
        <v>0.15332921973613686</v>
      </c>
      <c r="U9" s="139" t="e">
        <f t="shared" si="2"/>
        <v>#REF!</v>
      </c>
      <c r="V9" s="139">
        <f t="shared" si="2"/>
        <v>0.18091384163510446</v>
      </c>
    </row>
    <row r="10" spans="1:22" x14ac:dyDescent="0.25">
      <c r="A10">
        <v>9</v>
      </c>
      <c r="B10" s="137">
        <v>14206</v>
      </c>
      <c r="C10" s="137">
        <v>119520</v>
      </c>
      <c r="D10" s="137">
        <v>121915</v>
      </c>
      <c r="E10" s="137">
        <v>67688</v>
      </c>
      <c r="F10" s="137">
        <v>129626</v>
      </c>
      <c r="G10" s="137" t="e">
        <f>#REF!</f>
        <v>#REF!</v>
      </c>
      <c r="H10" s="137">
        <f t="shared" si="3"/>
        <v>500101</v>
      </c>
      <c r="I10" s="137">
        <f t="shared" si="4"/>
        <v>522934</v>
      </c>
      <c r="J10" s="137">
        <f t="shared" si="5"/>
        <v>426417</v>
      </c>
      <c r="K10" s="137">
        <f t="shared" si="6"/>
        <v>547037</v>
      </c>
      <c r="L10" s="137">
        <f t="shared" si="7"/>
        <v>519261</v>
      </c>
      <c r="M10" s="137" t="e">
        <f t="shared" si="8"/>
        <v>#REF!</v>
      </c>
      <c r="N10" s="138">
        <f t="shared" si="9"/>
        <v>503150</v>
      </c>
      <c r="P10" s="139">
        <f t="shared" si="1"/>
        <v>0.20447706148937178</v>
      </c>
      <c r="Q10" s="139">
        <f t="shared" si="2"/>
        <v>0.25436227997682725</v>
      </c>
      <c r="R10" s="139">
        <f t="shared" si="2"/>
        <v>0.18630315697861879</v>
      </c>
      <c r="S10" s="139">
        <f t="shared" si="2"/>
        <v>0.26420960305554403</v>
      </c>
      <c r="T10" s="139">
        <f t="shared" si="2"/>
        <v>0.20433966139953078</v>
      </c>
      <c r="U10" s="139" t="e">
        <f t="shared" si="2"/>
        <v>#REF!</v>
      </c>
      <c r="V10" s="139">
        <f t="shared" si="2"/>
        <v>0.22063947076346124</v>
      </c>
    </row>
    <row r="11" spans="1:22" x14ac:dyDescent="0.25">
      <c r="A11">
        <v>10</v>
      </c>
      <c r="B11" s="137">
        <v>35168</v>
      </c>
      <c r="C11" s="137">
        <v>94543</v>
      </c>
      <c r="D11" s="137">
        <v>32190</v>
      </c>
      <c r="E11" s="137">
        <v>122370</v>
      </c>
      <c r="F11" s="137">
        <v>130113</v>
      </c>
      <c r="G11" s="137" t="e">
        <f>#REF!</f>
        <v>#REF!</v>
      </c>
      <c r="H11" s="137">
        <f t="shared" si="3"/>
        <v>535269</v>
      </c>
      <c r="I11" s="137">
        <f t="shared" si="4"/>
        <v>617477</v>
      </c>
      <c r="J11" s="137">
        <f t="shared" si="5"/>
        <v>458607</v>
      </c>
      <c r="K11" s="137">
        <f t="shared" si="6"/>
        <v>669407</v>
      </c>
      <c r="L11" s="137">
        <f t="shared" si="7"/>
        <v>649374</v>
      </c>
      <c r="M11" s="137" t="e">
        <f t="shared" si="8"/>
        <v>#REF!</v>
      </c>
      <c r="N11" s="138">
        <f>AVERAGE(H11:L11)</f>
        <v>586026.80000000005</v>
      </c>
      <c r="P11" s="139">
        <f t="shared" si="1"/>
        <v>0.21885625548910032</v>
      </c>
      <c r="Q11" s="139">
        <f t="shared" si="2"/>
        <v>0.30034929370293645</v>
      </c>
      <c r="R11" s="139">
        <f t="shared" si="2"/>
        <v>0.20036708647285037</v>
      </c>
      <c r="S11" s="139">
        <f t="shared" si="2"/>
        <v>0.32331223985325042</v>
      </c>
      <c r="T11" s="139">
        <f t="shared" si="2"/>
        <v>0.2555417473710887</v>
      </c>
      <c r="U11" s="139" t="e">
        <f t="shared" si="2"/>
        <v>#REF!</v>
      </c>
      <c r="V11" s="139">
        <f>N11/N$55</f>
        <v>0.25698229753593316</v>
      </c>
    </row>
    <row r="12" spans="1:22" x14ac:dyDescent="0.25">
      <c r="A12">
        <v>11</v>
      </c>
      <c r="B12" s="137">
        <v>110055</v>
      </c>
      <c r="C12" s="137">
        <v>92137</v>
      </c>
      <c r="D12" s="137">
        <v>82559</v>
      </c>
      <c r="E12" s="137">
        <v>95033</v>
      </c>
      <c r="F12" s="137">
        <v>99709</v>
      </c>
      <c r="G12" s="137" t="e">
        <f>#REF!</f>
        <v>#REF!</v>
      </c>
      <c r="H12" s="137">
        <f t="shared" si="3"/>
        <v>645324</v>
      </c>
      <c r="I12" s="137">
        <f t="shared" si="4"/>
        <v>709614</v>
      </c>
      <c r="J12" s="137">
        <f t="shared" si="5"/>
        <v>541166</v>
      </c>
      <c r="K12" s="137">
        <f t="shared" si="6"/>
        <v>764440</v>
      </c>
      <c r="L12" s="137">
        <f t="shared" si="7"/>
        <v>749083</v>
      </c>
      <c r="M12" s="137" t="e">
        <f t="shared" si="8"/>
        <v>#REF!</v>
      </c>
      <c r="N12" s="138">
        <f>AVERAGE(H12:L12)</f>
        <v>681925.4</v>
      </c>
      <c r="P12" s="139">
        <f t="shared" si="1"/>
        <v>0.26385461182554598</v>
      </c>
      <c r="Q12" s="139">
        <f t="shared" si="2"/>
        <v>0.34516599598319536</v>
      </c>
      <c r="R12" s="139">
        <f t="shared" si="2"/>
        <v>0.23643741747981722</v>
      </c>
      <c r="S12" s="139">
        <f t="shared" si="2"/>
        <v>0.36921156879658973</v>
      </c>
      <c r="T12" s="139">
        <f t="shared" si="2"/>
        <v>0.29477924700708258</v>
      </c>
      <c r="U12" s="139" t="e">
        <f t="shared" si="2"/>
        <v>#REF!</v>
      </c>
      <c r="V12" s="139">
        <f t="shared" si="2"/>
        <v>0.29903539571929172</v>
      </c>
    </row>
    <row r="13" spans="1:22" x14ac:dyDescent="0.25">
      <c r="A13">
        <v>12</v>
      </c>
      <c r="B13" s="137">
        <v>59186</v>
      </c>
      <c r="C13" s="137">
        <v>21424</v>
      </c>
      <c r="D13" s="137">
        <v>152398</v>
      </c>
      <c r="E13" s="137">
        <v>74115</v>
      </c>
      <c r="F13" s="137">
        <v>116756</v>
      </c>
      <c r="G13" s="137" t="e">
        <f>#REF!</f>
        <v>#REF!</v>
      </c>
      <c r="H13" s="137">
        <f t="shared" si="3"/>
        <v>704510</v>
      </c>
      <c r="I13" s="137">
        <f t="shared" si="4"/>
        <v>731038</v>
      </c>
      <c r="J13" s="137">
        <f t="shared" si="5"/>
        <v>693564</v>
      </c>
      <c r="K13" s="137">
        <f t="shared" si="6"/>
        <v>838555</v>
      </c>
      <c r="L13" s="137">
        <f t="shared" si="7"/>
        <v>865839</v>
      </c>
      <c r="M13" s="137" t="e">
        <f t="shared" si="8"/>
        <v>#REF!</v>
      </c>
      <c r="N13" s="138">
        <f>AVERAGE(H13:L13)</f>
        <v>766701.2</v>
      </c>
      <c r="P13" s="139">
        <f t="shared" si="1"/>
        <v>0.28805408225513912</v>
      </c>
      <c r="Q13" s="139">
        <f t="shared" si="2"/>
        <v>0.35558692383685098</v>
      </c>
      <c r="R13" s="139">
        <f t="shared" si="2"/>
        <v>0.30302066467030814</v>
      </c>
      <c r="S13" s="139">
        <f t="shared" si="2"/>
        <v>0.40500785813435236</v>
      </c>
      <c r="T13" s="139">
        <f t="shared" si="2"/>
        <v>0.34072508446909805</v>
      </c>
      <c r="U13" s="139" t="e">
        <f t="shared" si="2"/>
        <v>#REF!</v>
      </c>
      <c r="V13" s="139">
        <f t="shared" si="2"/>
        <v>0.33621096492439756</v>
      </c>
    </row>
    <row r="14" spans="1:22" x14ac:dyDescent="0.25">
      <c r="A14">
        <v>13</v>
      </c>
      <c r="B14" s="137">
        <v>89518</v>
      </c>
      <c r="C14" s="137">
        <v>141714</v>
      </c>
      <c r="D14" s="137">
        <v>114071</v>
      </c>
      <c r="E14" s="137">
        <v>131989</v>
      </c>
      <c r="F14" s="137">
        <v>121188</v>
      </c>
      <c r="G14" s="137" t="e">
        <f>#REF!</f>
        <v>#REF!</v>
      </c>
      <c r="H14" s="137">
        <f t="shared" si="3"/>
        <v>794028</v>
      </c>
      <c r="I14" s="137">
        <f t="shared" si="4"/>
        <v>872752</v>
      </c>
      <c r="J14" s="137">
        <f t="shared" si="5"/>
        <v>807635</v>
      </c>
      <c r="K14" s="137">
        <f t="shared" si="6"/>
        <v>970544</v>
      </c>
      <c r="L14" s="137">
        <f t="shared" si="7"/>
        <v>987027</v>
      </c>
      <c r="M14" s="137" t="e">
        <f t="shared" si="8"/>
        <v>#REF!</v>
      </c>
      <c r="N14" s="138">
        <f>AVERAGE(H14:L14)</f>
        <v>886397.2</v>
      </c>
      <c r="P14" s="139">
        <f t="shared" si="1"/>
        <v>0.32465544396088569</v>
      </c>
      <c r="Q14" s="139">
        <f t="shared" si="2"/>
        <v>0.42451855984567066</v>
      </c>
      <c r="R14" s="139">
        <f t="shared" si="2"/>
        <v>0.3528587044757287</v>
      </c>
      <c r="S14" s="139">
        <f t="shared" si="2"/>
        <v>0.46875630896619408</v>
      </c>
      <c r="T14" s="139">
        <f t="shared" si="2"/>
        <v>0.38841500319144834</v>
      </c>
      <c r="U14" s="139" t="e">
        <f t="shared" si="2"/>
        <v>#REF!</v>
      </c>
      <c r="V14" s="139">
        <f t="shared" si="2"/>
        <v>0.38869961064138708</v>
      </c>
    </row>
    <row r="15" spans="1:22" x14ac:dyDescent="0.25">
      <c r="A15">
        <v>14</v>
      </c>
      <c r="B15" s="137">
        <v>77359</v>
      </c>
      <c r="C15" s="137">
        <v>38305</v>
      </c>
      <c r="D15" s="137">
        <v>63722</v>
      </c>
      <c r="E15" s="137">
        <v>64647</v>
      </c>
      <c r="F15" s="137">
        <v>71158</v>
      </c>
      <c r="G15" s="137" t="e">
        <f>#REF!</f>
        <v>#REF!</v>
      </c>
      <c r="H15" s="137">
        <f t="shared" si="3"/>
        <v>871387</v>
      </c>
      <c r="I15" s="137">
        <f t="shared" si="4"/>
        <v>911057</v>
      </c>
      <c r="J15" s="137">
        <f t="shared" si="5"/>
        <v>871357</v>
      </c>
      <c r="K15" s="137">
        <f t="shared" si="6"/>
        <v>1035191</v>
      </c>
      <c r="L15" s="137">
        <f t="shared" si="7"/>
        <v>1058185</v>
      </c>
      <c r="M15" s="137" t="e">
        <f t="shared" si="8"/>
        <v>#REF!</v>
      </c>
      <c r="N15" s="138">
        <f t="shared" ref="N15:N25" si="10">AVERAGE(H15:L15)</f>
        <v>949435.4</v>
      </c>
      <c r="P15" s="139">
        <f t="shared" si="1"/>
        <v>0.35628533672206059</v>
      </c>
      <c r="Q15" s="139">
        <f t="shared" si="2"/>
        <v>0.44315063795593385</v>
      </c>
      <c r="R15" s="139">
        <f t="shared" si="2"/>
        <v>0.38069908084203574</v>
      </c>
      <c r="S15" s="139">
        <f t="shared" si="2"/>
        <v>0.49997971471156732</v>
      </c>
      <c r="T15" s="139">
        <f t="shared" si="2"/>
        <v>0.41641710931123743</v>
      </c>
      <c r="U15" s="139" t="e">
        <f t="shared" si="2"/>
        <v>#REF!</v>
      </c>
      <c r="V15" s="139">
        <f t="shared" si="2"/>
        <v>0.41634288816475234</v>
      </c>
    </row>
    <row r="16" spans="1:22" x14ac:dyDescent="0.25">
      <c r="A16">
        <v>15</v>
      </c>
      <c r="B16" s="137">
        <v>90638</v>
      </c>
      <c r="C16" s="137">
        <v>105816</v>
      </c>
      <c r="D16" s="137">
        <v>110755</v>
      </c>
      <c r="E16" s="137">
        <v>35568</v>
      </c>
      <c r="F16" s="137">
        <v>78920</v>
      </c>
      <c r="G16" s="137" t="e">
        <f>#REF!</f>
        <v>#REF!</v>
      </c>
      <c r="H16" s="137">
        <f t="shared" si="3"/>
        <v>962025</v>
      </c>
      <c r="I16" s="137">
        <f t="shared" si="4"/>
        <v>1016873</v>
      </c>
      <c r="J16" s="137">
        <f t="shared" si="5"/>
        <v>982112</v>
      </c>
      <c r="K16" s="137">
        <f t="shared" si="6"/>
        <v>1070759</v>
      </c>
      <c r="L16" s="137">
        <f t="shared" si="7"/>
        <v>1137105</v>
      </c>
      <c r="M16" s="137" t="e">
        <f t="shared" si="8"/>
        <v>#REF!</v>
      </c>
      <c r="N16" s="138">
        <f t="shared" si="10"/>
        <v>1033774.8</v>
      </c>
      <c r="P16" s="139">
        <f t="shared" si="1"/>
        <v>0.39334463454244822</v>
      </c>
      <c r="Q16" s="139">
        <f t="shared" si="2"/>
        <v>0.49462099371407531</v>
      </c>
      <c r="R16" s="139">
        <f t="shared" si="2"/>
        <v>0.42908834804096757</v>
      </c>
      <c r="S16" s="139">
        <f t="shared" si="2"/>
        <v>0.51715845611567635</v>
      </c>
      <c r="T16" s="139">
        <f t="shared" si="2"/>
        <v>0.44747371875745229</v>
      </c>
      <c r="U16" s="139" t="e">
        <f t="shared" si="2"/>
        <v>#REF!</v>
      </c>
      <c r="V16" s="139">
        <f t="shared" si="2"/>
        <v>0.45332708886137935</v>
      </c>
    </row>
    <row r="17" spans="1:22" x14ac:dyDescent="0.25">
      <c r="A17">
        <v>16</v>
      </c>
      <c r="B17" s="137">
        <v>81642</v>
      </c>
      <c r="C17" s="137">
        <v>101029</v>
      </c>
      <c r="D17" s="137">
        <v>71489</v>
      </c>
      <c r="E17" s="137">
        <v>57219</v>
      </c>
      <c r="F17" s="137">
        <v>14837</v>
      </c>
      <c r="G17" s="137" t="e">
        <f>#REF!</f>
        <v>#REF!</v>
      </c>
      <c r="H17" s="137">
        <f t="shared" si="3"/>
        <v>1043667</v>
      </c>
      <c r="I17" s="137">
        <f t="shared" si="4"/>
        <v>1117902</v>
      </c>
      <c r="J17" s="137">
        <f t="shared" si="5"/>
        <v>1053601</v>
      </c>
      <c r="K17" s="137">
        <f t="shared" si="6"/>
        <v>1127978</v>
      </c>
      <c r="L17" s="137">
        <f t="shared" si="7"/>
        <v>1151942</v>
      </c>
      <c r="M17" s="137" t="e">
        <f t="shared" si="8"/>
        <v>#REF!</v>
      </c>
      <c r="N17" s="138">
        <f t="shared" si="10"/>
        <v>1099018</v>
      </c>
      <c r="P17" s="139">
        <f t="shared" si="1"/>
        <v>0.42672572407059411</v>
      </c>
      <c r="Q17" s="139">
        <f t="shared" si="2"/>
        <v>0.54376288692388552</v>
      </c>
      <c r="R17" s="139">
        <f t="shared" si="2"/>
        <v>0.46032215529828724</v>
      </c>
      <c r="S17" s="139">
        <f t="shared" si="2"/>
        <v>0.54479426370681772</v>
      </c>
      <c r="T17" s="139">
        <f t="shared" si="2"/>
        <v>0.45331237707414629</v>
      </c>
      <c r="U17" s="139" t="e">
        <f t="shared" si="2"/>
        <v>#REF!</v>
      </c>
      <c r="V17" s="139">
        <f t="shared" si="2"/>
        <v>0.48193729480178404</v>
      </c>
    </row>
    <row r="18" spans="1:22" x14ac:dyDescent="0.25">
      <c r="A18">
        <v>17</v>
      </c>
      <c r="B18" s="137">
        <v>154136</v>
      </c>
      <c r="C18" s="137">
        <v>52160</v>
      </c>
      <c r="D18" s="137">
        <v>37666</v>
      </c>
      <c r="E18" s="137">
        <v>62040</v>
      </c>
      <c r="F18" s="137">
        <v>32496</v>
      </c>
      <c r="G18" s="137" t="e">
        <f>#REF!</f>
        <v>#REF!</v>
      </c>
      <c r="H18" s="137">
        <f t="shared" si="3"/>
        <v>1197803</v>
      </c>
      <c r="I18" s="137">
        <f t="shared" si="4"/>
        <v>1170062</v>
      </c>
      <c r="J18" s="137">
        <f t="shared" si="5"/>
        <v>1091267</v>
      </c>
      <c r="K18" s="137">
        <f t="shared" si="6"/>
        <v>1190018</v>
      </c>
      <c r="L18" s="137">
        <f t="shared" si="7"/>
        <v>1184438</v>
      </c>
      <c r="M18" s="137" t="e">
        <f t="shared" si="8"/>
        <v>#REF!</v>
      </c>
      <c r="N18" s="138">
        <f t="shared" si="10"/>
        <v>1166717.6000000001</v>
      </c>
      <c r="P18" s="139">
        <f t="shared" si="1"/>
        <v>0.4897475463619429</v>
      </c>
      <c r="Q18" s="139">
        <f t="shared" ref="Q18:V18" si="11">I18/I$55</f>
        <v>0.56913422732935026</v>
      </c>
      <c r="R18" s="139">
        <f t="shared" si="11"/>
        <v>0.47677856935015822</v>
      </c>
      <c r="S18" s="139">
        <f t="shared" si="11"/>
        <v>0.57475853262019272</v>
      </c>
      <c r="T18" s="139">
        <f t="shared" si="11"/>
        <v>0.46610020754252179</v>
      </c>
      <c r="U18" s="139" t="e">
        <f t="shared" si="11"/>
        <v>#REF!</v>
      </c>
      <c r="V18" s="139">
        <f t="shared" si="11"/>
        <v>0.51162467215425955</v>
      </c>
    </row>
    <row r="19" spans="1:22" x14ac:dyDescent="0.25">
      <c r="A19">
        <v>18</v>
      </c>
      <c r="B19" s="137">
        <v>31952</v>
      </c>
      <c r="C19" s="137">
        <v>53699</v>
      </c>
      <c r="D19" s="137">
        <v>82562</v>
      </c>
      <c r="E19" s="137">
        <v>17475</v>
      </c>
      <c r="F19" s="137">
        <v>81046</v>
      </c>
      <c r="G19" s="137" t="e">
        <f>#REF!</f>
        <v>#REF!</v>
      </c>
      <c r="H19" s="137">
        <f t="shared" si="3"/>
        <v>1229755</v>
      </c>
      <c r="I19" s="137">
        <f t="shared" si="4"/>
        <v>1223761</v>
      </c>
      <c r="J19" s="137">
        <f t="shared" si="5"/>
        <v>1173829</v>
      </c>
      <c r="K19" s="137">
        <f t="shared" si="6"/>
        <v>1207493</v>
      </c>
      <c r="L19" s="137">
        <f t="shared" si="7"/>
        <v>1265484</v>
      </c>
      <c r="M19" s="137" t="e">
        <f t="shared" si="8"/>
        <v>#REF!</v>
      </c>
      <c r="N19" s="138">
        <f t="shared" si="10"/>
        <v>1220064.3999999999</v>
      </c>
      <c r="P19" s="139">
        <f t="shared" ref="P19:U23" si="12">H19/H$55</f>
        <v>0.50281180951820215</v>
      </c>
      <c r="Q19" s="139">
        <f t="shared" si="12"/>
        <v>0.59525415847262197</v>
      </c>
      <c r="R19" s="139">
        <f t="shared" si="12"/>
        <v>0.5128502110681683</v>
      </c>
      <c r="S19" s="139">
        <f t="shared" si="12"/>
        <v>0.5831986615573499</v>
      </c>
      <c r="T19" s="139">
        <f t="shared" si="12"/>
        <v>0.49799344080630703</v>
      </c>
      <c r="U19" s="139" t="e">
        <f>M19/M$55</f>
        <v>#REF!</v>
      </c>
      <c r="V19" s="139">
        <f>N19/N$55</f>
        <v>0.5350181129153132</v>
      </c>
    </row>
    <row r="20" spans="1:22" x14ac:dyDescent="0.25">
      <c r="A20">
        <v>19</v>
      </c>
      <c r="B20" s="137">
        <v>43018</v>
      </c>
      <c r="C20" s="137">
        <v>71062</v>
      </c>
      <c r="D20" s="137">
        <v>8994</v>
      </c>
      <c r="E20" s="137">
        <v>8193</v>
      </c>
      <c r="F20" s="137">
        <v>46067</v>
      </c>
      <c r="G20" s="137">
        <v>62423</v>
      </c>
      <c r="H20" s="137">
        <f t="shared" si="3"/>
        <v>1272773</v>
      </c>
      <c r="I20" s="137">
        <f t="shared" si="4"/>
        <v>1294823</v>
      </c>
      <c r="J20" s="137">
        <f t="shared" si="5"/>
        <v>1182823</v>
      </c>
      <c r="K20" s="137">
        <f t="shared" si="6"/>
        <v>1215686</v>
      </c>
      <c r="L20" s="137">
        <f t="shared" si="7"/>
        <v>1311551</v>
      </c>
      <c r="M20" s="137" t="e">
        <f t="shared" si="8"/>
        <v>#REF!</v>
      </c>
      <c r="N20" s="138">
        <f>AVERAGE(H20:L20)</f>
        <v>1255531.2</v>
      </c>
      <c r="P20" s="139">
        <f t="shared" si="12"/>
        <v>0.52040064503572725</v>
      </c>
      <c r="Q20" s="139">
        <f t="shared" si="12"/>
        <v>0.62981969129265913</v>
      </c>
      <c r="R20" s="139">
        <f t="shared" si="12"/>
        <v>0.51677972277587625</v>
      </c>
      <c r="S20" s="139">
        <f t="shared" si="12"/>
        <v>0.58715574175089091</v>
      </c>
      <c r="T20" s="139">
        <f t="shared" si="12"/>
        <v>0.51612173309417808</v>
      </c>
      <c r="U20" s="139" t="e">
        <f t="shared" si="12"/>
        <v>#REF!</v>
      </c>
      <c r="V20" s="139">
        <f>N20/N$55</f>
        <v>0.55057088243071328</v>
      </c>
    </row>
    <row r="21" spans="1:22" x14ac:dyDescent="0.25">
      <c r="A21">
        <v>20</v>
      </c>
      <c r="B21" s="137">
        <v>46958</v>
      </c>
      <c r="C21" s="137">
        <v>61672</v>
      </c>
      <c r="D21" s="137">
        <v>45040</v>
      </c>
      <c r="E21" s="137">
        <v>25935</v>
      </c>
      <c r="F21" s="137">
        <v>110516</v>
      </c>
      <c r="G21" s="137">
        <v>61504</v>
      </c>
      <c r="H21" s="137">
        <f t="shared" si="3"/>
        <v>1319731</v>
      </c>
      <c r="I21" s="137">
        <f t="shared" si="4"/>
        <v>1356495</v>
      </c>
      <c r="J21" s="137">
        <f t="shared" si="5"/>
        <v>1227863</v>
      </c>
      <c r="K21" s="137">
        <f t="shared" si="6"/>
        <v>1241621</v>
      </c>
      <c r="L21" s="137">
        <f t="shared" si="7"/>
        <v>1422067</v>
      </c>
      <c r="M21" s="137" t="e">
        <f t="shared" si="8"/>
        <v>#REF!</v>
      </c>
      <c r="N21" s="138">
        <f t="shared" si="10"/>
        <v>1313555.3999999999</v>
      </c>
      <c r="P21" s="139">
        <f t="shared" si="12"/>
        <v>0.53960043438511451</v>
      </c>
      <c r="Q21" s="139">
        <f t="shared" si="12"/>
        <v>0.6598177991432308</v>
      </c>
      <c r="R21" s="139">
        <f t="shared" si="12"/>
        <v>0.53645786457209221</v>
      </c>
      <c r="S21" s="139">
        <f t="shared" si="12"/>
        <v>0.59968190735805371</v>
      </c>
      <c r="T21" s="139">
        <f t="shared" si="12"/>
        <v>0.55961200488279794</v>
      </c>
      <c r="U21" s="139" t="e">
        <f t="shared" si="12"/>
        <v>#REF!</v>
      </c>
      <c r="V21" s="139">
        <f>N21/N$55</f>
        <v>0.57601543928149979</v>
      </c>
    </row>
    <row r="22" spans="1:22" x14ac:dyDescent="0.25">
      <c r="A22">
        <v>21</v>
      </c>
      <c r="B22" s="137">
        <v>81408</v>
      </c>
      <c r="C22" s="137">
        <v>27272</v>
      </c>
      <c r="D22" s="137">
        <v>43259</v>
      </c>
      <c r="E22" s="137">
        <v>87439</v>
      </c>
      <c r="F22" s="137">
        <v>34553</v>
      </c>
      <c r="G22" s="137">
        <v>116883</v>
      </c>
      <c r="H22" s="137">
        <f t="shared" si="3"/>
        <v>1401139</v>
      </c>
      <c r="I22" s="137">
        <f t="shared" si="4"/>
        <v>1383767</v>
      </c>
      <c r="J22" s="137">
        <f t="shared" si="5"/>
        <v>1271122</v>
      </c>
      <c r="K22" s="137">
        <f t="shared" si="6"/>
        <v>1329060</v>
      </c>
      <c r="L22" s="137">
        <f t="shared" si="7"/>
        <v>1456620</v>
      </c>
      <c r="M22" s="137" t="e">
        <f t="shared" si="8"/>
        <v>#REF!</v>
      </c>
      <c r="N22" s="138">
        <f t="shared" si="10"/>
        <v>1368341.6</v>
      </c>
      <c r="P22" s="139">
        <f t="shared" si="12"/>
        <v>0.57288584797502284</v>
      </c>
      <c r="Q22" s="139">
        <f t="shared" si="12"/>
        <v>0.67308327451780592</v>
      </c>
      <c r="R22" s="139">
        <f t="shared" si="12"/>
        <v>0.55535788091228988</v>
      </c>
      <c r="S22" s="139">
        <f t="shared" si="12"/>
        <v>0.64191346295954632</v>
      </c>
      <c r="T22" s="139">
        <f t="shared" si="12"/>
        <v>0.57320930627908606</v>
      </c>
      <c r="U22" s="139" t="e">
        <f t="shared" si="12"/>
        <v>#REF!</v>
      </c>
      <c r="V22" s="139">
        <f>N22/N$55</f>
        <v>0.60004008038880607</v>
      </c>
    </row>
    <row r="23" spans="1:22" x14ac:dyDescent="0.25">
      <c r="A23">
        <v>22</v>
      </c>
      <c r="B23" s="137">
        <v>43204</v>
      </c>
      <c r="C23" s="137">
        <v>24800</v>
      </c>
      <c r="D23" s="137">
        <v>30562</v>
      </c>
      <c r="E23" s="137">
        <v>19227</v>
      </c>
      <c r="F23" s="137">
        <v>26048</v>
      </c>
      <c r="G23" s="137">
        <v>62703</v>
      </c>
      <c r="H23" s="137">
        <f t="shared" si="3"/>
        <v>1444343</v>
      </c>
      <c r="I23" s="137">
        <f t="shared" si="4"/>
        <v>1408567</v>
      </c>
      <c r="J23" s="137">
        <f t="shared" si="5"/>
        <v>1301684</v>
      </c>
      <c r="K23" s="137">
        <f t="shared" si="6"/>
        <v>1348287</v>
      </c>
      <c r="L23" s="137">
        <f t="shared" si="7"/>
        <v>1482668</v>
      </c>
      <c r="M23" s="137" t="e">
        <f t="shared" si="8"/>
        <v>#REF!</v>
      </c>
      <c r="N23" s="138">
        <f t="shared" si="10"/>
        <v>1397109.8</v>
      </c>
      <c r="P23" s="139">
        <f t="shared" si="12"/>
        <v>0.59055073359730081</v>
      </c>
      <c r="Q23" s="139">
        <f t="shared" si="12"/>
        <v>0.68514633514003609</v>
      </c>
      <c r="R23" s="139">
        <f t="shared" si="12"/>
        <v>0.56871053121370974</v>
      </c>
      <c r="S23" s="139">
        <f t="shared" si="12"/>
        <v>0.65119977821417985</v>
      </c>
      <c r="T23" s="139">
        <f t="shared" si="12"/>
        <v>0.58345971888495285</v>
      </c>
      <c r="U23" s="139" t="e">
        <f t="shared" si="12"/>
        <v>#REF!</v>
      </c>
      <c r="V23" s="139">
        <f>N23/N$55</f>
        <v>0.61265540469133495</v>
      </c>
    </row>
    <row r="24" spans="1:22" x14ac:dyDescent="0.25">
      <c r="A24">
        <v>23</v>
      </c>
      <c r="B24" s="137">
        <v>42616</v>
      </c>
      <c r="C24" s="137">
        <v>18193</v>
      </c>
      <c r="D24" s="137">
        <v>60708</v>
      </c>
      <c r="E24" s="137">
        <v>57872</v>
      </c>
      <c r="F24" s="137">
        <v>19306</v>
      </c>
      <c r="G24" s="137">
        <v>62703</v>
      </c>
      <c r="H24" s="137">
        <f t="shared" si="3"/>
        <v>1486959</v>
      </c>
      <c r="I24" s="137">
        <f t="shared" si="4"/>
        <v>1426760</v>
      </c>
      <c r="J24" s="137">
        <f t="shared" si="5"/>
        <v>1362392</v>
      </c>
      <c r="K24" s="137">
        <f t="shared" si="6"/>
        <v>1406159</v>
      </c>
      <c r="L24" s="137">
        <f t="shared" si="7"/>
        <v>1501974</v>
      </c>
      <c r="M24" s="137" t="e">
        <f t="shared" si="8"/>
        <v>#REF!</v>
      </c>
      <c r="N24" s="138">
        <f t="shared" si="10"/>
        <v>1436848.8</v>
      </c>
      <c r="P24" s="139">
        <f t="shared" ref="P24:P53" si="13">H24/H$55</f>
        <v>0.60797520275939221</v>
      </c>
      <c r="Q24" s="139">
        <f t="shared" ref="Q24:Q53" si="14">I24/I$55</f>
        <v>0.69399566021665837</v>
      </c>
    </row>
    <row r="25" spans="1:22" x14ac:dyDescent="0.25">
      <c r="A25">
        <v>24</v>
      </c>
      <c r="B25" s="137">
        <v>90129</v>
      </c>
      <c r="C25" s="137">
        <v>21187</v>
      </c>
      <c r="D25" s="137">
        <v>10573</v>
      </c>
      <c r="E25" s="137">
        <v>29714</v>
      </c>
      <c r="F25" s="137">
        <v>24458</v>
      </c>
      <c r="G25" s="137">
        <v>7703</v>
      </c>
      <c r="H25" s="137">
        <f t="shared" si="3"/>
        <v>1577088</v>
      </c>
      <c r="I25" s="137">
        <f t="shared" si="4"/>
        <v>1447947</v>
      </c>
      <c r="J25" s="137">
        <f t="shared" si="5"/>
        <v>1372965</v>
      </c>
      <c r="K25" s="137">
        <f t="shared" si="6"/>
        <v>1435873</v>
      </c>
      <c r="L25" s="137">
        <f t="shared" si="7"/>
        <v>1526432</v>
      </c>
      <c r="M25" s="137" t="e">
        <f t="shared" si="8"/>
        <v>#REF!</v>
      </c>
      <c r="N25" s="138">
        <f t="shared" si="10"/>
        <v>1472061</v>
      </c>
      <c r="P25" s="139">
        <f t="shared" si="13"/>
        <v>0.64482638497053668</v>
      </c>
      <c r="Q25" s="139">
        <f t="shared" si="14"/>
        <v>0.70430130801517421</v>
      </c>
    </row>
    <row r="26" spans="1:22" x14ac:dyDescent="0.25">
      <c r="A26">
        <v>25</v>
      </c>
      <c r="B26" s="137">
        <v>15889</v>
      </c>
      <c r="C26" s="137">
        <v>27045</v>
      </c>
      <c r="D26" s="137">
        <v>10320</v>
      </c>
      <c r="E26" s="137">
        <v>63403</v>
      </c>
      <c r="F26" s="137">
        <v>36479</v>
      </c>
      <c r="G26" s="137">
        <v>115003</v>
      </c>
      <c r="H26" s="137">
        <f t="shared" si="3"/>
        <v>1592977</v>
      </c>
      <c r="I26" s="137">
        <f t="shared" si="4"/>
        <v>1474992</v>
      </c>
      <c r="J26" s="137">
        <f t="shared" si="5"/>
        <v>1383285</v>
      </c>
      <c r="K26" s="137">
        <f t="shared" si="6"/>
        <v>1499276</v>
      </c>
      <c r="L26" s="137">
        <f t="shared" si="7"/>
        <v>1562911</v>
      </c>
      <c r="M26" s="137" t="e">
        <f t="shared" si="8"/>
        <v>#REF!</v>
      </c>
      <c r="N26" s="138">
        <f>AVERAGE(H26:L26)</f>
        <v>1502688.2</v>
      </c>
      <c r="P26" s="139">
        <f t="shared" si="13"/>
        <v>0.65132294472547547</v>
      </c>
      <c r="Q26" s="139">
        <f t="shared" si="14"/>
        <v>0.71745636747195707</v>
      </c>
    </row>
    <row r="27" spans="1:22" x14ac:dyDescent="0.25">
      <c r="A27">
        <v>26</v>
      </c>
      <c r="B27" s="137">
        <v>105428</v>
      </c>
      <c r="C27" s="137">
        <v>27629</v>
      </c>
      <c r="D27" s="137">
        <v>67941</v>
      </c>
      <c r="E27" s="137">
        <v>40373</v>
      </c>
      <c r="F27" s="137">
        <v>49827</v>
      </c>
      <c r="G27" s="137">
        <v>60007</v>
      </c>
      <c r="H27" s="137">
        <f t="shared" si="3"/>
        <v>1698405</v>
      </c>
      <c r="I27" s="137">
        <f t="shared" si="4"/>
        <v>1502621</v>
      </c>
      <c r="J27" s="137">
        <f t="shared" si="5"/>
        <v>1451226</v>
      </c>
      <c r="K27" s="137">
        <f t="shared" si="6"/>
        <v>1539649</v>
      </c>
      <c r="L27" s="137">
        <f t="shared" si="7"/>
        <v>1612738</v>
      </c>
      <c r="M27" s="137" t="e">
        <f t="shared" si="8"/>
        <v>#REF!</v>
      </c>
      <c r="N27" s="138">
        <f>AVERAGE(H27:L27)</f>
        <v>1560927.8</v>
      </c>
      <c r="P27" s="139">
        <f t="shared" si="13"/>
        <v>0.69442945248831034</v>
      </c>
      <c r="Q27" s="139">
        <f t="shared" si="14"/>
        <v>0.73089549254984398</v>
      </c>
    </row>
    <row r="28" spans="1:22" x14ac:dyDescent="0.25">
      <c r="A28">
        <v>27</v>
      </c>
      <c r="B28" s="137">
        <v>37515</v>
      </c>
      <c r="C28" s="137">
        <v>23028</v>
      </c>
      <c r="D28" s="137">
        <v>16077</v>
      </c>
      <c r="E28" s="137">
        <v>28753</v>
      </c>
      <c r="F28" s="137">
        <v>55534</v>
      </c>
      <c r="G28" s="137" t="e">
        <f>#REF!</f>
        <v>#REF!</v>
      </c>
      <c r="H28" s="137">
        <f t="shared" si="3"/>
        <v>1735920</v>
      </c>
      <c r="I28" s="137">
        <f t="shared" si="4"/>
        <v>1525649</v>
      </c>
      <c r="J28" s="137">
        <f t="shared" si="5"/>
        <v>1467303</v>
      </c>
      <c r="K28" s="137">
        <f t="shared" si="6"/>
        <v>1568402</v>
      </c>
      <c r="L28" s="137">
        <f t="shared" si="7"/>
        <v>1668272</v>
      </c>
      <c r="M28" s="137" t="e">
        <f t="shared" si="8"/>
        <v>#REF!</v>
      </c>
      <c r="N28" s="138">
        <f t="shared" ref="N28:N53" si="15">AVERAGE(H28:L28)</f>
        <v>1593109.2</v>
      </c>
      <c r="P28" s="139">
        <f t="shared" si="13"/>
        <v>0.70976826797113035</v>
      </c>
      <c r="Q28" s="139">
        <f t="shared" si="14"/>
        <v>0.74209662803406651</v>
      </c>
    </row>
    <row r="29" spans="1:22" x14ac:dyDescent="0.25">
      <c r="A29">
        <v>28</v>
      </c>
      <c r="B29" s="137">
        <v>71299</v>
      </c>
      <c r="C29" s="137">
        <v>21224</v>
      </c>
      <c r="D29" s="137">
        <v>58482</v>
      </c>
      <c r="E29" s="137">
        <v>12699</v>
      </c>
      <c r="F29" s="137">
        <v>24986</v>
      </c>
      <c r="G29" s="137" t="e">
        <f>#REF!</f>
        <v>#REF!</v>
      </c>
      <c r="H29" s="137">
        <f t="shared" si="3"/>
        <v>1807219</v>
      </c>
      <c r="I29" s="137">
        <f t="shared" si="4"/>
        <v>1546873</v>
      </c>
      <c r="J29" s="137">
        <f t="shared" si="5"/>
        <v>1525785</v>
      </c>
      <c r="K29" s="137">
        <f t="shared" si="6"/>
        <v>1581101</v>
      </c>
      <c r="L29" s="137">
        <f t="shared" si="7"/>
        <v>1693258</v>
      </c>
      <c r="M29" s="137" t="e">
        <f t="shared" si="8"/>
        <v>#REF!</v>
      </c>
      <c r="N29" s="138">
        <f t="shared" si="15"/>
        <v>1630847.2</v>
      </c>
      <c r="P29" s="139">
        <f t="shared" si="13"/>
        <v>0.73892039925487252</v>
      </c>
      <c r="Q29" s="139">
        <f t="shared" si="14"/>
        <v>0.75242027314076865</v>
      </c>
    </row>
    <row r="30" spans="1:22" x14ac:dyDescent="0.25">
      <c r="A30">
        <v>29</v>
      </c>
      <c r="B30" s="137">
        <v>9344</v>
      </c>
      <c r="C30" s="137">
        <v>21397</v>
      </c>
      <c r="D30" s="137">
        <v>11659</v>
      </c>
      <c r="E30" s="137">
        <v>13439</v>
      </c>
      <c r="F30" s="137">
        <v>25914</v>
      </c>
      <c r="G30" s="137" t="e">
        <f>#REF!</f>
        <v>#REF!</v>
      </c>
      <c r="H30" s="137">
        <f t="shared" si="3"/>
        <v>1816563</v>
      </c>
      <c r="I30" s="137">
        <f t="shared" si="4"/>
        <v>1568270</v>
      </c>
      <c r="J30" s="137">
        <f t="shared" si="5"/>
        <v>1537444</v>
      </c>
      <c r="K30" s="137">
        <f t="shared" si="6"/>
        <v>1594540</v>
      </c>
      <c r="L30" s="137">
        <f t="shared" si="7"/>
        <v>1719172</v>
      </c>
      <c r="M30" s="137" t="e">
        <f t="shared" si="8"/>
        <v>#REF!</v>
      </c>
      <c r="N30" s="138">
        <f t="shared" si="15"/>
        <v>1647197.8</v>
      </c>
      <c r="P30" s="139">
        <f t="shared" si="13"/>
        <v>0.74274089483987771</v>
      </c>
      <c r="Q30" s="139">
        <f t="shared" si="14"/>
        <v>0.76282806782358548</v>
      </c>
    </row>
    <row r="31" spans="1:22" x14ac:dyDescent="0.25">
      <c r="A31">
        <v>30</v>
      </c>
      <c r="B31" s="137">
        <v>65034</v>
      </c>
      <c r="C31" s="137">
        <v>24612</v>
      </c>
      <c r="D31" s="137">
        <v>34797</v>
      </c>
      <c r="E31" s="137">
        <v>14842</v>
      </c>
      <c r="F31" s="137">
        <v>30658</v>
      </c>
      <c r="G31" s="137" t="e">
        <f>#REF!</f>
        <v>#REF!</v>
      </c>
      <c r="H31" s="137">
        <f t="shared" si="3"/>
        <v>1881597</v>
      </c>
      <c r="I31" s="137">
        <f t="shared" si="4"/>
        <v>1592882</v>
      </c>
      <c r="J31" s="137">
        <f t="shared" si="5"/>
        <v>1572241</v>
      </c>
      <c r="K31" s="137">
        <f t="shared" si="6"/>
        <v>1609382</v>
      </c>
      <c r="L31" s="137">
        <f t="shared" si="7"/>
        <v>1749830</v>
      </c>
      <c r="M31" s="137" t="e">
        <f t="shared" si="8"/>
        <v>#REF!</v>
      </c>
      <c r="N31" s="138">
        <f t="shared" si="15"/>
        <v>1681186.4</v>
      </c>
      <c r="P31" s="139">
        <f t="shared" si="13"/>
        <v>0.7693314459823466</v>
      </c>
      <c r="Q31" s="139">
        <f t="shared" si="14"/>
        <v>0.77479968266367949</v>
      </c>
    </row>
    <row r="32" spans="1:22" x14ac:dyDescent="0.25">
      <c r="A32">
        <v>31</v>
      </c>
      <c r="B32" s="137">
        <v>38081</v>
      </c>
      <c r="C32" s="137">
        <v>23097</v>
      </c>
      <c r="D32" s="137">
        <v>63343</v>
      </c>
      <c r="E32" s="137">
        <v>21271</v>
      </c>
      <c r="F32" s="137">
        <v>33426</v>
      </c>
      <c r="G32" s="137" t="e">
        <f>#REF!</f>
        <v>#REF!</v>
      </c>
      <c r="H32" s="137">
        <f t="shared" si="3"/>
        <v>1919678</v>
      </c>
      <c r="I32" s="137">
        <f t="shared" si="4"/>
        <v>1615979</v>
      </c>
      <c r="J32" s="137">
        <f t="shared" si="5"/>
        <v>1635584</v>
      </c>
      <c r="K32" s="137">
        <f t="shared" si="6"/>
        <v>1630653</v>
      </c>
      <c r="L32" s="137">
        <f t="shared" si="7"/>
        <v>1783256</v>
      </c>
      <c r="M32" s="137" t="e">
        <f t="shared" si="8"/>
        <v>#REF!</v>
      </c>
      <c r="N32" s="138">
        <f t="shared" si="15"/>
        <v>1717030</v>
      </c>
      <c r="P32" s="139">
        <f t="shared" si="13"/>
        <v>0.78490168275167271</v>
      </c>
      <c r="Q32" s="139">
        <f t="shared" si="14"/>
        <v>0.78603438069560083</v>
      </c>
    </row>
    <row r="33" spans="1:17" x14ac:dyDescent="0.25">
      <c r="A33">
        <v>32</v>
      </c>
      <c r="B33" s="137">
        <v>44228</v>
      </c>
      <c r="C33" s="137">
        <v>23438</v>
      </c>
      <c r="D33" s="137">
        <v>48382</v>
      </c>
      <c r="E33" s="137">
        <v>69709</v>
      </c>
      <c r="F33" s="137">
        <v>28996</v>
      </c>
      <c r="G33" s="137" t="e">
        <f>#REF!</f>
        <v>#REF!</v>
      </c>
      <c r="H33" s="137">
        <f t="shared" si="3"/>
        <v>1963906</v>
      </c>
      <c r="I33" s="137">
        <f t="shared" si="4"/>
        <v>1639417</v>
      </c>
      <c r="J33" s="137">
        <f t="shared" si="5"/>
        <v>1683966</v>
      </c>
      <c r="K33" s="137">
        <f t="shared" si="6"/>
        <v>1700362</v>
      </c>
      <c r="L33" s="137">
        <f t="shared" si="7"/>
        <v>1812252</v>
      </c>
      <c r="M33" s="137" t="e">
        <f t="shared" si="8"/>
        <v>#REF!</v>
      </c>
      <c r="N33" s="138">
        <f t="shared" si="15"/>
        <v>1759980.6</v>
      </c>
      <c r="P33" s="139">
        <f t="shared" si="13"/>
        <v>0.80298525282162247</v>
      </c>
      <c r="Q33" s="139">
        <f t="shared" si="14"/>
        <v>0.79743494581107788</v>
      </c>
    </row>
    <row r="34" spans="1:17" x14ac:dyDescent="0.25">
      <c r="A34">
        <v>33</v>
      </c>
      <c r="B34" s="137">
        <v>0</v>
      </c>
      <c r="C34" s="137">
        <v>0</v>
      </c>
      <c r="D34" s="137">
        <v>0</v>
      </c>
      <c r="E34" s="137">
        <v>15924</v>
      </c>
      <c r="F34" s="137">
        <v>29993</v>
      </c>
      <c r="G34" s="137" t="e">
        <f>#REF!</f>
        <v>#REF!</v>
      </c>
      <c r="H34" s="137">
        <f t="shared" si="3"/>
        <v>1963906</v>
      </c>
      <c r="I34" s="137">
        <f t="shared" si="4"/>
        <v>1639417</v>
      </c>
      <c r="J34" s="137">
        <f t="shared" si="5"/>
        <v>1683966</v>
      </c>
      <c r="K34" s="137">
        <f t="shared" si="6"/>
        <v>1716286</v>
      </c>
      <c r="L34" s="137">
        <f t="shared" si="7"/>
        <v>1842245</v>
      </c>
      <c r="M34" s="137" t="e">
        <f t="shared" si="8"/>
        <v>#REF!</v>
      </c>
      <c r="N34" s="138">
        <f t="shared" si="15"/>
        <v>1769164</v>
      </c>
      <c r="P34" s="139">
        <f t="shared" si="13"/>
        <v>0.80298525282162247</v>
      </c>
      <c r="Q34" s="139">
        <f t="shared" si="14"/>
        <v>0.79743494581107788</v>
      </c>
    </row>
    <row r="35" spans="1:17" x14ac:dyDescent="0.25">
      <c r="A35">
        <v>34</v>
      </c>
      <c r="B35" s="137">
        <v>0</v>
      </c>
      <c r="C35" s="137">
        <v>0</v>
      </c>
      <c r="D35" s="137">
        <v>0</v>
      </c>
      <c r="E35" s="137">
        <v>12825</v>
      </c>
      <c r="F35" s="137">
        <v>25665</v>
      </c>
      <c r="G35" s="137" t="e">
        <f>#REF!</f>
        <v>#REF!</v>
      </c>
      <c r="H35" s="137">
        <f t="shared" ref="H35:H53" si="16">H34+B35</f>
        <v>1963906</v>
      </c>
      <c r="I35" s="137">
        <f t="shared" ref="I35:I53" si="17">I34+C35</f>
        <v>1639417</v>
      </c>
      <c r="J35" s="137">
        <f t="shared" ref="J35:J53" si="18">J34+D35</f>
        <v>1683966</v>
      </c>
      <c r="K35" s="137">
        <f t="shared" ref="K35:K53" si="19">K34+E35</f>
        <v>1729111</v>
      </c>
      <c r="L35" s="137">
        <f t="shared" ref="L35:L53" si="20">L34+F35</f>
        <v>1867910</v>
      </c>
      <c r="M35" s="137" t="e">
        <f t="shared" ref="M35:M53" si="21">M34+G35</f>
        <v>#REF!</v>
      </c>
      <c r="N35" s="138">
        <f t="shared" si="15"/>
        <v>1776862</v>
      </c>
      <c r="P35" s="139">
        <f t="shared" si="13"/>
        <v>0.80298525282162247</v>
      </c>
      <c r="Q35" s="139">
        <f t="shared" si="14"/>
        <v>0.79743494581107788</v>
      </c>
    </row>
    <row r="36" spans="1:17" x14ac:dyDescent="0.25">
      <c r="A36">
        <v>35</v>
      </c>
      <c r="B36" s="137">
        <v>121518</v>
      </c>
      <c r="C36" s="137">
        <v>47004</v>
      </c>
      <c r="D36" s="137">
        <v>67694</v>
      </c>
      <c r="E36" s="137">
        <v>9216</v>
      </c>
      <c r="F36" s="137">
        <v>18681</v>
      </c>
      <c r="G36" s="137" t="e">
        <f>#REF!</f>
        <v>#REF!</v>
      </c>
      <c r="H36" s="137">
        <f t="shared" si="16"/>
        <v>2085424</v>
      </c>
      <c r="I36" s="137">
        <f t="shared" si="17"/>
        <v>1686421</v>
      </c>
      <c r="J36" s="137">
        <f t="shared" si="18"/>
        <v>1751660</v>
      </c>
      <c r="K36" s="137">
        <f t="shared" si="19"/>
        <v>1738327</v>
      </c>
      <c r="L36" s="137">
        <f t="shared" si="20"/>
        <v>1886591</v>
      </c>
      <c r="M36" s="137" t="e">
        <f t="shared" si="21"/>
        <v>#REF!</v>
      </c>
      <c r="N36" s="138">
        <f t="shared" si="15"/>
        <v>1829684.6</v>
      </c>
      <c r="P36" s="139">
        <f t="shared" si="13"/>
        <v>0.85267050351711293</v>
      </c>
      <c r="Q36" s="139">
        <f t="shared" si="14"/>
        <v>0.82029833700008226</v>
      </c>
    </row>
    <row r="37" spans="1:17" x14ac:dyDescent="0.25">
      <c r="A37">
        <v>36</v>
      </c>
      <c r="B37" s="137">
        <v>9702</v>
      </c>
      <c r="C37" s="137">
        <v>7435</v>
      </c>
      <c r="D37" s="137">
        <v>5327</v>
      </c>
      <c r="E37" s="137">
        <v>5488</v>
      </c>
      <c r="F37" s="137">
        <v>11869</v>
      </c>
      <c r="G37" s="137" t="e">
        <f>#REF!</f>
        <v>#REF!</v>
      </c>
      <c r="H37" s="137">
        <f t="shared" si="16"/>
        <v>2095126</v>
      </c>
      <c r="I37" s="137">
        <f t="shared" si="17"/>
        <v>1693856</v>
      </c>
      <c r="J37" s="137">
        <f t="shared" si="18"/>
        <v>1756987</v>
      </c>
      <c r="K37" s="137">
        <f t="shared" si="19"/>
        <v>1743815</v>
      </c>
      <c r="L37" s="137">
        <f t="shared" si="20"/>
        <v>1898460</v>
      </c>
      <c r="M37" s="137" t="e">
        <f t="shared" si="21"/>
        <v>#REF!</v>
      </c>
      <c r="N37" s="138">
        <f t="shared" si="15"/>
        <v>1837648.8</v>
      </c>
      <c r="P37" s="139">
        <f t="shared" si="13"/>
        <v>0.85663737511019089</v>
      </c>
      <c r="Q37" s="139">
        <f t="shared" si="14"/>
        <v>0.8239148231180774</v>
      </c>
    </row>
    <row r="38" spans="1:17" x14ac:dyDescent="0.25">
      <c r="A38">
        <v>37</v>
      </c>
      <c r="B38" s="137">
        <v>41051</v>
      </c>
      <c r="C38" s="137">
        <v>26319</v>
      </c>
      <c r="D38" s="137">
        <v>48957</v>
      </c>
      <c r="E38" s="137">
        <v>17380</v>
      </c>
      <c r="F38" s="137">
        <v>28190</v>
      </c>
      <c r="G38" s="137" t="e">
        <f>#REF!</f>
        <v>#REF!</v>
      </c>
      <c r="H38" s="137">
        <f t="shared" si="16"/>
        <v>2136177</v>
      </c>
      <c r="I38" s="137">
        <f t="shared" si="17"/>
        <v>1720175</v>
      </c>
      <c r="J38" s="137">
        <f t="shared" si="18"/>
        <v>1805944</v>
      </c>
      <c r="K38" s="137">
        <f t="shared" si="19"/>
        <v>1761195</v>
      </c>
      <c r="L38" s="137">
        <f t="shared" si="20"/>
        <v>1926650</v>
      </c>
      <c r="M38" s="137" t="e">
        <f t="shared" si="21"/>
        <v>#REF!</v>
      </c>
      <c r="N38" s="138">
        <f t="shared" si="15"/>
        <v>1870028.2</v>
      </c>
      <c r="P38" s="139">
        <f t="shared" si="13"/>
        <v>0.87342196032637764</v>
      </c>
      <c r="Q38" s="139">
        <f t="shared" si="14"/>
        <v>0.83671674620341918</v>
      </c>
    </row>
    <row r="39" spans="1:17" x14ac:dyDescent="0.25">
      <c r="A39">
        <v>38</v>
      </c>
      <c r="B39" s="137">
        <v>13584</v>
      </c>
      <c r="C39" s="137">
        <v>25178</v>
      </c>
      <c r="D39" s="137">
        <v>20987</v>
      </c>
      <c r="E39" s="137">
        <v>16715</v>
      </c>
      <c r="F39" s="137">
        <v>32029</v>
      </c>
      <c r="G39" s="137" t="e">
        <f>#REF!</f>
        <v>#REF!</v>
      </c>
      <c r="H39" s="137">
        <f t="shared" si="16"/>
        <v>2149761</v>
      </c>
      <c r="I39" s="137">
        <f t="shared" si="17"/>
        <v>1745353</v>
      </c>
      <c r="J39" s="137">
        <f t="shared" si="18"/>
        <v>1826931</v>
      </c>
      <c r="K39" s="137">
        <f t="shared" si="19"/>
        <v>1777910</v>
      </c>
      <c r="L39" s="137">
        <f t="shared" si="20"/>
        <v>1958679</v>
      </c>
      <c r="M39" s="137" t="e">
        <f t="shared" si="21"/>
        <v>#REF!</v>
      </c>
      <c r="N39" s="138">
        <f t="shared" si="15"/>
        <v>1891726.8</v>
      </c>
      <c r="P39" s="139">
        <f t="shared" si="13"/>
        <v>0.87897607120252386</v>
      </c>
      <c r="Q39" s="139">
        <f t="shared" si="14"/>
        <v>0.84896367121739147</v>
      </c>
    </row>
    <row r="40" spans="1:17" x14ac:dyDescent="0.25">
      <c r="A40">
        <v>39</v>
      </c>
      <c r="B40" s="137">
        <v>46614</v>
      </c>
      <c r="C40" s="137">
        <v>24719</v>
      </c>
      <c r="D40" s="137">
        <v>14220</v>
      </c>
      <c r="E40" s="137">
        <v>17371</v>
      </c>
      <c r="F40" s="137">
        <v>36059</v>
      </c>
      <c r="G40" s="137" t="e">
        <f>#REF!</f>
        <v>#REF!</v>
      </c>
      <c r="H40" s="137">
        <f t="shared" si="16"/>
        <v>2196375</v>
      </c>
      <c r="I40" s="137">
        <f t="shared" si="17"/>
        <v>1770072</v>
      </c>
      <c r="J40" s="137">
        <f t="shared" si="18"/>
        <v>1841151</v>
      </c>
      <c r="K40" s="137">
        <f t="shared" si="19"/>
        <v>1795281</v>
      </c>
      <c r="L40" s="137">
        <f t="shared" si="20"/>
        <v>1994738</v>
      </c>
      <c r="M40" s="137" t="e">
        <f t="shared" si="21"/>
        <v>#REF!</v>
      </c>
      <c r="N40" s="138">
        <f t="shared" si="15"/>
        <v>1919523.4</v>
      </c>
      <c r="P40" s="139">
        <f t="shared" si="13"/>
        <v>0.89803520874527143</v>
      </c>
      <c r="Q40" s="139">
        <f t="shared" si="14"/>
        <v>0.86098733232710545</v>
      </c>
    </row>
    <row r="41" spans="1:17" x14ac:dyDescent="0.25">
      <c r="A41">
        <v>40</v>
      </c>
      <c r="B41" s="137">
        <v>9411</v>
      </c>
      <c r="C41" s="137">
        <v>22156</v>
      </c>
      <c r="D41" s="137">
        <v>51593</v>
      </c>
      <c r="E41" s="137">
        <v>51844</v>
      </c>
      <c r="F41" s="137">
        <v>37800</v>
      </c>
      <c r="G41" s="137" t="e">
        <f>#REF!</f>
        <v>#REF!</v>
      </c>
      <c r="H41" s="137">
        <f t="shared" si="16"/>
        <v>2205786</v>
      </c>
      <c r="I41" s="137">
        <f t="shared" si="17"/>
        <v>1792228</v>
      </c>
      <c r="J41" s="137">
        <f t="shared" si="18"/>
        <v>1892744</v>
      </c>
      <c r="K41" s="137">
        <f t="shared" si="19"/>
        <v>1847125</v>
      </c>
      <c r="L41" s="137">
        <f t="shared" si="20"/>
        <v>2032538</v>
      </c>
      <c r="M41" s="137" t="e">
        <f t="shared" si="21"/>
        <v>#REF!</v>
      </c>
      <c r="N41" s="138">
        <f t="shared" si="15"/>
        <v>1954084.2</v>
      </c>
      <c r="P41" s="139">
        <f t="shared" si="13"/>
        <v>0.90188309872284889</v>
      </c>
      <c r="Q41" s="139">
        <f t="shared" si="14"/>
        <v>0.87176431503461072</v>
      </c>
    </row>
    <row r="42" spans="1:17" x14ac:dyDescent="0.25">
      <c r="A42">
        <v>41</v>
      </c>
      <c r="B42" s="137">
        <v>12452</v>
      </c>
      <c r="C42" s="137">
        <v>27735</v>
      </c>
      <c r="D42" s="137">
        <v>29378</v>
      </c>
      <c r="E42" s="137">
        <v>13434</v>
      </c>
      <c r="F42" s="137">
        <v>29616</v>
      </c>
      <c r="G42" s="137" t="e">
        <f>#REF!</f>
        <v>#REF!</v>
      </c>
      <c r="H42" s="137">
        <f t="shared" si="16"/>
        <v>2218238</v>
      </c>
      <c r="I42" s="137">
        <f t="shared" si="17"/>
        <v>1819963</v>
      </c>
      <c r="J42" s="137">
        <f t="shared" si="18"/>
        <v>1922122</v>
      </c>
      <c r="K42" s="137">
        <f t="shared" si="19"/>
        <v>1860559</v>
      </c>
      <c r="L42" s="137">
        <f t="shared" si="20"/>
        <v>2062154</v>
      </c>
      <c r="M42" s="137" t="e">
        <f t="shared" si="21"/>
        <v>#REF!</v>
      </c>
      <c r="N42" s="138">
        <f t="shared" si="15"/>
        <v>1976607.2</v>
      </c>
      <c r="P42" s="139">
        <f t="shared" si="13"/>
        <v>0.906974367025983</v>
      </c>
      <c r="Q42" s="139">
        <f t="shared" si="14"/>
        <v>0.88525499996838308</v>
      </c>
    </row>
    <row r="43" spans="1:17" x14ac:dyDescent="0.25">
      <c r="A43">
        <v>42</v>
      </c>
      <c r="B43" s="137">
        <v>13558</v>
      </c>
      <c r="C43" s="137">
        <v>22109</v>
      </c>
      <c r="D43" s="137">
        <v>39741</v>
      </c>
      <c r="E43" s="137">
        <v>10290</v>
      </c>
      <c r="F43" s="137">
        <v>48535</v>
      </c>
      <c r="G43" s="137" t="e">
        <f>#REF!</f>
        <v>#REF!</v>
      </c>
      <c r="H43" s="137">
        <f t="shared" si="16"/>
        <v>2231796</v>
      </c>
      <c r="I43" s="137">
        <f t="shared" si="17"/>
        <v>1842072</v>
      </c>
      <c r="J43" s="137">
        <f t="shared" si="18"/>
        <v>1961863</v>
      </c>
      <c r="K43" s="137">
        <f t="shared" si="19"/>
        <v>1870849</v>
      </c>
      <c r="L43" s="137">
        <f t="shared" si="20"/>
        <v>2110689</v>
      </c>
      <c r="M43" s="137" t="e">
        <f t="shared" si="21"/>
        <v>#REF!</v>
      </c>
      <c r="N43" s="138">
        <f t="shared" si="15"/>
        <v>2003453.8</v>
      </c>
      <c r="P43" s="139">
        <f t="shared" si="13"/>
        <v>0.9125178472423251</v>
      </c>
      <c r="Q43" s="139">
        <f t="shared" si="14"/>
        <v>0.89600912123035437</v>
      </c>
    </row>
    <row r="44" spans="1:17" x14ac:dyDescent="0.25">
      <c r="A44">
        <v>43</v>
      </c>
      <c r="B44" s="137">
        <v>16123</v>
      </c>
      <c r="C44" s="137">
        <v>19963</v>
      </c>
      <c r="D44" s="137">
        <v>28173</v>
      </c>
      <c r="E44" s="137">
        <v>29405</v>
      </c>
      <c r="F44" s="137">
        <v>64260</v>
      </c>
      <c r="G44" s="137" t="e">
        <f>#REF!</f>
        <v>#REF!</v>
      </c>
      <c r="H44" s="137">
        <f t="shared" si="16"/>
        <v>2247919</v>
      </c>
      <c r="I44" s="137">
        <f t="shared" si="17"/>
        <v>1862035</v>
      </c>
      <c r="J44" s="137">
        <f t="shared" si="18"/>
        <v>1990036</v>
      </c>
      <c r="K44" s="137">
        <f t="shared" si="19"/>
        <v>1900254</v>
      </c>
      <c r="L44" s="137">
        <f t="shared" si="20"/>
        <v>2174949</v>
      </c>
      <c r="M44" s="137" t="e">
        <f t="shared" si="21"/>
        <v>#REF!</v>
      </c>
      <c r="N44" s="138">
        <f t="shared" si="15"/>
        <v>2035038.6</v>
      </c>
      <c r="P44" s="139">
        <f t="shared" si="13"/>
        <v>0.91911008293550134</v>
      </c>
      <c r="Q44" s="139">
        <f t="shared" si="14"/>
        <v>0.90571939861751494</v>
      </c>
    </row>
    <row r="45" spans="1:17" x14ac:dyDescent="0.25">
      <c r="A45">
        <v>44</v>
      </c>
      <c r="B45" s="137">
        <v>49340</v>
      </c>
      <c r="C45" s="137">
        <v>32967</v>
      </c>
      <c r="D45" s="137">
        <v>14286</v>
      </c>
      <c r="E45" s="137">
        <v>43796</v>
      </c>
      <c r="F45" s="137">
        <v>36450</v>
      </c>
      <c r="G45" s="137" t="e">
        <f>#REF!</f>
        <v>#REF!</v>
      </c>
      <c r="H45" s="137">
        <f t="shared" si="16"/>
        <v>2297259</v>
      </c>
      <c r="I45" s="137">
        <f t="shared" si="17"/>
        <v>1895002</v>
      </c>
      <c r="J45" s="137">
        <f t="shared" si="18"/>
        <v>2004322</v>
      </c>
      <c r="K45" s="137">
        <f t="shared" si="19"/>
        <v>1944050</v>
      </c>
      <c r="L45" s="137">
        <f t="shared" si="20"/>
        <v>2211399</v>
      </c>
      <c r="M45" s="137" t="e">
        <f t="shared" si="21"/>
        <v>#REF!</v>
      </c>
      <c r="N45" s="138">
        <f t="shared" si="15"/>
        <v>2070406.4</v>
      </c>
      <c r="P45" s="139">
        <f t="shared" si="13"/>
        <v>0.93928380427156266</v>
      </c>
      <c r="Q45" s="139">
        <f t="shared" si="14"/>
        <v>0.92175500021158996</v>
      </c>
    </row>
    <row r="46" spans="1:17" x14ac:dyDescent="0.25">
      <c r="A46">
        <v>45</v>
      </c>
      <c r="B46" s="137">
        <v>12141</v>
      </c>
      <c r="C46" s="137">
        <v>20140</v>
      </c>
      <c r="D46" s="137">
        <v>13766</v>
      </c>
      <c r="E46" s="137">
        <v>13596</v>
      </c>
      <c r="F46" s="137">
        <v>33237</v>
      </c>
      <c r="G46" s="137" t="e">
        <f>#REF!</f>
        <v>#REF!</v>
      </c>
      <c r="H46" s="137">
        <f t="shared" si="16"/>
        <v>2309400</v>
      </c>
      <c r="I46" s="137">
        <f t="shared" si="17"/>
        <v>1915142</v>
      </c>
      <c r="J46" s="137">
        <f t="shared" si="18"/>
        <v>2018088</v>
      </c>
      <c r="K46" s="137">
        <f t="shared" si="19"/>
        <v>1957646</v>
      </c>
      <c r="L46" s="137">
        <f t="shared" si="20"/>
        <v>2244636</v>
      </c>
      <c r="M46" s="137" t="e">
        <f t="shared" si="21"/>
        <v>#REF!</v>
      </c>
      <c r="N46" s="138">
        <f t="shared" si="15"/>
        <v>2088982.4</v>
      </c>
      <c r="P46" s="139">
        <f t="shared" si="13"/>
        <v>0.94424791352857762</v>
      </c>
      <c r="Q46" s="139">
        <f t="shared" si="14"/>
        <v>0.93155137282980427</v>
      </c>
    </row>
    <row r="47" spans="1:17" x14ac:dyDescent="0.25">
      <c r="A47">
        <v>46</v>
      </c>
      <c r="B47" s="137">
        <v>8571</v>
      </c>
      <c r="C47" s="137">
        <v>26106</v>
      </c>
      <c r="D47" s="137">
        <v>27679</v>
      </c>
      <c r="E47" s="137">
        <v>16059</v>
      </c>
      <c r="F47" s="137">
        <v>35051</v>
      </c>
      <c r="G47" s="137" t="e">
        <f>#REF!</f>
        <v>#REF!</v>
      </c>
      <c r="H47" s="137">
        <f t="shared" si="16"/>
        <v>2317971</v>
      </c>
      <c r="I47" s="137">
        <f t="shared" si="17"/>
        <v>1941248</v>
      </c>
      <c r="J47" s="137">
        <f t="shared" si="18"/>
        <v>2045767</v>
      </c>
      <c r="K47" s="137">
        <f t="shared" si="19"/>
        <v>1973705</v>
      </c>
      <c r="L47" s="137">
        <f t="shared" si="20"/>
        <v>2279687</v>
      </c>
      <c r="M47" s="137" t="e">
        <f t="shared" si="21"/>
        <v>#REF!</v>
      </c>
      <c r="N47" s="138">
        <f t="shared" si="15"/>
        <v>2111675.6</v>
      </c>
      <c r="P47" s="139">
        <f t="shared" si="13"/>
        <v>0.94775235142017433</v>
      </c>
      <c r="Q47" s="139">
        <f t="shared" si="14"/>
        <v>0.94424968978964063</v>
      </c>
    </row>
    <row r="48" spans="1:17" x14ac:dyDescent="0.25">
      <c r="A48">
        <v>47</v>
      </c>
      <c r="B48" s="137">
        <v>21048</v>
      </c>
      <c r="C48" s="137">
        <v>20407</v>
      </c>
      <c r="D48" s="137">
        <v>29265</v>
      </c>
      <c r="E48" s="137">
        <v>13841</v>
      </c>
      <c r="F48" s="137">
        <v>31043</v>
      </c>
      <c r="G48" s="137" t="e">
        <f>#REF!</f>
        <v>#REF!</v>
      </c>
      <c r="H48" s="137">
        <f t="shared" si="16"/>
        <v>2339019</v>
      </c>
      <c r="I48" s="137">
        <f t="shared" si="17"/>
        <v>1961655</v>
      </c>
      <c r="J48" s="137">
        <f t="shared" si="18"/>
        <v>2075032</v>
      </c>
      <c r="K48" s="137">
        <f t="shared" si="19"/>
        <v>1987546</v>
      </c>
      <c r="L48" s="137">
        <f t="shared" si="20"/>
        <v>2310730</v>
      </c>
      <c r="M48" s="137" t="e">
        <f t="shared" si="21"/>
        <v>#REF!</v>
      </c>
      <c r="N48" s="138">
        <f t="shared" si="15"/>
        <v>2134796.4</v>
      </c>
      <c r="P48" s="139">
        <f t="shared" si="13"/>
        <v>0.95635827940317841</v>
      </c>
      <c r="Q48" s="139">
        <f t="shared" si="14"/>
        <v>0.95417593487503793</v>
      </c>
    </row>
    <row r="49" spans="1:17" x14ac:dyDescent="0.25">
      <c r="A49">
        <v>48</v>
      </c>
      <c r="B49" s="137">
        <v>36730</v>
      </c>
      <c r="C49" s="137">
        <v>20198</v>
      </c>
      <c r="D49" s="137">
        <v>14531</v>
      </c>
      <c r="E49" s="137">
        <v>13263</v>
      </c>
      <c r="F49" s="137">
        <v>33992</v>
      </c>
      <c r="G49" s="137" t="e">
        <f>#REF!</f>
        <v>#REF!</v>
      </c>
      <c r="H49" s="137">
        <f t="shared" si="16"/>
        <v>2375749</v>
      </c>
      <c r="I49" s="137">
        <f t="shared" si="17"/>
        <v>1981853</v>
      </c>
      <c r="J49" s="137">
        <f t="shared" si="18"/>
        <v>2089563</v>
      </c>
      <c r="K49" s="137">
        <f t="shared" si="19"/>
        <v>2000809</v>
      </c>
      <c r="L49" s="137">
        <f t="shared" si="20"/>
        <v>2344722</v>
      </c>
      <c r="M49" s="137" t="e">
        <f t="shared" si="21"/>
        <v>#REF!</v>
      </c>
      <c r="N49" s="138">
        <f t="shared" si="15"/>
        <v>2158539.2000000002</v>
      </c>
      <c r="P49" s="139">
        <f t="shared" si="13"/>
        <v>0.9713761307342188</v>
      </c>
      <c r="Q49" s="139">
        <f t="shared" si="14"/>
        <v>0.96400051948986876</v>
      </c>
    </row>
    <row r="50" spans="1:17" x14ac:dyDescent="0.25">
      <c r="A50">
        <v>49</v>
      </c>
      <c r="B50" s="137">
        <v>8547</v>
      </c>
      <c r="C50" s="137">
        <v>17540</v>
      </c>
      <c r="D50" s="137">
        <v>56594</v>
      </c>
      <c r="E50" s="137">
        <v>18343</v>
      </c>
      <c r="F50" s="137">
        <v>30756</v>
      </c>
      <c r="G50" s="137" t="e">
        <f>#REF!</f>
        <v>#REF!</v>
      </c>
      <c r="H50" s="137">
        <f t="shared" si="16"/>
        <v>2384296</v>
      </c>
      <c r="I50" s="137">
        <f t="shared" si="17"/>
        <v>1999393</v>
      </c>
      <c r="J50" s="137">
        <f t="shared" si="18"/>
        <v>2146157</v>
      </c>
      <c r="K50" s="137">
        <f t="shared" si="19"/>
        <v>2019152</v>
      </c>
      <c r="L50" s="137">
        <f t="shared" si="20"/>
        <v>2375478</v>
      </c>
      <c r="M50" s="137" t="e">
        <f t="shared" si="21"/>
        <v>#REF!</v>
      </c>
      <c r="N50" s="138">
        <f t="shared" si="15"/>
        <v>2184895.2000000002</v>
      </c>
      <c r="P50" s="139">
        <f t="shared" si="13"/>
        <v>0.97487075570907322</v>
      </c>
      <c r="Q50" s="139">
        <f t="shared" si="14"/>
        <v>0.97253221639768794</v>
      </c>
    </row>
    <row r="51" spans="1:17" x14ac:dyDescent="0.25">
      <c r="A51">
        <v>50</v>
      </c>
      <c r="B51" s="137">
        <v>7370</v>
      </c>
      <c r="C51" s="137">
        <v>17653</v>
      </c>
      <c r="D51" s="137">
        <v>18943</v>
      </c>
      <c r="E51" s="137">
        <v>14877</v>
      </c>
      <c r="F51" s="137">
        <v>47830</v>
      </c>
      <c r="G51" s="137" t="e">
        <f>#REF!</f>
        <v>#REF!</v>
      </c>
      <c r="H51" s="137">
        <f t="shared" si="16"/>
        <v>2391666</v>
      </c>
      <c r="I51" s="137">
        <f t="shared" si="17"/>
        <v>2017046</v>
      </c>
      <c r="J51" s="137">
        <f t="shared" si="18"/>
        <v>2165100</v>
      </c>
      <c r="K51" s="137">
        <f t="shared" si="19"/>
        <v>2034029</v>
      </c>
      <c r="L51" s="137">
        <f t="shared" si="20"/>
        <v>2423308</v>
      </c>
      <c r="M51" s="137" t="e">
        <f t="shared" si="21"/>
        <v>#REF!</v>
      </c>
      <c r="N51" s="138">
        <f t="shared" si="15"/>
        <v>2206229.7999999998</v>
      </c>
      <c r="P51" s="139">
        <f t="shared" si="13"/>
        <v>0.97788413889202352</v>
      </c>
      <c r="Q51" s="139">
        <f t="shared" si="14"/>
        <v>0.98111887805753595</v>
      </c>
    </row>
    <row r="52" spans="1:17" x14ac:dyDescent="0.25">
      <c r="A52">
        <v>51</v>
      </c>
      <c r="B52" s="137">
        <v>9448</v>
      </c>
      <c r="C52" s="137">
        <v>13877</v>
      </c>
      <c r="D52" s="137">
        <v>14289</v>
      </c>
      <c r="E52" s="137">
        <v>11637</v>
      </c>
      <c r="F52" s="137">
        <v>25932</v>
      </c>
      <c r="G52" s="137" t="e">
        <f>#REF!</f>
        <v>#REF!</v>
      </c>
      <c r="H52" s="137">
        <f t="shared" si="16"/>
        <v>2401114</v>
      </c>
      <c r="I52" s="137">
        <f t="shared" si="17"/>
        <v>2030923</v>
      </c>
      <c r="J52" s="137">
        <f t="shared" si="18"/>
        <v>2179389</v>
      </c>
      <c r="K52" s="137">
        <f t="shared" si="19"/>
        <v>2045666</v>
      </c>
      <c r="L52" s="137">
        <f t="shared" si="20"/>
        <v>2449240</v>
      </c>
      <c r="M52" s="137" t="e">
        <f t="shared" si="21"/>
        <v>#REF!</v>
      </c>
      <c r="N52" s="138">
        <f t="shared" si="15"/>
        <v>2221266.4</v>
      </c>
      <c r="P52" s="139">
        <f t="shared" si="13"/>
        <v>0.98174715711624549</v>
      </c>
      <c r="Q52" s="139">
        <f t="shared" si="14"/>
        <v>0.98786884145490239</v>
      </c>
    </row>
    <row r="53" spans="1:17" x14ac:dyDescent="0.25">
      <c r="A53">
        <v>52</v>
      </c>
      <c r="B53" s="137">
        <v>44642</v>
      </c>
      <c r="C53" s="137">
        <v>24940</v>
      </c>
      <c r="D53" s="137">
        <v>109445</v>
      </c>
      <c r="E53" s="137">
        <v>24800</v>
      </c>
      <c r="F53" s="137">
        <v>45980</v>
      </c>
      <c r="G53" s="137" t="e">
        <f>#REF!</f>
        <v>#REF!</v>
      </c>
      <c r="H53" s="137">
        <f t="shared" si="16"/>
        <v>2445756</v>
      </c>
      <c r="I53" s="137">
        <f t="shared" si="17"/>
        <v>2055863</v>
      </c>
      <c r="J53" s="137">
        <f t="shared" si="18"/>
        <v>2288834</v>
      </c>
      <c r="K53" s="137">
        <f t="shared" si="19"/>
        <v>2070466</v>
      </c>
      <c r="L53" s="137">
        <f t="shared" si="20"/>
        <v>2495220</v>
      </c>
      <c r="M53" s="137" t="e">
        <f t="shared" si="21"/>
        <v>#REF!</v>
      </c>
      <c r="N53" s="138">
        <f t="shared" si="15"/>
        <v>2271227.7999999998</v>
      </c>
      <c r="P53" s="139">
        <f t="shared" si="13"/>
        <v>1</v>
      </c>
      <c r="Q53" s="139">
        <f t="shared" si="14"/>
        <v>1</v>
      </c>
    </row>
    <row r="54" spans="1:17" x14ac:dyDescent="0.25">
      <c r="B54" s="137"/>
      <c r="C54" s="137"/>
      <c r="D54" s="137"/>
      <c r="E54" s="137"/>
      <c r="F54" s="137">
        <v>45946</v>
      </c>
      <c r="G54" s="137" t="e">
        <f>#REF!</f>
        <v>#REF!</v>
      </c>
    </row>
    <row r="55" spans="1:17" x14ac:dyDescent="0.25">
      <c r="B55" s="138">
        <f>SUM(B2:B54)</f>
        <v>2445756</v>
      </c>
      <c r="C55" s="138">
        <f>SUM(C2:C54)</f>
        <v>2055863</v>
      </c>
      <c r="D55" s="138">
        <f>SUM(D2:D54)</f>
        <v>2288834</v>
      </c>
      <c r="E55" s="138">
        <f>SUM(E2:E54)</f>
        <v>2070466</v>
      </c>
      <c r="F55" s="138">
        <f>SUM(F2:F54)</f>
        <v>2541166</v>
      </c>
      <c r="H55" s="137">
        <v>2445756</v>
      </c>
      <c r="I55" s="137">
        <v>2055863</v>
      </c>
      <c r="J55" s="137">
        <v>2288834</v>
      </c>
      <c r="K55" s="137">
        <v>2070466</v>
      </c>
      <c r="L55" s="137">
        <v>2541166</v>
      </c>
      <c r="M55" s="137">
        <v>2500000</v>
      </c>
      <c r="N55" s="137">
        <f>AVERAGE(H55:L55)</f>
        <v>2280417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6"/>
  <sheetViews>
    <sheetView zoomScale="93" zoomScaleNormal="93" workbookViewId="0">
      <selection activeCell="A7" sqref="A7:K65"/>
    </sheetView>
  </sheetViews>
  <sheetFormatPr defaultRowHeight="13.2" x14ac:dyDescent="0.25"/>
  <cols>
    <col min="1" max="1" width="19.6640625" customWidth="1"/>
    <col min="2" max="2" width="28.33203125" customWidth="1"/>
    <col min="3" max="3" width="14.44140625" customWidth="1"/>
    <col min="4" max="4" width="15.33203125" customWidth="1"/>
    <col min="5" max="5" width="13.5546875" customWidth="1"/>
    <col min="6" max="6" width="14.44140625" customWidth="1"/>
  </cols>
  <sheetData>
    <row r="1" spans="1:2" s="54" customFormat="1" ht="15.6" x14ac:dyDescent="0.3">
      <c r="A1" s="53" t="s">
        <v>171</v>
      </c>
    </row>
    <row r="2" spans="1:2" s="54" customFormat="1" ht="15.6" x14ac:dyDescent="0.3">
      <c r="A2" s="53" t="s">
        <v>172</v>
      </c>
    </row>
    <row r="3" spans="1:2" s="54" customFormat="1" ht="15" x14ac:dyDescent="0.25"/>
    <row r="4" spans="1:2" s="54" customFormat="1" ht="15" x14ac:dyDescent="0.25">
      <c r="A4" s="98" t="s">
        <v>173</v>
      </c>
      <c r="B4" s="75" t="e">
        <f>#REF!</f>
        <v>#REF!</v>
      </c>
    </row>
    <row r="5" spans="1:2" s="54" customFormat="1" ht="15" x14ac:dyDescent="0.25">
      <c r="A5" s="98" t="s">
        <v>174</v>
      </c>
      <c r="B5" s="55" t="e">
        <f>B4</f>
        <v>#REF!</v>
      </c>
    </row>
    <row r="6" spans="1:2" s="54" customFormat="1" ht="15" x14ac:dyDescent="0.25">
      <c r="A6" s="98"/>
      <c r="B6" s="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65"/>
  <sheetViews>
    <sheetView topLeftCell="A35" zoomScale="91" zoomScaleNormal="91" workbookViewId="0">
      <selection activeCell="A7" sqref="A7:K65"/>
    </sheetView>
  </sheetViews>
  <sheetFormatPr defaultRowHeight="13.2" x14ac:dyDescent="0.25"/>
  <cols>
    <col min="1" max="1" width="16.5546875" customWidth="1"/>
    <col min="2" max="2" width="27" customWidth="1"/>
    <col min="3" max="3" width="16.33203125" customWidth="1"/>
    <col min="4" max="4" width="14" customWidth="1"/>
    <col min="5" max="5" width="20.109375" customWidth="1"/>
    <col min="6" max="6" width="9.6640625" bestFit="1" customWidth="1"/>
    <col min="7" max="8" width="11.109375" bestFit="1" customWidth="1"/>
  </cols>
  <sheetData>
    <row r="1" spans="1:8" s="54" customFormat="1" ht="15.6" x14ac:dyDescent="0.3">
      <c r="A1" s="53" t="s">
        <v>175</v>
      </c>
    </row>
    <row r="2" spans="1:8" s="54" customFormat="1" ht="15.6" x14ac:dyDescent="0.3">
      <c r="A2" s="53" t="s">
        <v>172</v>
      </c>
    </row>
    <row r="3" spans="1:8" s="54" customFormat="1" ht="15" x14ac:dyDescent="0.25"/>
    <row r="4" spans="1:8" s="54" customFormat="1" ht="15" x14ac:dyDescent="0.25">
      <c r="A4" s="98" t="s">
        <v>173</v>
      </c>
      <c r="B4" s="75" t="e">
        <f>#REF!</f>
        <v>#REF!</v>
      </c>
    </row>
    <row r="5" spans="1:8" s="54" customFormat="1" ht="15" x14ac:dyDescent="0.25">
      <c r="A5" s="98" t="s">
        <v>174</v>
      </c>
      <c r="B5" s="55" t="e">
        <f>B4</f>
        <v>#REF!</v>
      </c>
    </row>
    <row r="7" spans="1:8" ht="15.6" x14ac:dyDescent="0.3">
      <c r="A7" s="208" t="s">
        <v>176</v>
      </c>
      <c r="B7" s="209"/>
      <c r="C7" s="209"/>
      <c r="D7" s="209"/>
      <c r="E7" s="209"/>
      <c r="F7" s="209"/>
      <c r="G7" s="209"/>
      <c r="H7" s="210"/>
    </row>
    <row r="8" spans="1:8" ht="15.6" x14ac:dyDescent="0.3">
      <c r="A8" s="208" t="s">
        <v>177</v>
      </c>
      <c r="B8" s="209"/>
      <c r="C8" s="209"/>
      <c r="D8" s="209"/>
      <c r="E8" s="209"/>
      <c r="F8" s="209"/>
      <c r="G8" s="209"/>
      <c r="H8" s="210"/>
    </row>
    <row r="9" spans="1:8" x14ac:dyDescent="0.25">
      <c r="A9" s="211" t="s">
        <v>178</v>
      </c>
      <c r="B9" s="212"/>
      <c r="C9" s="212"/>
      <c r="D9" s="212"/>
      <c r="E9" s="212"/>
      <c r="F9" s="212"/>
      <c r="G9" s="212"/>
      <c r="H9" s="213"/>
    </row>
    <row r="10" spans="1:8" x14ac:dyDescent="0.25">
      <c r="A10" s="107"/>
      <c r="B10" s="107" t="s">
        <v>179</v>
      </c>
      <c r="C10" s="107" t="s">
        <v>180</v>
      </c>
      <c r="D10" s="107" t="s">
        <v>181</v>
      </c>
      <c r="E10" s="107" t="s">
        <v>182</v>
      </c>
      <c r="F10" s="107" t="s">
        <v>183</v>
      </c>
      <c r="G10" s="107" t="s">
        <v>184</v>
      </c>
      <c r="H10" s="107" t="s">
        <v>184</v>
      </c>
    </row>
    <row r="11" spans="1:8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9">
        <f t="shared" ref="G11:G62" si="0">SUM(C11:F11)</f>
        <v>0</v>
      </c>
      <c r="H11" s="109">
        <f>G11</f>
        <v>0</v>
      </c>
    </row>
    <row r="12" spans="1:8" x14ac:dyDescent="0.25">
      <c r="A12" s="106">
        <v>2</v>
      </c>
      <c r="B12" s="106" t="s">
        <v>186</v>
      </c>
      <c r="C12" s="108">
        <v>87</v>
      </c>
      <c r="D12" s="108">
        <v>0</v>
      </c>
      <c r="E12" s="108">
        <v>0</v>
      </c>
      <c r="F12" s="108">
        <v>0</v>
      </c>
      <c r="G12" s="109">
        <f t="shared" si="0"/>
        <v>87</v>
      </c>
      <c r="H12" s="109">
        <f t="shared" ref="H12:H62" si="1">G12+H11</f>
        <v>87</v>
      </c>
    </row>
    <row r="13" spans="1:8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9">
        <f t="shared" si="0"/>
        <v>0</v>
      </c>
      <c r="H13" s="109">
        <f t="shared" si="1"/>
        <v>87</v>
      </c>
    </row>
    <row r="14" spans="1:8" x14ac:dyDescent="0.25">
      <c r="A14" s="106">
        <v>4</v>
      </c>
      <c r="B14" s="106" t="s">
        <v>188</v>
      </c>
      <c r="C14" s="108">
        <v>392</v>
      </c>
      <c r="D14" s="108">
        <v>0</v>
      </c>
      <c r="E14" s="108">
        <v>0</v>
      </c>
      <c r="F14" s="108">
        <v>0</v>
      </c>
      <c r="G14" s="109">
        <f t="shared" si="0"/>
        <v>392</v>
      </c>
      <c r="H14" s="109">
        <f t="shared" si="1"/>
        <v>479</v>
      </c>
    </row>
    <row r="15" spans="1:8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0</v>
      </c>
      <c r="F15" s="108">
        <v>0</v>
      </c>
      <c r="G15" s="109">
        <f t="shared" si="0"/>
        <v>0</v>
      </c>
      <c r="H15" s="109">
        <f t="shared" si="1"/>
        <v>479</v>
      </c>
    </row>
    <row r="16" spans="1:8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0</v>
      </c>
      <c r="F16" s="108">
        <v>0</v>
      </c>
      <c r="G16" s="109">
        <f t="shared" si="0"/>
        <v>0</v>
      </c>
      <c r="H16" s="109">
        <f t="shared" si="1"/>
        <v>479</v>
      </c>
    </row>
    <row r="17" spans="1:8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0</v>
      </c>
      <c r="F17" s="108">
        <v>0</v>
      </c>
      <c r="G17" s="109">
        <f t="shared" si="0"/>
        <v>0</v>
      </c>
      <c r="H17" s="109">
        <f t="shared" si="1"/>
        <v>479</v>
      </c>
    </row>
    <row r="18" spans="1:8" x14ac:dyDescent="0.25">
      <c r="A18" s="106">
        <v>8</v>
      </c>
      <c r="B18" s="106" t="s">
        <v>192</v>
      </c>
      <c r="C18" s="108">
        <v>131</v>
      </c>
      <c r="D18" s="108">
        <v>0</v>
      </c>
      <c r="E18" s="108">
        <v>0</v>
      </c>
      <c r="F18" s="108">
        <v>0</v>
      </c>
      <c r="G18" s="109">
        <f t="shared" si="0"/>
        <v>131</v>
      </c>
      <c r="H18" s="109">
        <f t="shared" si="1"/>
        <v>610</v>
      </c>
    </row>
    <row r="19" spans="1:8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9">
        <f t="shared" si="0"/>
        <v>0</v>
      </c>
      <c r="H19" s="109">
        <f t="shared" si="1"/>
        <v>610</v>
      </c>
    </row>
    <row r="20" spans="1:8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610</v>
      </c>
    </row>
    <row r="21" spans="1:8" x14ac:dyDescent="0.25">
      <c r="A21" s="106">
        <v>11</v>
      </c>
      <c r="B21" s="106" t="s">
        <v>195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610</v>
      </c>
    </row>
    <row r="22" spans="1:8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610</v>
      </c>
    </row>
    <row r="23" spans="1:8" x14ac:dyDescent="0.25">
      <c r="A23" s="106">
        <v>13</v>
      </c>
      <c r="B23" s="106" t="s">
        <v>197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610</v>
      </c>
    </row>
    <row r="24" spans="1:8" x14ac:dyDescent="0.25">
      <c r="A24" s="106">
        <v>14</v>
      </c>
      <c r="B24" s="106" t="s">
        <v>198</v>
      </c>
      <c r="C24" s="108">
        <v>0</v>
      </c>
      <c r="D24" s="108">
        <v>0</v>
      </c>
      <c r="E24" s="108">
        <v>0</v>
      </c>
      <c r="F24" s="108">
        <v>0</v>
      </c>
      <c r="G24" s="109">
        <f t="shared" si="0"/>
        <v>0</v>
      </c>
      <c r="H24" s="109">
        <f t="shared" si="1"/>
        <v>610</v>
      </c>
    </row>
    <row r="25" spans="1:8" x14ac:dyDescent="0.25">
      <c r="A25" s="106">
        <v>15</v>
      </c>
      <c r="B25" s="106" t="s">
        <v>199</v>
      </c>
      <c r="C25" s="108">
        <v>260</v>
      </c>
      <c r="D25" s="108">
        <v>0</v>
      </c>
      <c r="E25" s="108">
        <v>0</v>
      </c>
      <c r="F25" s="108">
        <v>0</v>
      </c>
      <c r="G25" s="109">
        <f t="shared" si="0"/>
        <v>260</v>
      </c>
      <c r="H25" s="109">
        <f t="shared" si="1"/>
        <v>870</v>
      </c>
    </row>
    <row r="26" spans="1:8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9">
        <f t="shared" si="0"/>
        <v>0</v>
      </c>
      <c r="H26" s="109">
        <f t="shared" si="1"/>
        <v>870</v>
      </c>
    </row>
    <row r="27" spans="1:8" x14ac:dyDescent="0.25">
      <c r="A27" s="106">
        <v>17</v>
      </c>
      <c r="B27" s="106" t="s">
        <v>201</v>
      </c>
      <c r="C27" s="108">
        <v>0</v>
      </c>
      <c r="D27" s="108">
        <v>0</v>
      </c>
      <c r="E27" s="108">
        <v>0</v>
      </c>
      <c r="F27" s="108">
        <v>0</v>
      </c>
      <c r="G27" s="109">
        <f t="shared" si="0"/>
        <v>0</v>
      </c>
      <c r="H27" s="109">
        <f t="shared" si="1"/>
        <v>870</v>
      </c>
    </row>
    <row r="28" spans="1:8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9">
        <f t="shared" si="0"/>
        <v>0</v>
      </c>
      <c r="H28" s="109">
        <f t="shared" si="1"/>
        <v>870</v>
      </c>
    </row>
    <row r="29" spans="1:8" x14ac:dyDescent="0.25">
      <c r="A29" s="106">
        <v>19</v>
      </c>
      <c r="B29" s="106" t="s">
        <v>203</v>
      </c>
      <c r="C29" s="108">
        <v>143</v>
      </c>
      <c r="D29" s="108">
        <v>0</v>
      </c>
      <c r="E29" s="108">
        <v>0</v>
      </c>
      <c r="F29" s="108">
        <v>0</v>
      </c>
      <c r="G29" s="109">
        <f t="shared" si="0"/>
        <v>143</v>
      </c>
      <c r="H29" s="109">
        <f t="shared" si="1"/>
        <v>1013</v>
      </c>
    </row>
    <row r="30" spans="1:8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9">
        <f t="shared" si="0"/>
        <v>0</v>
      </c>
      <c r="H30" s="109">
        <f t="shared" si="1"/>
        <v>1013</v>
      </c>
    </row>
    <row r="31" spans="1:8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9">
        <f t="shared" si="0"/>
        <v>0</v>
      </c>
      <c r="H31" s="109">
        <f t="shared" si="1"/>
        <v>1013</v>
      </c>
    </row>
    <row r="32" spans="1:8" x14ac:dyDescent="0.25">
      <c r="A32" s="106">
        <v>22</v>
      </c>
      <c r="B32" s="106" t="s">
        <v>206</v>
      </c>
      <c r="C32" s="108">
        <v>111</v>
      </c>
      <c r="D32" s="108">
        <v>0</v>
      </c>
      <c r="E32" s="108">
        <v>0</v>
      </c>
      <c r="F32" s="108">
        <v>0</v>
      </c>
      <c r="G32" s="109">
        <f t="shared" si="0"/>
        <v>111</v>
      </c>
      <c r="H32" s="109">
        <f t="shared" si="1"/>
        <v>1124</v>
      </c>
    </row>
    <row r="33" spans="1:8" x14ac:dyDescent="0.25">
      <c r="A33" s="106">
        <v>23</v>
      </c>
      <c r="B33" s="106" t="s">
        <v>207</v>
      </c>
      <c r="C33" s="108">
        <v>0</v>
      </c>
      <c r="D33" s="108">
        <v>0</v>
      </c>
      <c r="E33" s="108">
        <v>0</v>
      </c>
      <c r="F33" s="108">
        <v>0</v>
      </c>
      <c r="G33" s="109">
        <f t="shared" si="0"/>
        <v>0</v>
      </c>
      <c r="H33" s="109">
        <f t="shared" si="1"/>
        <v>1124</v>
      </c>
    </row>
    <row r="34" spans="1:8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9">
        <f t="shared" si="0"/>
        <v>0</v>
      </c>
      <c r="H34" s="109">
        <f t="shared" si="1"/>
        <v>1124</v>
      </c>
    </row>
    <row r="35" spans="1:8" x14ac:dyDescent="0.25">
      <c r="A35" s="106">
        <v>25</v>
      </c>
      <c r="B35" s="106" t="s">
        <v>209</v>
      </c>
      <c r="C35" s="108">
        <v>1022</v>
      </c>
      <c r="D35" s="108">
        <v>8294</v>
      </c>
      <c r="E35" s="108">
        <v>0</v>
      </c>
      <c r="F35" s="108">
        <v>0</v>
      </c>
      <c r="G35" s="109">
        <f t="shared" si="0"/>
        <v>9316</v>
      </c>
      <c r="H35" s="109">
        <f t="shared" si="1"/>
        <v>10440</v>
      </c>
    </row>
    <row r="36" spans="1:8" x14ac:dyDescent="0.25">
      <c r="A36" s="106">
        <v>26</v>
      </c>
      <c r="B36" s="106" t="s">
        <v>210</v>
      </c>
      <c r="C36" s="108">
        <v>0</v>
      </c>
      <c r="D36" s="108">
        <v>0</v>
      </c>
      <c r="E36" s="108">
        <v>0</v>
      </c>
      <c r="F36" s="108">
        <v>0</v>
      </c>
      <c r="G36" s="109">
        <f t="shared" si="0"/>
        <v>0</v>
      </c>
      <c r="H36" s="109">
        <f t="shared" si="1"/>
        <v>10440</v>
      </c>
    </row>
    <row r="37" spans="1:8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10440</v>
      </c>
    </row>
    <row r="38" spans="1:8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9">
        <f t="shared" si="0"/>
        <v>0</v>
      </c>
      <c r="H38" s="109">
        <f t="shared" si="1"/>
        <v>10440</v>
      </c>
    </row>
    <row r="39" spans="1:8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9">
        <f t="shared" si="0"/>
        <v>0</v>
      </c>
      <c r="H39" s="109">
        <f t="shared" si="1"/>
        <v>10440</v>
      </c>
    </row>
    <row r="40" spans="1:8" x14ac:dyDescent="0.25">
      <c r="A40" s="106">
        <v>30</v>
      </c>
      <c r="B40" s="106" t="s">
        <v>214</v>
      </c>
      <c r="C40" s="108">
        <v>0</v>
      </c>
      <c r="D40" s="108">
        <v>0</v>
      </c>
      <c r="E40" s="108">
        <v>0</v>
      </c>
      <c r="F40" s="108">
        <v>0</v>
      </c>
      <c r="G40" s="109">
        <f t="shared" si="0"/>
        <v>0</v>
      </c>
      <c r="H40" s="109">
        <f t="shared" si="1"/>
        <v>10440</v>
      </c>
    </row>
    <row r="41" spans="1:8" x14ac:dyDescent="0.25">
      <c r="A41" s="106">
        <v>31</v>
      </c>
      <c r="B41" s="106" t="s">
        <v>215</v>
      </c>
      <c r="C41" s="108">
        <v>374</v>
      </c>
      <c r="D41" s="108">
        <v>0</v>
      </c>
      <c r="E41" s="108">
        <v>0</v>
      </c>
      <c r="F41" s="108">
        <v>0</v>
      </c>
      <c r="G41" s="109">
        <f t="shared" si="0"/>
        <v>374</v>
      </c>
      <c r="H41" s="109">
        <f t="shared" si="1"/>
        <v>10814</v>
      </c>
    </row>
    <row r="42" spans="1:8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10814</v>
      </c>
    </row>
    <row r="43" spans="1:8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10814</v>
      </c>
    </row>
    <row r="44" spans="1:8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9">
        <f t="shared" si="0"/>
        <v>0</v>
      </c>
      <c r="H44" s="109">
        <f t="shared" si="1"/>
        <v>10814</v>
      </c>
    </row>
    <row r="45" spans="1:8" x14ac:dyDescent="0.25">
      <c r="A45" s="106" t="s">
        <v>219</v>
      </c>
      <c r="B45" s="106" t="s">
        <v>220</v>
      </c>
      <c r="C45" s="108">
        <v>141</v>
      </c>
      <c r="D45" s="108">
        <v>0</v>
      </c>
      <c r="E45" s="108">
        <v>0</v>
      </c>
      <c r="F45" s="108">
        <v>0</v>
      </c>
      <c r="G45" s="109">
        <f t="shared" si="0"/>
        <v>141</v>
      </c>
      <c r="H45" s="109">
        <f t="shared" si="1"/>
        <v>10955</v>
      </c>
    </row>
    <row r="46" spans="1:8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0</v>
      </c>
      <c r="G46" s="109">
        <f t="shared" si="0"/>
        <v>0</v>
      </c>
      <c r="H46" s="109">
        <f t="shared" si="1"/>
        <v>10955</v>
      </c>
    </row>
    <row r="47" spans="1:8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0</v>
      </c>
      <c r="G47" s="109">
        <f t="shared" si="0"/>
        <v>0</v>
      </c>
      <c r="H47" s="109">
        <f t="shared" si="1"/>
        <v>10955</v>
      </c>
    </row>
    <row r="48" spans="1:8" x14ac:dyDescent="0.25">
      <c r="A48" s="106">
        <v>38</v>
      </c>
      <c r="B48" s="106" t="s">
        <v>223</v>
      </c>
      <c r="C48" s="108">
        <v>0</v>
      </c>
      <c r="D48" s="108">
        <v>0</v>
      </c>
      <c r="E48" s="108">
        <v>0</v>
      </c>
      <c r="F48" s="108">
        <v>0</v>
      </c>
      <c r="G48" s="109">
        <f t="shared" si="0"/>
        <v>0</v>
      </c>
      <c r="H48" s="109">
        <f t="shared" si="1"/>
        <v>10955</v>
      </c>
    </row>
    <row r="49" spans="1:8" x14ac:dyDescent="0.25">
      <c r="A49" s="106">
        <v>39</v>
      </c>
      <c r="B49" s="106" t="s">
        <v>224</v>
      </c>
      <c r="C49" s="108">
        <v>0</v>
      </c>
      <c r="D49" s="108">
        <v>0</v>
      </c>
      <c r="E49" s="108">
        <v>0</v>
      </c>
      <c r="F49" s="108">
        <v>0</v>
      </c>
      <c r="G49" s="109">
        <f t="shared" si="0"/>
        <v>0</v>
      </c>
      <c r="H49" s="109">
        <f t="shared" si="1"/>
        <v>10955</v>
      </c>
    </row>
    <row r="50" spans="1:8" x14ac:dyDescent="0.25">
      <c r="A50" s="106">
        <v>40</v>
      </c>
      <c r="B50" s="106" t="s">
        <v>225</v>
      </c>
      <c r="C50" s="108">
        <v>0</v>
      </c>
      <c r="D50" s="108">
        <v>0</v>
      </c>
      <c r="E50" s="108">
        <v>149</v>
      </c>
      <c r="F50" s="108">
        <v>0</v>
      </c>
      <c r="G50" s="109">
        <f t="shared" si="0"/>
        <v>149</v>
      </c>
      <c r="H50" s="109">
        <f t="shared" si="1"/>
        <v>11104</v>
      </c>
    </row>
    <row r="51" spans="1:8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0</v>
      </c>
      <c r="G51" s="109">
        <f t="shared" si="0"/>
        <v>0</v>
      </c>
      <c r="H51" s="109">
        <f t="shared" si="1"/>
        <v>11104</v>
      </c>
    </row>
    <row r="52" spans="1:8" x14ac:dyDescent="0.25">
      <c r="A52" s="106">
        <v>42</v>
      </c>
      <c r="B52" s="106" t="s">
        <v>227</v>
      </c>
      <c r="C52" s="108">
        <v>0</v>
      </c>
      <c r="D52" s="108">
        <v>0</v>
      </c>
      <c r="E52" s="108">
        <v>0</v>
      </c>
      <c r="F52" s="108">
        <v>0</v>
      </c>
      <c r="G52" s="109">
        <f t="shared" si="0"/>
        <v>0</v>
      </c>
      <c r="H52" s="109">
        <f t="shared" si="1"/>
        <v>11104</v>
      </c>
    </row>
    <row r="53" spans="1:8" x14ac:dyDescent="0.25">
      <c r="A53" s="106">
        <v>43</v>
      </c>
      <c r="B53" s="106" t="s">
        <v>228</v>
      </c>
      <c r="C53" s="108">
        <v>0</v>
      </c>
      <c r="D53" s="108">
        <v>0</v>
      </c>
      <c r="E53" s="108">
        <v>0</v>
      </c>
      <c r="F53" s="108">
        <v>0</v>
      </c>
      <c r="G53" s="109">
        <f t="shared" si="0"/>
        <v>0</v>
      </c>
      <c r="H53" s="109">
        <f t="shared" si="1"/>
        <v>11104</v>
      </c>
    </row>
    <row r="54" spans="1:8" x14ac:dyDescent="0.25">
      <c r="A54" s="106">
        <v>44</v>
      </c>
      <c r="B54" s="106" t="s">
        <v>229</v>
      </c>
      <c r="C54" s="108">
        <v>0</v>
      </c>
      <c r="D54" s="108">
        <v>0</v>
      </c>
      <c r="E54" s="108">
        <v>0</v>
      </c>
      <c r="F54" s="108">
        <v>0</v>
      </c>
      <c r="G54" s="109">
        <f t="shared" si="0"/>
        <v>0</v>
      </c>
      <c r="H54" s="109">
        <f t="shared" si="1"/>
        <v>11104</v>
      </c>
    </row>
    <row r="55" spans="1:8" x14ac:dyDescent="0.25">
      <c r="A55" s="106">
        <v>45</v>
      </c>
      <c r="B55" s="106" t="s">
        <v>230</v>
      </c>
      <c r="C55" s="108">
        <v>0</v>
      </c>
      <c r="D55" s="108">
        <v>0</v>
      </c>
      <c r="E55" s="108">
        <v>0</v>
      </c>
      <c r="F55" s="108">
        <v>429</v>
      </c>
      <c r="G55" s="109">
        <f t="shared" si="0"/>
        <v>429</v>
      </c>
      <c r="H55" s="109">
        <f t="shared" si="1"/>
        <v>11533</v>
      </c>
    </row>
    <row r="56" spans="1:8" x14ac:dyDescent="0.25">
      <c r="A56" s="106">
        <v>46</v>
      </c>
      <c r="B56" s="106" t="s">
        <v>231</v>
      </c>
      <c r="C56" s="108">
        <v>0</v>
      </c>
      <c r="D56" s="108">
        <v>0</v>
      </c>
      <c r="E56" s="108">
        <v>0</v>
      </c>
      <c r="F56" s="108">
        <v>0</v>
      </c>
      <c r="G56" s="109">
        <f t="shared" si="0"/>
        <v>0</v>
      </c>
      <c r="H56" s="109">
        <f t="shared" si="1"/>
        <v>11533</v>
      </c>
    </row>
    <row r="57" spans="1:8" x14ac:dyDescent="0.25">
      <c r="A57" s="106">
        <v>47</v>
      </c>
      <c r="B57" s="106" t="s">
        <v>232</v>
      </c>
      <c r="C57" s="108">
        <v>0</v>
      </c>
      <c r="D57" s="108">
        <v>0</v>
      </c>
      <c r="E57" s="108">
        <v>0</v>
      </c>
      <c r="F57" s="108">
        <v>0</v>
      </c>
      <c r="G57" s="109">
        <f t="shared" si="0"/>
        <v>0</v>
      </c>
      <c r="H57" s="109">
        <f t="shared" si="1"/>
        <v>11533</v>
      </c>
    </row>
    <row r="58" spans="1:8" x14ac:dyDescent="0.25">
      <c r="A58" s="106">
        <v>48</v>
      </c>
      <c r="B58" s="106" t="s">
        <v>233</v>
      </c>
      <c r="C58" s="108">
        <v>0</v>
      </c>
      <c r="D58" s="108">
        <v>0</v>
      </c>
      <c r="E58" s="108">
        <v>0</v>
      </c>
      <c r="F58" s="108">
        <v>0</v>
      </c>
      <c r="G58" s="109">
        <f t="shared" si="0"/>
        <v>0</v>
      </c>
      <c r="H58" s="109">
        <f t="shared" si="1"/>
        <v>11533</v>
      </c>
    </row>
    <row r="59" spans="1:8" x14ac:dyDescent="0.25">
      <c r="A59" s="106">
        <v>49</v>
      </c>
      <c r="B59" s="106" t="s">
        <v>234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11533</v>
      </c>
    </row>
    <row r="60" spans="1:8" x14ac:dyDescent="0.25">
      <c r="A60" s="106">
        <v>50</v>
      </c>
      <c r="B60" s="106" t="s">
        <v>235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11533</v>
      </c>
    </row>
    <row r="61" spans="1:8" x14ac:dyDescent="0.25">
      <c r="A61" s="106">
        <v>51</v>
      </c>
      <c r="B61" s="106" t="s">
        <v>236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11533</v>
      </c>
    </row>
    <row r="62" spans="1:8" x14ac:dyDescent="0.25">
      <c r="A62" s="106">
        <v>52</v>
      </c>
      <c r="B62" s="106" t="s">
        <v>237</v>
      </c>
      <c r="C62" s="108">
        <v>0</v>
      </c>
      <c r="D62" s="108">
        <v>0</v>
      </c>
      <c r="E62" s="108">
        <v>0</v>
      </c>
      <c r="F62" s="108">
        <v>0</v>
      </c>
      <c r="G62" s="109">
        <f t="shared" si="0"/>
        <v>0</v>
      </c>
      <c r="H62" s="109">
        <f t="shared" si="1"/>
        <v>11533</v>
      </c>
    </row>
    <row r="63" spans="1:8" x14ac:dyDescent="0.25">
      <c r="A63" s="106" t="s">
        <v>178</v>
      </c>
      <c r="B63" s="106" t="s">
        <v>238</v>
      </c>
      <c r="C63" s="109">
        <f>SUM(C11:C62)</f>
        <v>2661</v>
      </c>
      <c r="D63" s="109">
        <f>SUM(D11:D62)</f>
        <v>8294</v>
      </c>
      <c r="E63" s="109">
        <f>SUM(E11:E62)</f>
        <v>149</v>
      </c>
      <c r="F63" s="109">
        <f>SUM(F11:F62)</f>
        <v>429</v>
      </c>
      <c r="G63" s="109">
        <f>SUM(G11:G62)</f>
        <v>11533</v>
      </c>
      <c r="H63" s="109"/>
    </row>
    <row r="65" spans="1:1" x14ac:dyDescent="0.25">
      <c r="A65" t="s">
        <v>239</v>
      </c>
    </row>
  </sheetData>
  <mergeCells count="3">
    <mergeCell ref="A7:H7"/>
    <mergeCell ref="A8:H8"/>
    <mergeCell ref="A9:H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65"/>
  <sheetViews>
    <sheetView topLeftCell="A39" workbookViewId="0">
      <selection activeCell="A7" sqref="A7:K65"/>
    </sheetView>
  </sheetViews>
  <sheetFormatPr defaultRowHeight="13.2" x14ac:dyDescent="0.25"/>
  <cols>
    <col min="1" max="1" width="15.5546875" customWidth="1"/>
    <col min="2" max="2" width="27.6640625" customWidth="1"/>
    <col min="3" max="3" width="17.33203125" customWidth="1"/>
    <col min="4" max="4" width="13.6640625" customWidth="1"/>
    <col min="5" max="5" width="17.6640625" customWidth="1"/>
    <col min="6" max="9" width="11.109375" bestFit="1" customWidth="1"/>
  </cols>
  <sheetData>
    <row r="1" spans="1:11" s="54" customFormat="1" ht="15.6" x14ac:dyDescent="0.3">
      <c r="A1" s="53" t="s">
        <v>240</v>
      </c>
    </row>
    <row r="2" spans="1:11" s="54" customFormat="1" ht="15.6" x14ac:dyDescent="0.3">
      <c r="A2" s="53" t="s">
        <v>241</v>
      </c>
    </row>
    <row r="3" spans="1:11" s="54" customFormat="1" ht="15" x14ac:dyDescent="0.25"/>
    <row r="4" spans="1:11" s="54" customFormat="1" ht="15" x14ac:dyDescent="0.25">
      <c r="A4" s="98" t="s">
        <v>173</v>
      </c>
      <c r="B4" s="75" t="e">
        <f>#REF!</f>
        <v>#REF!</v>
      </c>
    </row>
    <row r="5" spans="1:11" s="54" customFormat="1" ht="15" x14ac:dyDescent="0.25">
      <c r="A5" s="98" t="s">
        <v>174</v>
      </c>
      <c r="B5" s="55" t="e">
        <f>B4</f>
        <v>#REF!</v>
      </c>
    </row>
    <row r="7" spans="1:11" ht="15.6" x14ac:dyDescent="0.3">
      <c r="A7" s="208" t="s">
        <v>242</v>
      </c>
      <c r="B7" s="209"/>
      <c r="C7" s="209"/>
      <c r="D7" s="209"/>
      <c r="E7" s="209"/>
      <c r="F7" s="209"/>
      <c r="G7" s="209"/>
      <c r="H7" s="209"/>
      <c r="I7" s="209"/>
      <c r="J7" s="209"/>
      <c r="K7" s="210"/>
    </row>
    <row r="8" spans="1:11" ht="15.6" x14ac:dyDescent="0.3">
      <c r="A8" s="208" t="s">
        <v>243</v>
      </c>
      <c r="B8" s="209"/>
      <c r="C8" s="209"/>
      <c r="D8" s="209"/>
      <c r="E8" s="209"/>
      <c r="F8" s="209"/>
      <c r="G8" s="209"/>
      <c r="H8" s="209"/>
      <c r="I8" s="209"/>
      <c r="J8" s="209"/>
      <c r="K8" s="210"/>
    </row>
    <row r="9" spans="1:11" x14ac:dyDescent="0.25">
      <c r="A9" s="211" t="s">
        <v>178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x14ac:dyDescent="0.25">
      <c r="A10" s="107"/>
      <c r="B10" s="107" t="s">
        <v>179</v>
      </c>
      <c r="C10" s="107" t="s">
        <v>244</v>
      </c>
      <c r="D10" s="107" t="s">
        <v>245</v>
      </c>
      <c r="E10" s="107" t="s">
        <v>246</v>
      </c>
      <c r="F10" s="107" t="s">
        <v>247</v>
      </c>
      <c r="G10" s="107" t="s">
        <v>248</v>
      </c>
      <c r="H10" s="107" t="s">
        <v>249</v>
      </c>
      <c r="I10" s="107" t="s">
        <v>250</v>
      </c>
      <c r="J10" s="107" t="s">
        <v>184</v>
      </c>
      <c r="K10" s="107" t="s">
        <v>184</v>
      </c>
    </row>
    <row r="11" spans="1:11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9">
        <f t="shared" ref="J11:J62" si="0">SUM(C11:I11)</f>
        <v>0</v>
      </c>
      <c r="K11" s="109">
        <f>J11</f>
        <v>0</v>
      </c>
    </row>
    <row r="12" spans="1:11" x14ac:dyDescent="0.25">
      <c r="A12" s="106">
        <v>2</v>
      </c>
      <c r="B12" s="106" t="s">
        <v>186</v>
      </c>
      <c r="C12" s="108">
        <v>0</v>
      </c>
      <c r="D12" s="108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136</v>
      </c>
      <c r="J12" s="109">
        <f t="shared" si="0"/>
        <v>136</v>
      </c>
      <c r="K12" s="109">
        <f t="shared" ref="K12:K62" si="1">J12+K11</f>
        <v>136</v>
      </c>
    </row>
    <row r="13" spans="1:11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483</v>
      </c>
      <c r="J13" s="109">
        <f t="shared" si="0"/>
        <v>483</v>
      </c>
      <c r="K13" s="109">
        <f t="shared" si="1"/>
        <v>619</v>
      </c>
    </row>
    <row r="14" spans="1:11" x14ac:dyDescent="0.25">
      <c r="A14" s="106">
        <v>4</v>
      </c>
      <c r="B14" s="106" t="s">
        <v>188</v>
      </c>
      <c r="C14" s="108">
        <v>0</v>
      </c>
      <c r="D14" s="108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515</v>
      </c>
      <c r="J14" s="109">
        <f t="shared" si="0"/>
        <v>515</v>
      </c>
      <c r="K14" s="109">
        <f t="shared" si="1"/>
        <v>1134</v>
      </c>
    </row>
    <row r="15" spans="1:11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9">
        <f t="shared" si="0"/>
        <v>0</v>
      </c>
      <c r="K15" s="109">
        <f t="shared" si="1"/>
        <v>1134</v>
      </c>
    </row>
    <row r="16" spans="1:11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957</v>
      </c>
      <c r="J16" s="109">
        <f t="shared" si="0"/>
        <v>957</v>
      </c>
      <c r="K16" s="109">
        <f t="shared" si="1"/>
        <v>2091</v>
      </c>
    </row>
    <row r="17" spans="1:11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9">
        <f t="shared" si="0"/>
        <v>0</v>
      </c>
      <c r="K17" s="109">
        <f t="shared" si="1"/>
        <v>2091</v>
      </c>
    </row>
    <row r="18" spans="1:11" x14ac:dyDescent="0.25">
      <c r="A18" s="106">
        <v>8</v>
      </c>
      <c r="B18" s="106" t="s">
        <v>192</v>
      </c>
      <c r="C18" s="108"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1240</v>
      </c>
      <c r="J18" s="109">
        <f t="shared" si="0"/>
        <v>1240</v>
      </c>
      <c r="K18" s="109">
        <f t="shared" si="1"/>
        <v>3331</v>
      </c>
    </row>
    <row r="19" spans="1:11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9">
        <f t="shared" si="0"/>
        <v>0</v>
      </c>
      <c r="K19" s="109">
        <f t="shared" si="1"/>
        <v>3331</v>
      </c>
    </row>
    <row r="20" spans="1:11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9">
        <f t="shared" si="0"/>
        <v>0</v>
      </c>
      <c r="K20" s="109">
        <f t="shared" si="1"/>
        <v>3331</v>
      </c>
    </row>
    <row r="21" spans="1:11" x14ac:dyDescent="0.25">
      <c r="A21" s="106">
        <v>11</v>
      </c>
      <c r="B21" s="106" t="s">
        <v>195</v>
      </c>
      <c r="C21" s="108">
        <v>0</v>
      </c>
      <c r="D21" s="108">
        <v>529</v>
      </c>
      <c r="E21" s="108">
        <v>0</v>
      </c>
      <c r="F21" s="108">
        <v>0</v>
      </c>
      <c r="G21" s="108">
        <v>0</v>
      </c>
      <c r="H21" s="108">
        <v>0</v>
      </c>
      <c r="I21" s="108">
        <v>4993</v>
      </c>
      <c r="J21" s="109">
        <f t="shared" si="0"/>
        <v>5522</v>
      </c>
      <c r="K21" s="109">
        <f t="shared" si="1"/>
        <v>8853</v>
      </c>
    </row>
    <row r="22" spans="1:11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9">
        <f t="shared" si="0"/>
        <v>0</v>
      </c>
      <c r="K22" s="109">
        <f t="shared" si="1"/>
        <v>8853</v>
      </c>
    </row>
    <row r="23" spans="1:11" x14ac:dyDescent="0.25">
      <c r="A23" s="106">
        <v>13</v>
      </c>
      <c r="B23" s="106" t="s">
        <v>197</v>
      </c>
      <c r="C23" s="108">
        <v>0</v>
      </c>
      <c r="D23" s="108">
        <v>3080</v>
      </c>
      <c r="E23" s="108">
        <v>0</v>
      </c>
      <c r="F23" s="108">
        <v>0</v>
      </c>
      <c r="G23" s="108">
        <v>0</v>
      </c>
      <c r="H23" s="108">
        <v>0</v>
      </c>
      <c r="I23" s="108">
        <v>7</v>
      </c>
      <c r="J23" s="109">
        <f t="shared" si="0"/>
        <v>3087</v>
      </c>
      <c r="K23" s="109">
        <f t="shared" si="1"/>
        <v>11940</v>
      </c>
    </row>
    <row r="24" spans="1:11" x14ac:dyDescent="0.25">
      <c r="A24" s="106">
        <v>14</v>
      </c>
      <c r="B24" s="106" t="s">
        <v>198</v>
      </c>
      <c r="C24" s="108">
        <v>0</v>
      </c>
      <c r="D24" s="108">
        <v>4366</v>
      </c>
      <c r="E24" s="108">
        <v>0</v>
      </c>
      <c r="F24" s="108">
        <v>0</v>
      </c>
      <c r="G24" s="108">
        <v>0</v>
      </c>
      <c r="H24" s="108">
        <v>0</v>
      </c>
      <c r="I24" s="108">
        <v>4183</v>
      </c>
      <c r="J24" s="109">
        <f t="shared" si="0"/>
        <v>8549</v>
      </c>
      <c r="K24" s="109">
        <f t="shared" si="1"/>
        <v>20489</v>
      </c>
    </row>
    <row r="25" spans="1:11" x14ac:dyDescent="0.25">
      <c r="A25" s="106">
        <v>15</v>
      </c>
      <c r="B25" s="106" t="s">
        <v>199</v>
      </c>
      <c r="C25" s="108">
        <v>0</v>
      </c>
      <c r="D25" s="108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9">
        <f t="shared" si="0"/>
        <v>0</v>
      </c>
      <c r="K25" s="109">
        <f t="shared" si="1"/>
        <v>20489</v>
      </c>
    </row>
    <row r="26" spans="1:11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8116</v>
      </c>
      <c r="J26" s="109">
        <f t="shared" si="0"/>
        <v>8116</v>
      </c>
      <c r="K26" s="109">
        <f t="shared" si="1"/>
        <v>28605</v>
      </c>
    </row>
    <row r="27" spans="1:11" x14ac:dyDescent="0.25">
      <c r="A27" s="106">
        <v>17</v>
      </c>
      <c r="B27" s="106" t="s">
        <v>201</v>
      </c>
      <c r="C27" s="108">
        <v>0</v>
      </c>
      <c r="D27" s="108">
        <v>749</v>
      </c>
      <c r="E27" s="108">
        <v>0</v>
      </c>
      <c r="F27" s="108">
        <v>0</v>
      </c>
      <c r="G27" s="108">
        <v>0</v>
      </c>
      <c r="H27" s="108">
        <v>0</v>
      </c>
      <c r="I27" s="108">
        <v>8613</v>
      </c>
      <c r="J27" s="109">
        <f t="shared" si="0"/>
        <v>9362</v>
      </c>
      <c r="K27" s="109">
        <f t="shared" si="1"/>
        <v>37967</v>
      </c>
    </row>
    <row r="28" spans="1:11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7858</v>
      </c>
      <c r="J28" s="109">
        <f t="shared" si="0"/>
        <v>7858</v>
      </c>
      <c r="K28" s="109">
        <f t="shared" si="1"/>
        <v>45825</v>
      </c>
    </row>
    <row r="29" spans="1:11" x14ac:dyDescent="0.25">
      <c r="A29" s="106">
        <v>19</v>
      </c>
      <c r="B29" s="106" t="s">
        <v>203</v>
      </c>
      <c r="C29" s="108">
        <v>0</v>
      </c>
      <c r="D29" s="108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5356</v>
      </c>
      <c r="J29" s="109">
        <f t="shared" si="0"/>
        <v>5356</v>
      </c>
      <c r="K29" s="109">
        <f t="shared" si="1"/>
        <v>51181</v>
      </c>
    </row>
    <row r="30" spans="1:11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3639</v>
      </c>
      <c r="J30" s="109">
        <f t="shared" si="0"/>
        <v>3639</v>
      </c>
      <c r="K30" s="109">
        <f t="shared" si="1"/>
        <v>54820</v>
      </c>
    </row>
    <row r="31" spans="1:11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4297</v>
      </c>
      <c r="J31" s="109">
        <f t="shared" si="0"/>
        <v>4297</v>
      </c>
      <c r="K31" s="109">
        <f t="shared" si="1"/>
        <v>59117</v>
      </c>
    </row>
    <row r="32" spans="1:11" x14ac:dyDescent="0.25">
      <c r="A32" s="106">
        <v>22</v>
      </c>
      <c r="B32" s="106" t="s">
        <v>206</v>
      </c>
      <c r="C32" s="108">
        <v>0</v>
      </c>
      <c r="D32" s="108">
        <v>2369</v>
      </c>
      <c r="E32" s="108">
        <v>68</v>
      </c>
      <c r="F32" s="108">
        <v>0</v>
      </c>
      <c r="G32" s="108">
        <v>0</v>
      </c>
      <c r="H32" s="108">
        <v>0</v>
      </c>
      <c r="I32" s="108">
        <v>8532</v>
      </c>
      <c r="J32" s="109">
        <f t="shared" si="0"/>
        <v>10969</v>
      </c>
      <c r="K32" s="109">
        <f t="shared" si="1"/>
        <v>70086</v>
      </c>
    </row>
    <row r="33" spans="1:11" x14ac:dyDescent="0.25">
      <c r="A33" s="106">
        <v>23</v>
      </c>
      <c r="B33" s="106" t="s">
        <v>207</v>
      </c>
      <c r="C33" s="108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10</v>
      </c>
      <c r="J33" s="109">
        <f t="shared" si="0"/>
        <v>10</v>
      </c>
      <c r="K33" s="109">
        <f t="shared" si="1"/>
        <v>70096</v>
      </c>
    </row>
    <row r="34" spans="1:11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1184</v>
      </c>
      <c r="J34" s="109">
        <f t="shared" si="0"/>
        <v>1184</v>
      </c>
      <c r="K34" s="109">
        <f t="shared" si="1"/>
        <v>71280</v>
      </c>
    </row>
    <row r="35" spans="1:11" x14ac:dyDescent="0.25">
      <c r="A35" s="106">
        <v>25</v>
      </c>
      <c r="B35" s="106" t="s">
        <v>209</v>
      </c>
      <c r="C35" s="108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3085</v>
      </c>
      <c r="J35" s="109">
        <f t="shared" si="0"/>
        <v>3085</v>
      </c>
      <c r="K35" s="109">
        <f t="shared" si="1"/>
        <v>74365</v>
      </c>
    </row>
    <row r="36" spans="1:11" x14ac:dyDescent="0.25">
      <c r="A36" s="106">
        <v>26</v>
      </c>
      <c r="B36" s="106" t="s">
        <v>210</v>
      </c>
      <c r="C36" s="108">
        <v>0</v>
      </c>
      <c r="D36" s="108">
        <v>1760</v>
      </c>
      <c r="E36" s="108">
        <v>0</v>
      </c>
      <c r="F36" s="108">
        <v>0</v>
      </c>
      <c r="G36" s="108">
        <v>0</v>
      </c>
      <c r="H36" s="108">
        <v>0</v>
      </c>
      <c r="I36" s="108">
        <v>11964</v>
      </c>
      <c r="J36" s="109">
        <f t="shared" si="0"/>
        <v>13724</v>
      </c>
      <c r="K36" s="109">
        <f t="shared" si="1"/>
        <v>88089</v>
      </c>
    </row>
    <row r="37" spans="1:11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1973</v>
      </c>
      <c r="J37" s="109">
        <f t="shared" si="0"/>
        <v>1973</v>
      </c>
      <c r="K37" s="109">
        <f t="shared" si="1"/>
        <v>90062</v>
      </c>
    </row>
    <row r="38" spans="1:11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470</v>
      </c>
      <c r="J38" s="109">
        <f t="shared" si="0"/>
        <v>470</v>
      </c>
      <c r="K38" s="109">
        <f t="shared" si="1"/>
        <v>90532</v>
      </c>
    </row>
    <row r="39" spans="1:11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7009</v>
      </c>
      <c r="J39" s="109">
        <f t="shared" si="0"/>
        <v>7009</v>
      </c>
      <c r="K39" s="109">
        <f t="shared" si="1"/>
        <v>97541</v>
      </c>
    </row>
    <row r="40" spans="1:11" x14ac:dyDescent="0.25">
      <c r="A40" s="106">
        <v>30</v>
      </c>
      <c r="B40" s="106" t="s">
        <v>214</v>
      </c>
      <c r="C40" s="108">
        <v>0</v>
      </c>
      <c r="D40" s="108">
        <v>6175</v>
      </c>
      <c r="E40" s="108">
        <v>0</v>
      </c>
      <c r="F40" s="108">
        <v>0</v>
      </c>
      <c r="G40" s="108">
        <v>0</v>
      </c>
      <c r="H40" s="108">
        <v>0</v>
      </c>
      <c r="I40" s="108">
        <v>10366</v>
      </c>
      <c r="J40" s="109">
        <f t="shared" si="0"/>
        <v>16541</v>
      </c>
      <c r="K40" s="109">
        <f t="shared" si="1"/>
        <v>114082</v>
      </c>
    </row>
    <row r="41" spans="1:11" x14ac:dyDescent="0.25">
      <c r="A41" s="106">
        <v>31</v>
      </c>
      <c r="B41" s="106" t="s">
        <v>215</v>
      </c>
      <c r="C41" s="108">
        <v>0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1769</v>
      </c>
      <c r="J41" s="109">
        <f t="shared" si="0"/>
        <v>1769</v>
      </c>
      <c r="K41" s="109">
        <f t="shared" si="1"/>
        <v>115851</v>
      </c>
    </row>
    <row r="42" spans="1:11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9">
        <f t="shared" si="0"/>
        <v>0</v>
      </c>
      <c r="K42" s="109">
        <f t="shared" si="1"/>
        <v>115851</v>
      </c>
    </row>
    <row r="43" spans="1:11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  <c r="J43" s="109">
        <f t="shared" si="0"/>
        <v>0</v>
      </c>
      <c r="K43" s="109">
        <f t="shared" si="1"/>
        <v>115851</v>
      </c>
    </row>
    <row r="44" spans="1:11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9">
        <f t="shared" si="0"/>
        <v>0</v>
      </c>
      <c r="K44" s="109">
        <f t="shared" si="1"/>
        <v>115851</v>
      </c>
    </row>
    <row r="45" spans="1:11" x14ac:dyDescent="0.25">
      <c r="A45" s="106" t="s">
        <v>219</v>
      </c>
      <c r="B45" s="106" t="s">
        <v>220</v>
      </c>
      <c r="C45" s="108">
        <v>0</v>
      </c>
      <c r="D45" s="108">
        <v>10368</v>
      </c>
      <c r="E45" s="108">
        <v>0</v>
      </c>
      <c r="F45" s="108">
        <v>0</v>
      </c>
      <c r="G45" s="108">
        <v>300</v>
      </c>
      <c r="H45" s="108">
        <v>0</v>
      </c>
      <c r="I45" s="108">
        <v>13837</v>
      </c>
      <c r="J45" s="109">
        <f t="shared" si="0"/>
        <v>24505</v>
      </c>
      <c r="K45" s="109">
        <f t="shared" si="1"/>
        <v>140356</v>
      </c>
    </row>
    <row r="46" spans="1:11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1688</v>
      </c>
      <c r="J46" s="109">
        <f t="shared" si="0"/>
        <v>1688</v>
      </c>
      <c r="K46" s="109">
        <f t="shared" si="1"/>
        <v>142044</v>
      </c>
    </row>
    <row r="47" spans="1:11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0</v>
      </c>
      <c r="G47" s="108">
        <v>407</v>
      </c>
      <c r="H47" s="108">
        <v>0</v>
      </c>
      <c r="I47" s="108">
        <v>2125</v>
      </c>
      <c r="J47" s="109">
        <f t="shared" si="0"/>
        <v>2532</v>
      </c>
      <c r="K47" s="109">
        <f t="shared" si="1"/>
        <v>144576</v>
      </c>
    </row>
    <row r="48" spans="1:11" x14ac:dyDescent="0.25">
      <c r="A48" s="106">
        <v>38</v>
      </c>
      <c r="B48" s="106" t="s">
        <v>223</v>
      </c>
      <c r="C48" s="108">
        <v>0</v>
      </c>
      <c r="D48" s="108">
        <v>257</v>
      </c>
      <c r="E48" s="108">
        <v>0</v>
      </c>
      <c r="F48" s="108">
        <v>0</v>
      </c>
      <c r="G48" s="108">
        <v>0</v>
      </c>
      <c r="H48" s="108">
        <v>0</v>
      </c>
      <c r="I48" s="108">
        <v>951</v>
      </c>
      <c r="J48" s="109">
        <f t="shared" si="0"/>
        <v>1208</v>
      </c>
      <c r="K48" s="109">
        <f t="shared" si="1"/>
        <v>145784</v>
      </c>
    </row>
    <row r="49" spans="1:11" x14ac:dyDescent="0.25">
      <c r="A49" s="106">
        <v>39</v>
      </c>
      <c r="B49" s="106" t="s">
        <v>224</v>
      </c>
      <c r="C49" s="108">
        <v>0</v>
      </c>
      <c r="D49" s="108">
        <v>688</v>
      </c>
      <c r="E49" s="108">
        <v>0</v>
      </c>
      <c r="F49" s="108">
        <v>813</v>
      </c>
      <c r="G49" s="108">
        <v>445</v>
      </c>
      <c r="H49" s="108">
        <v>0</v>
      </c>
      <c r="I49" s="108">
        <v>3386</v>
      </c>
      <c r="J49" s="109">
        <f t="shared" si="0"/>
        <v>5332</v>
      </c>
      <c r="K49" s="109">
        <f t="shared" si="1"/>
        <v>151116</v>
      </c>
    </row>
    <row r="50" spans="1:11" x14ac:dyDescent="0.25">
      <c r="A50" s="106">
        <v>40</v>
      </c>
      <c r="B50" s="106" t="s">
        <v>225</v>
      </c>
      <c r="C50" s="108">
        <v>0</v>
      </c>
      <c r="D50" s="108">
        <v>399</v>
      </c>
      <c r="E50" s="108">
        <v>0</v>
      </c>
      <c r="F50" s="108">
        <v>0</v>
      </c>
      <c r="G50" s="108">
        <v>0</v>
      </c>
      <c r="H50" s="108">
        <v>0</v>
      </c>
      <c r="I50" s="108">
        <v>1855</v>
      </c>
      <c r="J50" s="109">
        <f t="shared" si="0"/>
        <v>2254</v>
      </c>
      <c r="K50" s="109">
        <f t="shared" si="1"/>
        <v>153370</v>
      </c>
    </row>
    <row r="51" spans="1:11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464</v>
      </c>
      <c r="G51" s="108">
        <v>0</v>
      </c>
      <c r="H51" s="108">
        <v>0</v>
      </c>
      <c r="I51" s="108">
        <v>3602</v>
      </c>
      <c r="J51" s="109">
        <f t="shared" si="0"/>
        <v>4066</v>
      </c>
      <c r="K51" s="109">
        <f t="shared" si="1"/>
        <v>157436</v>
      </c>
    </row>
    <row r="52" spans="1:11" x14ac:dyDescent="0.25">
      <c r="A52" s="106">
        <v>42</v>
      </c>
      <c r="B52" s="106" t="s">
        <v>227</v>
      </c>
      <c r="C52" s="108">
        <v>0</v>
      </c>
      <c r="D52" s="108">
        <v>203</v>
      </c>
      <c r="E52" s="108">
        <v>0</v>
      </c>
      <c r="F52" s="108">
        <v>105</v>
      </c>
      <c r="G52" s="108">
        <v>0</v>
      </c>
      <c r="H52" s="108">
        <v>0</v>
      </c>
      <c r="I52" s="108">
        <v>4841</v>
      </c>
      <c r="J52" s="109">
        <f t="shared" si="0"/>
        <v>5149</v>
      </c>
      <c r="K52" s="109">
        <f t="shared" si="1"/>
        <v>162585</v>
      </c>
    </row>
    <row r="53" spans="1:11" x14ac:dyDescent="0.25">
      <c r="A53" s="106">
        <v>43</v>
      </c>
      <c r="B53" s="106" t="s">
        <v>228</v>
      </c>
      <c r="C53" s="108">
        <v>0</v>
      </c>
      <c r="D53" s="108">
        <v>1362</v>
      </c>
      <c r="E53" s="108">
        <v>0</v>
      </c>
      <c r="F53" s="108">
        <v>421</v>
      </c>
      <c r="G53" s="108">
        <v>0</v>
      </c>
      <c r="H53" s="108">
        <v>0</v>
      </c>
      <c r="I53" s="108">
        <v>5881</v>
      </c>
      <c r="J53" s="109">
        <f t="shared" si="0"/>
        <v>7664</v>
      </c>
      <c r="K53" s="109">
        <f t="shared" si="1"/>
        <v>170249</v>
      </c>
    </row>
    <row r="54" spans="1:11" x14ac:dyDescent="0.25">
      <c r="A54" s="106">
        <v>44</v>
      </c>
      <c r="B54" s="106" t="s">
        <v>229</v>
      </c>
      <c r="C54" s="108">
        <v>0</v>
      </c>
      <c r="D54" s="108">
        <v>814</v>
      </c>
      <c r="E54" s="108">
        <v>0</v>
      </c>
      <c r="F54" s="108">
        <v>568</v>
      </c>
      <c r="G54" s="108">
        <v>0</v>
      </c>
      <c r="H54" s="108">
        <v>0</v>
      </c>
      <c r="I54" s="108">
        <v>2022</v>
      </c>
      <c r="J54" s="109">
        <f t="shared" si="0"/>
        <v>3404</v>
      </c>
      <c r="K54" s="109">
        <f t="shared" si="1"/>
        <v>173653</v>
      </c>
    </row>
    <row r="55" spans="1:11" x14ac:dyDescent="0.25">
      <c r="A55" s="106">
        <v>45</v>
      </c>
      <c r="B55" s="106" t="s">
        <v>230</v>
      </c>
      <c r="C55" s="108">
        <v>0</v>
      </c>
      <c r="D55" s="108">
        <v>1222</v>
      </c>
      <c r="E55" s="108">
        <v>0</v>
      </c>
      <c r="F55" s="108">
        <v>0</v>
      </c>
      <c r="G55" s="108">
        <v>0</v>
      </c>
      <c r="H55" s="108">
        <v>0</v>
      </c>
      <c r="I55" s="108">
        <v>3664</v>
      </c>
      <c r="J55" s="109">
        <f t="shared" si="0"/>
        <v>4886</v>
      </c>
      <c r="K55" s="109">
        <f t="shared" si="1"/>
        <v>178539</v>
      </c>
    </row>
    <row r="56" spans="1:11" x14ac:dyDescent="0.25">
      <c r="A56" s="106">
        <v>46</v>
      </c>
      <c r="B56" s="106" t="s">
        <v>231</v>
      </c>
      <c r="C56" s="108">
        <v>0</v>
      </c>
      <c r="D56" s="108">
        <v>1421</v>
      </c>
      <c r="E56" s="108">
        <v>0</v>
      </c>
      <c r="F56" s="108">
        <v>0</v>
      </c>
      <c r="G56" s="108">
        <v>0</v>
      </c>
      <c r="H56" s="108">
        <v>0</v>
      </c>
      <c r="I56" s="108">
        <v>4890</v>
      </c>
      <c r="J56" s="109">
        <f t="shared" si="0"/>
        <v>6311</v>
      </c>
      <c r="K56" s="109">
        <f t="shared" si="1"/>
        <v>184850</v>
      </c>
    </row>
    <row r="57" spans="1:11" x14ac:dyDescent="0.25">
      <c r="A57" s="106">
        <v>47</v>
      </c>
      <c r="B57" s="106" t="s">
        <v>232</v>
      </c>
      <c r="C57" s="108">
        <v>0</v>
      </c>
      <c r="D57" s="108">
        <v>867</v>
      </c>
      <c r="E57" s="108">
        <v>0</v>
      </c>
      <c r="F57" s="108">
        <v>0</v>
      </c>
      <c r="G57" s="108">
        <v>0</v>
      </c>
      <c r="H57" s="108">
        <v>0</v>
      </c>
      <c r="I57" s="108">
        <v>3957</v>
      </c>
      <c r="J57" s="109">
        <f t="shared" si="0"/>
        <v>4824</v>
      </c>
      <c r="K57" s="109">
        <f t="shared" si="1"/>
        <v>189674</v>
      </c>
    </row>
    <row r="58" spans="1:11" x14ac:dyDescent="0.25">
      <c r="A58" s="106">
        <v>48</v>
      </c>
      <c r="B58" s="106" t="s">
        <v>233</v>
      </c>
      <c r="C58" s="108">
        <v>0</v>
      </c>
      <c r="D58" s="108">
        <v>1202</v>
      </c>
      <c r="E58" s="108">
        <v>0</v>
      </c>
      <c r="F58" s="108">
        <v>107</v>
      </c>
      <c r="G58" s="108">
        <v>0</v>
      </c>
      <c r="H58" s="108">
        <v>19995</v>
      </c>
      <c r="I58" s="108">
        <v>7825</v>
      </c>
      <c r="J58" s="109">
        <f t="shared" si="0"/>
        <v>29129</v>
      </c>
      <c r="K58" s="109">
        <f t="shared" si="1"/>
        <v>218803</v>
      </c>
    </row>
    <row r="59" spans="1:11" x14ac:dyDescent="0.25">
      <c r="A59" s="106">
        <v>49</v>
      </c>
      <c r="B59" s="106" t="s">
        <v>234</v>
      </c>
      <c r="C59" s="108">
        <v>0</v>
      </c>
      <c r="D59" s="108">
        <v>180</v>
      </c>
      <c r="E59" s="108">
        <v>0</v>
      </c>
      <c r="F59" s="108">
        <v>0</v>
      </c>
      <c r="G59" s="108">
        <v>0</v>
      </c>
      <c r="H59" s="108">
        <v>0</v>
      </c>
      <c r="I59" s="108">
        <v>6217</v>
      </c>
      <c r="J59" s="109">
        <f t="shared" si="0"/>
        <v>6397</v>
      </c>
      <c r="K59" s="109">
        <f t="shared" si="1"/>
        <v>225200</v>
      </c>
    </row>
    <row r="60" spans="1:11" x14ac:dyDescent="0.25">
      <c r="A60" s="106">
        <v>50</v>
      </c>
      <c r="B60" s="106" t="s">
        <v>235</v>
      </c>
      <c r="C60" s="108">
        <v>809</v>
      </c>
      <c r="D60" s="108">
        <v>0</v>
      </c>
      <c r="E60" s="108">
        <v>0</v>
      </c>
      <c r="F60" s="108">
        <v>0</v>
      </c>
      <c r="G60" s="108">
        <v>0</v>
      </c>
      <c r="H60" s="108">
        <v>0</v>
      </c>
      <c r="I60" s="108">
        <v>5273</v>
      </c>
      <c r="J60" s="109">
        <f t="shared" si="0"/>
        <v>6082</v>
      </c>
      <c r="K60" s="109">
        <f t="shared" si="1"/>
        <v>231282</v>
      </c>
    </row>
    <row r="61" spans="1:11" x14ac:dyDescent="0.25">
      <c r="A61" s="106">
        <v>51</v>
      </c>
      <c r="B61" s="106" t="s">
        <v>236</v>
      </c>
      <c r="C61" s="108">
        <v>600</v>
      </c>
      <c r="D61" s="108">
        <v>102</v>
      </c>
      <c r="E61" s="108">
        <v>0</v>
      </c>
      <c r="F61" s="108">
        <v>0</v>
      </c>
      <c r="G61" s="108">
        <v>0</v>
      </c>
      <c r="H61" s="108">
        <v>0</v>
      </c>
      <c r="I61" s="108">
        <v>2001</v>
      </c>
      <c r="J61" s="109">
        <f t="shared" si="0"/>
        <v>2703</v>
      </c>
      <c r="K61" s="109">
        <f t="shared" si="1"/>
        <v>233985</v>
      </c>
    </row>
    <row r="62" spans="1:11" x14ac:dyDescent="0.25">
      <c r="A62" s="106">
        <v>52</v>
      </c>
      <c r="B62" s="106" t="s">
        <v>237</v>
      </c>
      <c r="C62" s="108">
        <v>902</v>
      </c>
      <c r="D62" s="108">
        <v>116</v>
      </c>
      <c r="E62" s="108">
        <v>0</v>
      </c>
      <c r="F62" s="108">
        <v>0</v>
      </c>
      <c r="G62" s="108">
        <v>0</v>
      </c>
      <c r="H62" s="108">
        <v>0</v>
      </c>
      <c r="I62" s="108">
        <v>3772</v>
      </c>
      <c r="J62" s="109">
        <f t="shared" si="0"/>
        <v>4790</v>
      </c>
      <c r="K62" s="109">
        <f t="shared" si="1"/>
        <v>238775</v>
      </c>
    </row>
    <row r="63" spans="1:11" x14ac:dyDescent="0.25">
      <c r="A63" s="106" t="s">
        <v>178</v>
      </c>
      <c r="B63" s="106" t="s">
        <v>238</v>
      </c>
      <c r="C63" s="109">
        <f t="shared" ref="C63:I63" si="2">SUM(C11:C62)</f>
        <v>2311</v>
      </c>
      <c r="D63" s="109">
        <f t="shared" si="2"/>
        <v>38229</v>
      </c>
      <c r="E63" s="109">
        <f t="shared" si="2"/>
        <v>68</v>
      </c>
      <c r="F63" s="109">
        <f t="shared" si="2"/>
        <v>2478</v>
      </c>
      <c r="G63" s="109">
        <f t="shared" si="2"/>
        <v>1152</v>
      </c>
      <c r="H63" s="109">
        <f t="shared" si="2"/>
        <v>19995</v>
      </c>
      <c r="I63" s="109">
        <f t="shared" si="2"/>
        <v>174542</v>
      </c>
      <c r="J63" s="109">
        <f>SUM(J11:J62)</f>
        <v>238775</v>
      </c>
      <c r="K63" s="109"/>
    </row>
    <row r="65" spans="1:1" x14ac:dyDescent="0.25">
      <c r="A65" t="s">
        <v>251</v>
      </c>
    </row>
  </sheetData>
  <mergeCells count="3">
    <mergeCell ref="A7:K7"/>
    <mergeCell ref="A8:K8"/>
    <mergeCell ref="A9:K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5"/>
  <sheetViews>
    <sheetView topLeftCell="A9" workbookViewId="0">
      <selection activeCell="A7" sqref="A7:K65"/>
    </sheetView>
  </sheetViews>
  <sheetFormatPr defaultRowHeight="13.2" x14ac:dyDescent="0.25"/>
  <cols>
    <col min="1" max="1" width="16.33203125" customWidth="1"/>
    <col min="2" max="2" width="32.88671875" customWidth="1"/>
    <col min="3" max="3" width="17.109375" customWidth="1"/>
    <col min="4" max="4" width="16" customWidth="1"/>
    <col min="5" max="5" width="16.6640625" customWidth="1"/>
    <col min="6" max="6" width="11.5546875" customWidth="1"/>
    <col min="7" max="7" width="12.33203125" customWidth="1"/>
    <col min="8" max="8" width="11.109375" bestFit="1" customWidth="1"/>
  </cols>
  <sheetData>
    <row r="1" spans="1:8" s="54" customFormat="1" ht="15.6" x14ac:dyDescent="0.3">
      <c r="A1" s="53" t="s">
        <v>252</v>
      </c>
    </row>
    <row r="2" spans="1:8" s="54" customFormat="1" ht="15.6" x14ac:dyDescent="0.3">
      <c r="A2" s="53" t="s">
        <v>253</v>
      </c>
    </row>
    <row r="3" spans="1:8" s="54" customFormat="1" ht="15" x14ac:dyDescent="0.25"/>
    <row r="4" spans="1:8" s="54" customFormat="1" ht="15" x14ac:dyDescent="0.25">
      <c r="A4" s="98" t="s">
        <v>173</v>
      </c>
      <c r="B4" s="75" t="e">
        <f>#REF!</f>
        <v>#REF!</v>
      </c>
    </row>
    <row r="5" spans="1:8" s="54" customFormat="1" ht="15" x14ac:dyDescent="0.25">
      <c r="A5" s="98" t="s">
        <v>174</v>
      </c>
      <c r="B5" s="55" t="e">
        <f>B4</f>
        <v>#REF!</v>
      </c>
    </row>
    <row r="7" spans="1:8" ht="15.6" x14ac:dyDescent="0.3">
      <c r="A7" s="208" t="s">
        <v>254</v>
      </c>
      <c r="B7" s="209"/>
      <c r="C7" s="209"/>
      <c r="D7" s="209"/>
      <c r="E7" s="209"/>
      <c r="F7" s="209"/>
      <c r="G7" s="209"/>
      <c r="H7" s="210"/>
    </row>
    <row r="8" spans="1:8" ht="15.6" x14ac:dyDescent="0.3">
      <c r="A8" s="208" t="s">
        <v>255</v>
      </c>
      <c r="B8" s="209"/>
      <c r="C8" s="209"/>
      <c r="D8" s="209"/>
      <c r="E8" s="209"/>
      <c r="F8" s="209"/>
      <c r="G8" s="209"/>
      <c r="H8" s="210"/>
    </row>
    <row r="9" spans="1:8" x14ac:dyDescent="0.25">
      <c r="A9" s="211" t="s">
        <v>178</v>
      </c>
      <c r="B9" s="212"/>
      <c r="C9" s="212"/>
      <c r="D9" s="212"/>
      <c r="E9" s="212"/>
      <c r="F9" s="212"/>
      <c r="G9" s="212"/>
      <c r="H9" s="213"/>
    </row>
    <row r="10" spans="1:8" x14ac:dyDescent="0.25">
      <c r="A10" s="107"/>
      <c r="B10" s="107" t="s">
        <v>179</v>
      </c>
      <c r="C10" s="107" t="s">
        <v>256</v>
      </c>
      <c r="D10" s="107" t="s">
        <v>247</v>
      </c>
      <c r="E10" s="107" t="s">
        <v>248</v>
      </c>
      <c r="F10" s="107" t="s">
        <v>250</v>
      </c>
      <c r="G10" s="107" t="s">
        <v>184</v>
      </c>
      <c r="H10" s="107" t="s">
        <v>184</v>
      </c>
    </row>
    <row r="11" spans="1:8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9">
        <f t="shared" ref="G11:G62" si="0">SUM(C11:F11)</f>
        <v>0</v>
      </c>
      <c r="H11" s="109">
        <f>G11</f>
        <v>0</v>
      </c>
    </row>
    <row r="12" spans="1:8" x14ac:dyDescent="0.25">
      <c r="A12" s="106">
        <v>2</v>
      </c>
      <c r="B12" s="106" t="s">
        <v>186</v>
      </c>
      <c r="C12" s="108">
        <v>0</v>
      </c>
      <c r="D12" s="108">
        <v>87</v>
      </c>
      <c r="E12" s="108">
        <v>0</v>
      </c>
      <c r="F12" s="108">
        <v>0</v>
      </c>
      <c r="G12" s="109">
        <f t="shared" si="0"/>
        <v>87</v>
      </c>
      <c r="H12" s="109">
        <f t="shared" ref="H12:H62" si="1">G12+H11</f>
        <v>87</v>
      </c>
    </row>
    <row r="13" spans="1:8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9">
        <f t="shared" si="0"/>
        <v>0</v>
      </c>
      <c r="H13" s="109">
        <f t="shared" si="1"/>
        <v>87</v>
      </c>
    </row>
    <row r="14" spans="1:8" x14ac:dyDescent="0.25">
      <c r="A14" s="106">
        <v>4</v>
      </c>
      <c r="B14" s="106" t="s">
        <v>188</v>
      </c>
      <c r="C14" s="108">
        <v>0</v>
      </c>
      <c r="D14" s="108">
        <v>0</v>
      </c>
      <c r="E14" s="108">
        <v>1115</v>
      </c>
      <c r="F14" s="108">
        <v>912</v>
      </c>
      <c r="G14" s="109">
        <f t="shared" si="0"/>
        <v>2027</v>
      </c>
      <c r="H14" s="109">
        <f t="shared" si="1"/>
        <v>2114</v>
      </c>
    </row>
    <row r="15" spans="1:8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290</v>
      </c>
      <c r="F15" s="108">
        <v>0</v>
      </c>
      <c r="G15" s="109">
        <f t="shared" si="0"/>
        <v>290</v>
      </c>
      <c r="H15" s="109">
        <f t="shared" si="1"/>
        <v>2404</v>
      </c>
    </row>
    <row r="16" spans="1:8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426</v>
      </c>
      <c r="F16" s="108">
        <v>0</v>
      </c>
      <c r="G16" s="109">
        <f t="shared" si="0"/>
        <v>426</v>
      </c>
      <c r="H16" s="109">
        <f t="shared" si="1"/>
        <v>2830</v>
      </c>
    </row>
    <row r="17" spans="1:8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71</v>
      </c>
      <c r="F17" s="108">
        <v>0</v>
      </c>
      <c r="G17" s="109">
        <f t="shared" si="0"/>
        <v>71</v>
      </c>
      <c r="H17" s="109">
        <f t="shared" si="1"/>
        <v>2901</v>
      </c>
    </row>
    <row r="18" spans="1:8" x14ac:dyDescent="0.25">
      <c r="A18" s="106">
        <v>8</v>
      </c>
      <c r="B18" s="106" t="s">
        <v>192</v>
      </c>
      <c r="C18" s="108">
        <v>0</v>
      </c>
      <c r="D18" s="108">
        <v>131</v>
      </c>
      <c r="E18" s="108">
        <v>1096</v>
      </c>
      <c r="F18" s="108">
        <v>0</v>
      </c>
      <c r="G18" s="109">
        <f t="shared" si="0"/>
        <v>1227</v>
      </c>
      <c r="H18" s="109">
        <f t="shared" si="1"/>
        <v>4128</v>
      </c>
    </row>
    <row r="19" spans="1:8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9">
        <f t="shared" si="0"/>
        <v>0</v>
      </c>
      <c r="H19" s="109">
        <f t="shared" si="1"/>
        <v>4128</v>
      </c>
    </row>
    <row r="20" spans="1:8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4128</v>
      </c>
    </row>
    <row r="21" spans="1:8" x14ac:dyDescent="0.25">
      <c r="A21" s="106">
        <v>11</v>
      </c>
      <c r="B21" s="106" t="s">
        <v>195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4128</v>
      </c>
    </row>
    <row r="22" spans="1:8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4128</v>
      </c>
    </row>
    <row r="23" spans="1:8" x14ac:dyDescent="0.25">
      <c r="A23" s="106">
        <v>13</v>
      </c>
      <c r="B23" s="106" t="s">
        <v>197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4128</v>
      </c>
    </row>
    <row r="24" spans="1:8" x14ac:dyDescent="0.25">
      <c r="A24" s="106">
        <v>14</v>
      </c>
      <c r="B24" s="106" t="s">
        <v>198</v>
      </c>
      <c r="C24" s="108">
        <v>0</v>
      </c>
      <c r="D24" s="108">
        <v>0</v>
      </c>
      <c r="E24" s="108">
        <v>0</v>
      </c>
      <c r="F24" s="108">
        <v>0</v>
      </c>
      <c r="G24" s="109">
        <f t="shared" si="0"/>
        <v>0</v>
      </c>
      <c r="H24" s="109">
        <f t="shared" si="1"/>
        <v>4128</v>
      </c>
    </row>
    <row r="25" spans="1:8" x14ac:dyDescent="0.25">
      <c r="A25" s="106">
        <v>15</v>
      </c>
      <c r="B25" s="106" t="s">
        <v>199</v>
      </c>
      <c r="C25" s="108">
        <v>0</v>
      </c>
      <c r="D25" s="108">
        <v>39</v>
      </c>
      <c r="E25" s="108">
        <v>0</v>
      </c>
      <c r="F25" s="108">
        <v>0</v>
      </c>
      <c r="G25" s="109">
        <f t="shared" si="0"/>
        <v>39</v>
      </c>
      <c r="H25" s="109">
        <f t="shared" si="1"/>
        <v>4167</v>
      </c>
    </row>
    <row r="26" spans="1:8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9">
        <f t="shared" si="0"/>
        <v>0</v>
      </c>
      <c r="H26" s="109">
        <f t="shared" si="1"/>
        <v>4167</v>
      </c>
    </row>
    <row r="27" spans="1:8" x14ac:dyDescent="0.25">
      <c r="A27" s="106">
        <v>17</v>
      </c>
      <c r="B27" s="106" t="s">
        <v>201</v>
      </c>
      <c r="C27" s="108">
        <v>0</v>
      </c>
      <c r="D27" s="108">
        <v>0</v>
      </c>
      <c r="E27" s="108">
        <v>97</v>
      </c>
      <c r="F27" s="108">
        <v>0</v>
      </c>
      <c r="G27" s="109">
        <f t="shared" si="0"/>
        <v>97</v>
      </c>
      <c r="H27" s="109">
        <f t="shared" si="1"/>
        <v>4264</v>
      </c>
    </row>
    <row r="28" spans="1:8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9">
        <f t="shared" si="0"/>
        <v>0</v>
      </c>
      <c r="H28" s="109">
        <f t="shared" si="1"/>
        <v>4264</v>
      </c>
    </row>
    <row r="29" spans="1:8" x14ac:dyDescent="0.25">
      <c r="A29" s="106">
        <v>19</v>
      </c>
      <c r="B29" s="106" t="s">
        <v>203</v>
      </c>
      <c r="C29" s="108">
        <v>0</v>
      </c>
      <c r="D29" s="108">
        <v>0</v>
      </c>
      <c r="E29" s="108">
        <v>0</v>
      </c>
      <c r="F29" s="108">
        <v>0</v>
      </c>
      <c r="G29" s="109">
        <f t="shared" si="0"/>
        <v>0</v>
      </c>
      <c r="H29" s="109">
        <f t="shared" si="1"/>
        <v>4264</v>
      </c>
    </row>
    <row r="30" spans="1:8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9">
        <f t="shared" si="0"/>
        <v>0</v>
      </c>
      <c r="H30" s="109">
        <f t="shared" si="1"/>
        <v>4264</v>
      </c>
    </row>
    <row r="31" spans="1:8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9">
        <f t="shared" si="0"/>
        <v>0</v>
      </c>
      <c r="H31" s="109">
        <f t="shared" si="1"/>
        <v>4264</v>
      </c>
    </row>
    <row r="32" spans="1:8" x14ac:dyDescent="0.25">
      <c r="A32" s="106">
        <v>22</v>
      </c>
      <c r="B32" s="106" t="s">
        <v>206</v>
      </c>
      <c r="C32" s="108">
        <v>0</v>
      </c>
      <c r="D32" s="108">
        <v>210</v>
      </c>
      <c r="E32" s="108">
        <v>0</v>
      </c>
      <c r="F32" s="108">
        <v>0</v>
      </c>
      <c r="G32" s="109">
        <f t="shared" si="0"/>
        <v>210</v>
      </c>
      <c r="H32" s="109">
        <f t="shared" si="1"/>
        <v>4474</v>
      </c>
    </row>
    <row r="33" spans="1:8" x14ac:dyDescent="0.25">
      <c r="A33" s="106">
        <v>23</v>
      </c>
      <c r="B33" s="106" t="s">
        <v>207</v>
      </c>
      <c r="C33" s="108">
        <v>0</v>
      </c>
      <c r="D33" s="108">
        <v>129</v>
      </c>
      <c r="E33" s="108">
        <v>0</v>
      </c>
      <c r="F33" s="108">
        <v>0</v>
      </c>
      <c r="G33" s="109">
        <f t="shared" si="0"/>
        <v>129</v>
      </c>
      <c r="H33" s="109">
        <f t="shared" si="1"/>
        <v>4603</v>
      </c>
    </row>
    <row r="34" spans="1:8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9">
        <f t="shared" si="0"/>
        <v>0</v>
      </c>
      <c r="H34" s="109">
        <f t="shared" si="1"/>
        <v>4603</v>
      </c>
    </row>
    <row r="35" spans="1:8" x14ac:dyDescent="0.25">
      <c r="A35" s="106">
        <v>25</v>
      </c>
      <c r="B35" s="106" t="s">
        <v>209</v>
      </c>
      <c r="C35" s="108">
        <v>0</v>
      </c>
      <c r="D35" s="108">
        <v>0</v>
      </c>
      <c r="E35" s="108">
        <v>0</v>
      </c>
      <c r="F35" s="108">
        <v>0</v>
      </c>
      <c r="G35" s="109">
        <f t="shared" si="0"/>
        <v>0</v>
      </c>
      <c r="H35" s="109">
        <f t="shared" si="1"/>
        <v>4603</v>
      </c>
    </row>
    <row r="36" spans="1:8" x14ac:dyDescent="0.25">
      <c r="A36" s="106">
        <v>26</v>
      </c>
      <c r="B36" s="106" t="s">
        <v>210</v>
      </c>
      <c r="C36" s="108">
        <v>0</v>
      </c>
      <c r="D36" s="108">
        <v>298</v>
      </c>
      <c r="E36" s="108">
        <v>0</v>
      </c>
      <c r="F36" s="108">
        <v>0</v>
      </c>
      <c r="G36" s="109">
        <f t="shared" si="0"/>
        <v>298</v>
      </c>
      <c r="H36" s="109">
        <f t="shared" si="1"/>
        <v>4901</v>
      </c>
    </row>
    <row r="37" spans="1:8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4901</v>
      </c>
    </row>
    <row r="38" spans="1:8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9">
        <f t="shared" si="0"/>
        <v>0</v>
      </c>
      <c r="H38" s="109">
        <f t="shared" si="1"/>
        <v>4901</v>
      </c>
    </row>
    <row r="39" spans="1:8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9">
        <f t="shared" si="0"/>
        <v>0</v>
      </c>
      <c r="H39" s="109">
        <f t="shared" si="1"/>
        <v>4901</v>
      </c>
    </row>
    <row r="40" spans="1:8" x14ac:dyDescent="0.25">
      <c r="A40" s="106">
        <v>30</v>
      </c>
      <c r="B40" s="106" t="s">
        <v>214</v>
      </c>
      <c r="C40" s="108">
        <v>724</v>
      </c>
      <c r="D40" s="108">
        <v>136</v>
      </c>
      <c r="E40" s="108">
        <v>0</v>
      </c>
      <c r="F40" s="108">
        <v>0</v>
      </c>
      <c r="G40" s="109">
        <f t="shared" si="0"/>
        <v>860</v>
      </c>
      <c r="H40" s="109">
        <f t="shared" si="1"/>
        <v>5761</v>
      </c>
    </row>
    <row r="41" spans="1:8" x14ac:dyDescent="0.25">
      <c r="A41" s="106">
        <v>31</v>
      </c>
      <c r="B41" s="106" t="s">
        <v>215</v>
      </c>
      <c r="C41" s="108">
        <v>0</v>
      </c>
      <c r="D41" s="108">
        <v>0</v>
      </c>
      <c r="E41" s="108">
        <v>0</v>
      </c>
      <c r="F41" s="108">
        <v>0</v>
      </c>
      <c r="G41" s="109">
        <f t="shared" si="0"/>
        <v>0</v>
      </c>
      <c r="H41" s="109">
        <f t="shared" si="1"/>
        <v>5761</v>
      </c>
    </row>
    <row r="42" spans="1:8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5761</v>
      </c>
    </row>
    <row r="43" spans="1:8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5761</v>
      </c>
    </row>
    <row r="44" spans="1:8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9">
        <f t="shared" si="0"/>
        <v>0</v>
      </c>
      <c r="H44" s="109">
        <f t="shared" si="1"/>
        <v>5761</v>
      </c>
    </row>
    <row r="45" spans="1:8" x14ac:dyDescent="0.25">
      <c r="A45" s="106" t="s">
        <v>219</v>
      </c>
      <c r="B45" s="106" t="s">
        <v>220</v>
      </c>
      <c r="C45" s="108">
        <v>0</v>
      </c>
      <c r="D45" s="108">
        <v>374</v>
      </c>
      <c r="E45" s="108">
        <v>0</v>
      </c>
      <c r="F45" s="108">
        <v>3000</v>
      </c>
      <c r="G45" s="109">
        <f t="shared" si="0"/>
        <v>3374</v>
      </c>
      <c r="H45" s="109">
        <f t="shared" si="1"/>
        <v>9135</v>
      </c>
    </row>
    <row r="46" spans="1:8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466</v>
      </c>
      <c r="G46" s="109">
        <f t="shared" si="0"/>
        <v>466</v>
      </c>
      <c r="H46" s="109">
        <f t="shared" si="1"/>
        <v>9601</v>
      </c>
    </row>
    <row r="47" spans="1:8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1212</v>
      </c>
      <c r="G47" s="109">
        <f t="shared" si="0"/>
        <v>1212</v>
      </c>
      <c r="H47" s="109">
        <f t="shared" si="1"/>
        <v>10813</v>
      </c>
    </row>
    <row r="48" spans="1:8" x14ac:dyDescent="0.25">
      <c r="A48" s="106">
        <v>38</v>
      </c>
      <c r="B48" s="106" t="s">
        <v>223</v>
      </c>
      <c r="C48" s="108">
        <v>0</v>
      </c>
      <c r="D48" s="108">
        <v>0</v>
      </c>
      <c r="E48" s="108">
        <v>0</v>
      </c>
      <c r="F48" s="108">
        <v>1327</v>
      </c>
      <c r="G48" s="109">
        <f t="shared" si="0"/>
        <v>1327</v>
      </c>
      <c r="H48" s="109">
        <f t="shared" si="1"/>
        <v>12140</v>
      </c>
    </row>
    <row r="49" spans="1:8" x14ac:dyDescent="0.25">
      <c r="A49" s="106">
        <v>39</v>
      </c>
      <c r="B49" s="106" t="s">
        <v>224</v>
      </c>
      <c r="C49" s="108">
        <v>0</v>
      </c>
      <c r="D49" s="108">
        <v>141</v>
      </c>
      <c r="E49" s="108">
        <v>0</v>
      </c>
      <c r="F49" s="108">
        <v>1081</v>
      </c>
      <c r="G49" s="109">
        <f t="shared" si="0"/>
        <v>1222</v>
      </c>
      <c r="H49" s="109">
        <f t="shared" si="1"/>
        <v>13362</v>
      </c>
    </row>
    <row r="50" spans="1:8" x14ac:dyDescent="0.25">
      <c r="A50" s="106">
        <v>40</v>
      </c>
      <c r="B50" s="106" t="s">
        <v>225</v>
      </c>
      <c r="C50" s="108">
        <v>0</v>
      </c>
      <c r="D50" s="108">
        <v>0</v>
      </c>
      <c r="E50" s="108">
        <v>0</v>
      </c>
      <c r="F50" s="108">
        <v>641</v>
      </c>
      <c r="G50" s="109">
        <f t="shared" si="0"/>
        <v>641</v>
      </c>
      <c r="H50" s="109">
        <f t="shared" si="1"/>
        <v>14003</v>
      </c>
    </row>
    <row r="51" spans="1:8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0</v>
      </c>
      <c r="G51" s="109">
        <f t="shared" si="0"/>
        <v>0</v>
      </c>
      <c r="H51" s="109">
        <f t="shared" si="1"/>
        <v>14003</v>
      </c>
    </row>
    <row r="52" spans="1:8" x14ac:dyDescent="0.25">
      <c r="A52" s="106">
        <v>42</v>
      </c>
      <c r="B52" s="106" t="s">
        <v>227</v>
      </c>
      <c r="C52" s="108">
        <v>0</v>
      </c>
      <c r="D52" s="108">
        <v>0</v>
      </c>
      <c r="E52" s="108">
        <v>0</v>
      </c>
      <c r="F52" s="108">
        <v>0</v>
      </c>
      <c r="G52" s="109">
        <f t="shared" si="0"/>
        <v>0</v>
      </c>
      <c r="H52" s="109">
        <f t="shared" si="1"/>
        <v>14003</v>
      </c>
    </row>
    <row r="53" spans="1:8" x14ac:dyDescent="0.25">
      <c r="A53" s="106">
        <v>43</v>
      </c>
      <c r="B53" s="106" t="s">
        <v>228</v>
      </c>
      <c r="C53" s="108">
        <v>0</v>
      </c>
      <c r="D53" s="108">
        <v>135</v>
      </c>
      <c r="E53" s="108">
        <v>0</v>
      </c>
      <c r="F53" s="108">
        <v>0</v>
      </c>
      <c r="G53" s="109">
        <f t="shared" si="0"/>
        <v>135</v>
      </c>
      <c r="H53" s="109">
        <f t="shared" si="1"/>
        <v>14138</v>
      </c>
    </row>
    <row r="54" spans="1:8" x14ac:dyDescent="0.25">
      <c r="A54" s="106">
        <v>44</v>
      </c>
      <c r="B54" s="106" t="s">
        <v>229</v>
      </c>
      <c r="C54" s="108">
        <v>0</v>
      </c>
      <c r="D54" s="108">
        <v>0</v>
      </c>
      <c r="E54" s="108">
        <v>0</v>
      </c>
      <c r="F54" s="108">
        <v>0</v>
      </c>
      <c r="G54" s="109">
        <f t="shared" si="0"/>
        <v>0</v>
      </c>
      <c r="H54" s="109">
        <f t="shared" si="1"/>
        <v>14138</v>
      </c>
    </row>
    <row r="55" spans="1:8" x14ac:dyDescent="0.25">
      <c r="A55" s="106">
        <v>45</v>
      </c>
      <c r="B55" s="106" t="s">
        <v>230</v>
      </c>
      <c r="C55" s="108">
        <v>0</v>
      </c>
      <c r="D55" s="108">
        <v>0</v>
      </c>
      <c r="E55" s="108">
        <v>0</v>
      </c>
      <c r="F55" s="108">
        <v>0</v>
      </c>
      <c r="G55" s="109">
        <f t="shared" si="0"/>
        <v>0</v>
      </c>
      <c r="H55" s="109">
        <f t="shared" si="1"/>
        <v>14138</v>
      </c>
    </row>
    <row r="56" spans="1:8" x14ac:dyDescent="0.25">
      <c r="A56" s="106">
        <v>46</v>
      </c>
      <c r="B56" s="106" t="s">
        <v>231</v>
      </c>
      <c r="C56" s="108">
        <v>0</v>
      </c>
      <c r="D56" s="108">
        <v>0</v>
      </c>
      <c r="E56" s="108">
        <v>0</v>
      </c>
      <c r="F56" s="108">
        <v>0</v>
      </c>
      <c r="G56" s="109">
        <f t="shared" si="0"/>
        <v>0</v>
      </c>
      <c r="H56" s="109">
        <f t="shared" si="1"/>
        <v>14138</v>
      </c>
    </row>
    <row r="57" spans="1:8" x14ac:dyDescent="0.25">
      <c r="A57" s="106">
        <v>47</v>
      </c>
      <c r="B57" s="106" t="s">
        <v>232</v>
      </c>
      <c r="C57" s="108">
        <v>0</v>
      </c>
      <c r="D57" s="108">
        <v>0</v>
      </c>
      <c r="E57" s="108">
        <v>0</v>
      </c>
      <c r="F57" s="108">
        <v>0</v>
      </c>
      <c r="G57" s="109">
        <f t="shared" si="0"/>
        <v>0</v>
      </c>
      <c r="H57" s="109">
        <f t="shared" si="1"/>
        <v>14138</v>
      </c>
    </row>
    <row r="58" spans="1:8" x14ac:dyDescent="0.25">
      <c r="A58" s="106">
        <v>48</v>
      </c>
      <c r="B58" s="106" t="s">
        <v>233</v>
      </c>
      <c r="C58" s="108">
        <v>0</v>
      </c>
      <c r="D58" s="108">
        <v>14</v>
      </c>
      <c r="E58" s="108">
        <v>429</v>
      </c>
      <c r="F58" s="108">
        <v>721</v>
      </c>
      <c r="G58" s="109">
        <f t="shared" si="0"/>
        <v>1164</v>
      </c>
      <c r="H58" s="109">
        <f t="shared" si="1"/>
        <v>15302</v>
      </c>
    </row>
    <row r="59" spans="1:8" x14ac:dyDescent="0.25">
      <c r="A59" s="106">
        <v>49</v>
      </c>
      <c r="B59" s="106" t="s">
        <v>234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15302</v>
      </c>
    </row>
    <row r="60" spans="1:8" x14ac:dyDescent="0.25">
      <c r="A60" s="106">
        <v>50</v>
      </c>
      <c r="B60" s="106" t="s">
        <v>235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15302</v>
      </c>
    </row>
    <row r="61" spans="1:8" x14ac:dyDescent="0.25">
      <c r="A61" s="106">
        <v>51</v>
      </c>
      <c r="B61" s="106" t="s">
        <v>236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15302</v>
      </c>
    </row>
    <row r="62" spans="1:8" x14ac:dyDescent="0.25">
      <c r="A62" s="106">
        <v>52</v>
      </c>
      <c r="B62" s="106" t="s">
        <v>237</v>
      </c>
      <c r="C62" s="108">
        <v>0</v>
      </c>
      <c r="D62" s="108">
        <v>0</v>
      </c>
      <c r="E62" s="108">
        <v>0</v>
      </c>
      <c r="F62" s="108">
        <v>0</v>
      </c>
      <c r="G62" s="109">
        <f t="shared" si="0"/>
        <v>0</v>
      </c>
      <c r="H62" s="109">
        <f t="shared" si="1"/>
        <v>15302</v>
      </c>
    </row>
    <row r="63" spans="1:8" x14ac:dyDescent="0.25">
      <c r="A63" s="106" t="s">
        <v>178</v>
      </c>
      <c r="B63" s="106" t="s">
        <v>238</v>
      </c>
      <c r="C63" s="109">
        <f>SUM(C11:C62)</f>
        <v>724</v>
      </c>
      <c r="D63" s="109">
        <f>SUM(D11:D62)</f>
        <v>1694</v>
      </c>
      <c r="E63" s="109">
        <f>SUM(E11:E62)</f>
        <v>3524</v>
      </c>
      <c r="F63" s="109">
        <f>SUM(F11:F62)</f>
        <v>9360</v>
      </c>
      <c r="G63" s="109">
        <f>SUM(G11:G62)</f>
        <v>15302</v>
      </c>
      <c r="H63" s="109"/>
    </row>
    <row r="65" spans="1:1" x14ac:dyDescent="0.25">
      <c r="A65" t="s">
        <v>251</v>
      </c>
    </row>
  </sheetData>
  <mergeCells count="3">
    <mergeCell ref="A7:H7"/>
    <mergeCell ref="A8:H8"/>
    <mergeCell ref="A9:H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8" ma:contentTypeDescription="Create a new document." ma:contentTypeScope="" ma:versionID="acdd9a2b6cc903ad8368c7e51ec16fbd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b7ed6030537cda6e5db2ae7bd21712da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TransferredtoMasterFile" minOccurs="0"/>
                <xsd:element ref="ns2:Rawdata" minOccurs="0"/>
                <xsd:element ref="ns2:Category" minOccurs="0"/>
                <xsd:element ref="ns2: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default="Unassigned" ma:format="Dropdown" ma:indexed="true" ma:internalName="Division">
      <xsd:simpleType>
        <xsd:union memberTypes="dms:Text">
          <xsd:simpleType>
            <xsd:restriction base="dms:Choice">
              <xsd:enumeration value="Production"/>
              <xsd:enumeration value="Inputs"/>
              <xsd:enumeration value="Market"/>
              <xsd:enumeration value="Unassigned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default="Unknown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AGIS"/>
                        <xsd:enumeration value="CEC"/>
                        <xsd:enumeration value="IGC"/>
                        <xsd:enumeration value="CEF"/>
                        <xsd:enumeration value="AgFacts"/>
                        <xsd:enumeration value="Industry"/>
                        <xsd:enumeration value="Cn Chemicals"/>
                        <xsd:enumeration value="Omnia"/>
                        <xsd:enumeration value="JSE"/>
                        <xsd:enumeration value="AFMA"/>
                        <xsd:enumeration value="CBOT"/>
                        <xsd:enumeration value="Oilworld"/>
                        <xsd:enumeration value="USDA"/>
                        <xsd:enumeration value="Seaboard"/>
                        <xsd:enumeration value="Stats SA"/>
                        <xsd:enumeration value="SOILL"/>
                        <xsd:enumeration value="Kynoch"/>
                        <xsd:enumeration value="Sidi Parani"/>
                        <xsd:enumeration value="SASOL"/>
                        <xsd:enumeration value="Foskor"/>
                        <xsd:enumeration value="SA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ransferredtoMasterFile" ma:index="14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5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  <xsd:element name="Category" ma:index="16" nillable="true" ma:displayName="Category" ma:default="Unassigned" ma:format="Dropdown" ma:internalName="Category">
      <xsd:simpleType>
        <xsd:restriction base="dms:Choice">
          <xsd:enumeration value="Machinery"/>
          <xsd:enumeration value="Fuel"/>
          <xsd:enumeration value="Fertilizer"/>
          <xsd:enumeration value="Chemicals"/>
          <xsd:enumeration value="Unassigned"/>
          <xsd:enumeration value="Production Statistics"/>
          <xsd:enumeration value="Weather"/>
          <xsd:enumeration value="Deliveries"/>
          <xsd:enumeration value="Grain Prices"/>
          <xsd:enumeration value="Grain Products"/>
          <xsd:enumeration value="Imports &amp; Exports"/>
          <xsd:enumeration value="Silo Data"/>
          <xsd:enumeration value="General Market Info"/>
        </xsd:restriction>
      </xsd:simpleType>
    </xsd:element>
    <xsd:element name="Content" ma:index="17" nillable="true" ma:displayName="Content" ma:format="Dropdown" ma:internalName="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Market</Division>
    <Source xmlns="65f53dc4-d250-4e55-bddf-148ce7e458c8">
      <Value>SAGIS</Value>
    </Source>
    <RetentionStatus xmlns="65f53dc4-d250-4e55-bddf-148ce7e458c8">Active</RetentionStatus>
    <TransferredtoMasterFile xmlns="65f53dc4-d250-4e55-bddf-148ce7e458c8" xsi:nil="true"/>
    <Rawdata xmlns="65f53dc4-d250-4e55-bddf-148ce7e458c8" xsi:nil="true"/>
    <Category xmlns="65f53dc4-d250-4e55-bddf-148ce7e458c8">Imports &amp; Exports</Category>
    <Content xmlns="65f53dc4-d250-4e55-bddf-148ce7e458c8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12B62A9-12F3-494C-9BD4-F57AED0C60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5430EF-E3F2-4D82-A5D4-48270761CA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F86B06-DDBB-4ADD-9177-1B1E90CA4B1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65f53dc4-d250-4e55-bddf-148ce7e458c8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E9116B3-2337-4424-8C7C-4A26F34BDFB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Export destin -Uitvoer bestem.</vt:lpstr>
      <vt:lpstr>Imports from - Invoere vanaf </vt:lpstr>
      <vt:lpstr>Vorige Weekliks-Previous Weekly</vt:lpstr>
      <vt:lpstr>Weekliks-Weekly</vt:lpstr>
      <vt:lpstr>Sheet1</vt:lpstr>
      <vt:lpstr>White Imports other countries</vt:lpstr>
      <vt:lpstr>Yellow Imports other countries</vt:lpstr>
      <vt:lpstr>White export for import</vt:lpstr>
      <vt:lpstr>Yellow export for import</vt:lpstr>
      <vt:lpstr>WM Imports per harbour</vt:lpstr>
      <vt:lpstr>YM Imports per harbour</vt:lpstr>
      <vt:lpstr>Geelmielie uitvoere</vt:lpstr>
      <vt:lpstr>Witmielie uitvoere</vt:lpstr>
      <vt:lpstr>Weeklikse uitvoere</vt:lpstr>
      <vt:lpstr>Cumulative WM Exports</vt:lpstr>
      <vt:lpstr>Cumulative Total Maize Exports</vt:lpstr>
      <vt:lpstr>Chart - Cum. uitvoere-exports</vt:lpstr>
      <vt:lpstr>Chart - Cum. invoere-impor </vt:lpstr>
      <vt:lpstr>Cummulative exports</vt:lpstr>
      <vt:lpstr>'Export destin -Uitvoer bestem.'!Print_Area</vt:lpstr>
      <vt:lpstr>'Imports from - Invoere vanaf '!Print_Area</vt:lpstr>
    </vt:vector>
  </TitlesOfParts>
  <Manager/>
  <Company>Nampo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Nampo</dc:creator>
  <cp:keywords/>
  <dc:description/>
  <cp:lastModifiedBy>Luzelle Botha</cp:lastModifiedBy>
  <cp:revision/>
  <cp:lastPrinted>2026-04-28T10:51:00Z</cp:lastPrinted>
  <dcterms:created xsi:type="dcterms:W3CDTF">2005-05-06T06:48:19Z</dcterms:created>
  <dcterms:modified xsi:type="dcterms:W3CDTF">2026-04-28T11:06:37Z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Luzelle Botha</vt:lpwstr>
  </property>
  <property fmtid="{D5CDD505-2E9C-101B-9397-08002B2CF9AE}" pid="3" name="Order">
    <vt:lpwstr>11269400.0000000</vt:lpwstr>
  </property>
  <property fmtid="{D5CDD505-2E9C-101B-9397-08002B2CF9AE}" pid="4" name="display_urn:schemas-microsoft-com:office:office#Author">
    <vt:lpwstr>Luzelle Botha</vt:lpwstr>
  </property>
  <property fmtid="{D5CDD505-2E9C-101B-9397-08002B2CF9AE}" pid="5" name="ContentTypeId">
    <vt:lpwstr>0x01010099528AF1E56B9447927F1E6F610AF402</vt:lpwstr>
  </property>
  <property fmtid="{D5CDD505-2E9C-101B-9397-08002B2CF9AE}" pid="6" name="MediaServiceImageTags">
    <vt:lpwstr/>
  </property>
  <property fmtid="{D5CDD505-2E9C-101B-9397-08002B2CF9AE}" pid="7" name="DataType">
    <vt:lpwstr>Imports and Exports</vt:lpwstr>
  </property>
</Properties>
</file>