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Mark/GSA Market Information/Vraag en Aanbod - S&amp;D/2024/Jan/"/>
    </mc:Choice>
  </mc:AlternateContent>
  <xr:revisionPtr revIDLastSave="73" documentId="13_ncr:1_{74C09B12-BF25-4535-AD93-621868DA87B8}" xr6:coauthVersionLast="47" xr6:coauthVersionMax="47" xr10:uidLastSave="{76695029-0C2E-4CA3-A4D2-031FC65F619F}"/>
  <bookViews>
    <workbookView xWindow="-108" yWindow="-108" windowWidth="23256" windowHeight="12456" tabRatio="867" xr2:uid="{00000000-000D-0000-FFFF-FFFF00000000}"/>
  </bookViews>
  <sheets>
    <sheet name="Voorblad-Front" sheetId="1" r:id="rId1"/>
    <sheet name="DATA-Sojabone - Soybean" sheetId="30" r:id="rId2"/>
    <sheet name="Sheet1" sheetId="45" state="hidden" r:id="rId3"/>
    <sheet name="Soybean sensitiwity analysis" sheetId="46" r:id="rId4"/>
    <sheet name="DATA-S blom-S Seeds" sheetId="9" r:id="rId5"/>
    <sheet name="Sunflower sensitiwity analysis" sheetId="47" r:id="rId6"/>
    <sheet name="DATA-Grondbone - Groundnuts" sheetId="31" r:id="rId7"/>
    <sheet name="DATA-Kanola - Canola" sheetId="32" r:id="rId8"/>
    <sheet name="Groundnut Prod &amp; Yield" sheetId="42" state="hidden" r:id="rId9"/>
    <sheet name="Groundnut Imports &amp; Exports" sheetId="41" state="hidden" r:id="rId10"/>
    <sheet name="Soyabean Imports &amp; Exports" sheetId="40" state="hidden" r:id="rId11"/>
    <sheet name="Sunseed Imports &amp; Exports" sheetId="38" state="hidden" r:id="rId12"/>
    <sheet name="Sun Prod &amp; Yield" sheetId="36" state="hidden" r:id="rId13"/>
    <sheet name="SUNS_Prod_Cons" sheetId="43" state="hidden" r:id="rId14"/>
    <sheet name="Soy_Prod_Cons" sheetId="44" state="hidden" r:id="rId15"/>
    <sheet name="SOY Prod &amp; Yield" sheetId="35" state="hidden" r:id="rId16"/>
    <sheet name="SOY SUN Cons" sheetId="37" state="hidden" r:id="rId17"/>
  </sheets>
  <definedNames>
    <definedName name="_xlnm.Print_Area" localSheetId="6">'DATA-Grondbone - Groundnuts'!$A$1:$AA$41</definedName>
    <definedName name="_xlnm.Print_Area" localSheetId="7">'DATA-Kanola - Canola'!$A$1:$AB$47</definedName>
    <definedName name="_xlnm.Print_Area" localSheetId="4">'DATA-S blom-S Seeds'!$A$1:$AG$50</definedName>
    <definedName name="_xlnm.Print_Area" localSheetId="1">'DATA-Sojabone - Soybean'!$A$1:$AG$64</definedName>
    <definedName name="_xlnm.Print_Area" localSheetId="0">'Voorblad-Front'!$C$1:$C$32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8" i="32" l="1"/>
  <c r="AA35" i="32" s="1"/>
  <c r="AB34" i="31"/>
  <c r="AC34" i="31" s="1"/>
  <c r="AA32" i="31"/>
  <c r="AB30" i="31"/>
  <c r="AD30" i="31" s="1"/>
  <c r="AB31" i="31"/>
  <c r="AD31" i="31" s="1"/>
  <c r="AB29" i="31"/>
  <c r="AD29" i="31" s="1"/>
  <c r="AB23" i="31"/>
  <c r="AD23" i="31" s="1"/>
  <c r="AB24" i="31"/>
  <c r="AD24" i="31" s="1"/>
  <c r="AB25" i="31"/>
  <c r="AC25" i="31" s="1"/>
  <c r="AB22" i="31"/>
  <c r="AC22" i="31" s="1"/>
  <c r="Y5" i="31"/>
  <c r="AB32" i="31" l="1"/>
  <c r="AC32" i="31" s="1"/>
  <c r="AC23" i="31"/>
  <c r="AD22" i="31"/>
  <c r="AC29" i="31"/>
  <c r="AD25" i="31"/>
  <c r="AC31" i="31"/>
  <c r="AD32" i="31"/>
  <c r="AC24" i="31"/>
  <c r="AC30" i="31"/>
  <c r="AB26" i="31"/>
  <c r="AB39" i="31" s="1"/>
  <c r="AD26" i="31"/>
  <c r="AD39" i="31" s="1"/>
  <c r="Y5" i="9"/>
  <c r="AD27" i="9"/>
  <c r="AD22" i="9"/>
  <c r="AC26" i="31" l="1"/>
  <c r="AC39" i="31" s="1"/>
  <c r="AD33" i="31"/>
  <c r="AD35" i="31" s="1"/>
  <c r="AB33" i="31"/>
  <c r="AB35" i="31" s="1"/>
  <c r="AD31" i="30"/>
  <c r="AE31" i="30" s="1"/>
  <c r="AF31" i="30" s="1"/>
  <c r="AD30" i="30"/>
  <c r="AD29" i="30"/>
  <c r="AE29" i="30" s="1"/>
  <c r="AD24" i="30"/>
  <c r="Z15" i="30"/>
  <c r="AA15" i="32"/>
  <c r="F12" i="47"/>
  <c r="F11" i="47"/>
  <c r="D11" i="47"/>
  <c r="F10" i="47"/>
  <c r="D10" i="47"/>
  <c r="C10" i="47"/>
  <c r="F9" i="47"/>
  <c r="F8" i="47"/>
  <c r="E8" i="47"/>
  <c r="D8" i="47"/>
  <c r="F7" i="47"/>
  <c r="D7" i="47"/>
  <c r="F6" i="47"/>
  <c r="I5" i="47"/>
  <c r="I8" i="47" s="1"/>
  <c r="H5" i="47"/>
  <c r="H10" i="47" s="1"/>
  <c r="G5" i="47"/>
  <c r="G10" i="47" s="1"/>
  <c r="E5" i="47"/>
  <c r="E7" i="47" s="1"/>
  <c r="D5" i="47"/>
  <c r="D12" i="47" s="1"/>
  <c r="C5" i="47"/>
  <c r="C9" i="47" s="1"/>
  <c r="F12" i="46"/>
  <c r="F11" i="46"/>
  <c r="F10" i="46"/>
  <c r="F9" i="46"/>
  <c r="F8" i="46"/>
  <c r="F7" i="46"/>
  <c r="F6" i="46"/>
  <c r="H5" i="46"/>
  <c r="H9" i="46" s="1"/>
  <c r="I5" i="46"/>
  <c r="I9" i="46" s="1"/>
  <c r="G5" i="46"/>
  <c r="G9" i="46" s="1"/>
  <c r="C5" i="46"/>
  <c r="C11" i="46" s="1"/>
  <c r="D5" i="46"/>
  <c r="D9" i="46" s="1"/>
  <c r="E5" i="46"/>
  <c r="E6" i="46" s="1"/>
  <c r="AD28" i="9"/>
  <c r="AD29" i="9"/>
  <c r="AE29" i="9" s="1"/>
  <c r="AF29" i="9" s="1"/>
  <c r="AE27" i="9"/>
  <c r="AF27" i="9" s="1"/>
  <c r="AD23" i="9"/>
  <c r="AE22" i="9"/>
  <c r="AD25" i="30"/>
  <c r="AE25" i="30" s="1"/>
  <c r="AF25" i="30" s="1"/>
  <c r="AE6" i="30"/>
  <c r="AF6" i="30" s="1"/>
  <c r="AC31" i="9"/>
  <c r="AC33" i="31" l="1"/>
  <c r="AC35" i="31" s="1"/>
  <c r="AD27" i="30"/>
  <c r="AD34" i="30"/>
  <c r="G11" i="46"/>
  <c r="D6" i="46"/>
  <c r="C6" i="46"/>
  <c r="I7" i="46"/>
  <c r="G6" i="46"/>
  <c r="G7" i="46"/>
  <c r="E10" i="46"/>
  <c r="C10" i="46"/>
  <c r="G12" i="46"/>
  <c r="G8" i="46"/>
  <c r="AD31" i="9"/>
  <c r="AF22" i="9"/>
  <c r="AE28" i="9"/>
  <c r="AF28" i="9" s="1"/>
  <c r="AF31" i="9" s="1"/>
  <c r="AD25" i="9"/>
  <c r="AE23" i="9"/>
  <c r="AF23" i="9" s="1"/>
  <c r="I12" i="46"/>
  <c r="I11" i="46"/>
  <c r="I6" i="46"/>
  <c r="I10" i="46"/>
  <c r="I8" i="46"/>
  <c r="H7" i="46"/>
  <c r="H12" i="46"/>
  <c r="H11" i="46"/>
  <c r="H6" i="46"/>
  <c r="H10" i="46"/>
  <c r="H8" i="46"/>
  <c r="I9" i="47"/>
  <c r="G6" i="47"/>
  <c r="I10" i="47"/>
  <c r="G7" i="47"/>
  <c r="G11" i="47"/>
  <c r="I11" i="47"/>
  <c r="D9" i="47"/>
  <c r="G12" i="47"/>
  <c r="E9" i="47"/>
  <c r="E11" i="47"/>
  <c r="C11" i="47"/>
  <c r="H12" i="47"/>
  <c r="C6" i="47"/>
  <c r="H7" i="47"/>
  <c r="I12" i="47"/>
  <c r="D6" i="47"/>
  <c r="I7" i="47"/>
  <c r="G9" i="47"/>
  <c r="E6" i="47"/>
  <c r="C8" i="47"/>
  <c r="H9" i="47"/>
  <c r="H11" i="47"/>
  <c r="H6" i="47"/>
  <c r="I6" i="47"/>
  <c r="G8" i="47"/>
  <c r="E10" i="47"/>
  <c r="C12" i="47"/>
  <c r="C7" i="47"/>
  <c r="H8" i="47"/>
  <c r="E12" i="47"/>
  <c r="D10" i="46"/>
  <c r="E9" i="46"/>
  <c r="C9" i="46"/>
  <c r="E8" i="46"/>
  <c r="D8" i="46"/>
  <c r="E7" i="46"/>
  <c r="E11" i="46"/>
  <c r="D7" i="46"/>
  <c r="D12" i="46"/>
  <c r="C8" i="46"/>
  <c r="C12" i="46"/>
  <c r="D11" i="46"/>
  <c r="C7" i="46"/>
  <c r="E12" i="46"/>
  <c r="G10" i="46"/>
  <c r="AF29" i="30"/>
  <c r="AE24" i="30"/>
  <c r="AF24" i="30" s="1"/>
  <c r="AE30" i="30"/>
  <c r="AF30" i="30" s="1"/>
  <c r="AC34" i="30"/>
  <c r="AA8" i="32"/>
  <c r="AD35" i="30" l="1"/>
  <c r="AD37" i="30" s="1"/>
  <c r="AD41" i="30"/>
  <c r="AF25" i="9"/>
  <c r="AF32" i="9" s="1"/>
  <c r="AF34" i="9" s="1"/>
  <c r="AD32" i="9"/>
  <c r="AD34" i="9" s="1"/>
  <c r="AE27" i="30"/>
  <c r="AE41" i="30" s="1"/>
  <c r="AD38" i="9"/>
  <c r="AE31" i="9"/>
  <c r="AE25" i="9"/>
  <c r="AF27" i="30"/>
  <c r="AF41" i="30" s="1"/>
  <c r="AF34" i="30"/>
  <c r="AE34" i="30"/>
  <c r="AA13" i="32"/>
  <c r="AA18" i="32" s="1"/>
  <c r="AA41" i="32"/>
  <c r="AF38" i="9" l="1"/>
  <c r="AE35" i="30"/>
  <c r="AE37" i="30" s="1"/>
  <c r="AE38" i="9"/>
  <c r="AE32" i="9"/>
  <c r="AE34" i="9" s="1"/>
  <c r="AF35" i="30"/>
  <c r="AF37" i="30" s="1"/>
  <c r="AA37" i="32"/>
  <c r="Z5" i="31" l="1"/>
  <c r="Z10" i="31"/>
  <c r="Z15" i="31" s="1"/>
  <c r="AB34" i="30"/>
  <c r="AB27" i="30"/>
  <c r="AC5" i="9"/>
  <c r="AA5" i="31"/>
  <c r="AC7" i="30"/>
  <c r="Y13" i="32"/>
  <c r="Y18" i="32" s="1"/>
  <c r="AA10" i="31"/>
  <c r="AA15" i="31" s="1"/>
  <c r="W5" i="31"/>
  <c r="AC25" i="9"/>
  <c r="AB10" i="9"/>
  <c r="AB15" i="9" s="1"/>
  <c r="AB25" i="9"/>
  <c r="AB38" i="9" s="1"/>
  <c r="AB31" i="9"/>
  <c r="AC10" i="9"/>
  <c r="AC15" i="9" s="1"/>
  <c r="AB5" i="9"/>
  <c r="AA34" i="30"/>
  <c r="AA27" i="30"/>
  <c r="AA41" i="30" s="1"/>
  <c r="AB7" i="30"/>
  <c r="AC12" i="30"/>
  <c r="AC17" i="30" s="1"/>
  <c r="Z13" i="32"/>
  <c r="Z34" i="32"/>
  <c r="Y39" i="31"/>
  <c r="Y41" i="31" s="1"/>
  <c r="Y32" i="31"/>
  <c r="AA18" i="9"/>
  <c r="AA20" i="30"/>
  <c r="AB41" i="30"/>
  <c r="V15" i="9"/>
  <c r="X18" i="31"/>
  <c r="AA5" i="9"/>
  <c r="AA7" i="30"/>
  <c r="Y8" i="32"/>
  <c r="AA10" i="9"/>
  <c r="AB12" i="30"/>
  <c r="AB17" i="30" s="1"/>
  <c r="AB20" i="30" s="1"/>
  <c r="AA25" i="9"/>
  <c r="AA38" i="9"/>
  <c r="Y34" i="32"/>
  <c r="Y28" i="32"/>
  <c r="Y41" i="32" s="1"/>
  <c r="X34" i="32"/>
  <c r="X28" i="32"/>
  <c r="X41" i="32" s="1"/>
  <c r="X13" i="32"/>
  <c r="X8" i="32"/>
  <c r="W18" i="31"/>
  <c r="Y34" i="30"/>
  <c r="X32" i="31"/>
  <c r="X26" i="31"/>
  <c r="X39" i="31" s="1"/>
  <c r="X10" i="31"/>
  <c r="X5" i="31"/>
  <c r="Z5" i="9"/>
  <c r="Z31" i="9"/>
  <c r="Z25" i="9"/>
  <c r="Z38" i="9" s="1"/>
  <c r="Z10" i="9"/>
  <c r="Z15" i="9" s="1"/>
  <c r="Z18" i="9" s="1"/>
  <c r="Z7" i="30"/>
  <c r="Z27" i="30"/>
  <c r="Z12" i="30"/>
  <c r="V21" i="32"/>
  <c r="V10" i="31"/>
  <c r="W34" i="32"/>
  <c r="W28" i="32"/>
  <c r="W41" i="32" s="1"/>
  <c r="W13" i="32"/>
  <c r="W8" i="32"/>
  <c r="V32" i="31"/>
  <c r="V18" i="31"/>
  <c r="X18" i="9"/>
  <c r="X20" i="30"/>
  <c r="W32" i="31"/>
  <c r="W26" i="31"/>
  <c r="W39" i="31" s="1"/>
  <c r="W10" i="31"/>
  <c r="Y25" i="9"/>
  <c r="Y38" i="9" s="1"/>
  <c r="Y10" i="9"/>
  <c r="Y12" i="30"/>
  <c r="Y7" i="30"/>
  <c r="Z32" i="31"/>
  <c r="Z26" i="31"/>
  <c r="Z39" i="31" s="1"/>
  <c r="Z18" i="31"/>
  <c r="Y10" i="31"/>
  <c r="E6" i="45"/>
  <c r="H6" i="45"/>
  <c r="B12" i="45"/>
  <c r="N9" i="45"/>
  <c r="B35" i="45"/>
  <c r="B36" i="45"/>
  <c r="B34" i="45"/>
  <c r="B33" i="45"/>
  <c r="E33" i="45"/>
  <c r="B32" i="45"/>
  <c r="I29" i="45"/>
  <c r="B24" i="45"/>
  <c r="E21" i="45"/>
  <c r="E22" i="45"/>
  <c r="E23" i="45"/>
  <c r="I23" i="45"/>
  <c r="E24" i="45"/>
  <c r="E25" i="45"/>
  <c r="I17" i="45"/>
  <c r="E9" i="45"/>
  <c r="I9" i="45"/>
  <c r="E8" i="45"/>
  <c r="E7" i="45"/>
  <c r="I5" i="45"/>
  <c r="L5" i="45"/>
  <c r="U21" i="32"/>
  <c r="W5" i="30"/>
  <c r="U18" i="31"/>
  <c r="W18" i="9"/>
  <c r="W20" i="30"/>
  <c r="V8" i="32"/>
  <c r="V13" i="32"/>
  <c r="V28" i="32"/>
  <c r="V41" i="32" s="1"/>
  <c r="V34" i="32"/>
  <c r="V35" i="32" s="1"/>
  <c r="V37" i="32" s="1"/>
  <c r="V39" i="32" s="1"/>
  <c r="V5" i="31"/>
  <c r="V26" i="31"/>
  <c r="V39" i="31" s="1"/>
  <c r="X5" i="9"/>
  <c r="X10" i="9"/>
  <c r="X25" i="9"/>
  <c r="X38" i="9" s="1"/>
  <c r="X31" i="9"/>
  <c r="X7" i="30"/>
  <c r="X12" i="30"/>
  <c r="X27" i="30"/>
  <c r="X41" i="30" s="1"/>
  <c r="X34" i="30"/>
  <c r="W25" i="9"/>
  <c r="W38" i="9" s="1"/>
  <c r="T34" i="32"/>
  <c r="U8" i="32"/>
  <c r="U13" i="32"/>
  <c r="U28" i="32"/>
  <c r="U41" i="32"/>
  <c r="U34" i="32"/>
  <c r="T8" i="32"/>
  <c r="T13" i="32"/>
  <c r="T21" i="32"/>
  <c r="T28" i="32"/>
  <c r="T41" i="32" s="1"/>
  <c r="T15" i="31"/>
  <c r="S28" i="32"/>
  <c r="S41" i="32" s="1"/>
  <c r="U5" i="31"/>
  <c r="U10" i="31"/>
  <c r="U26" i="31"/>
  <c r="U39" i="31" s="1"/>
  <c r="U32" i="31"/>
  <c r="W5" i="9"/>
  <c r="W10" i="9"/>
  <c r="W31" i="9"/>
  <c r="W7" i="30"/>
  <c r="W27" i="30"/>
  <c r="W41" i="30" s="1"/>
  <c r="W34" i="30"/>
  <c r="AA31" i="9"/>
  <c r="A2" i="9"/>
  <c r="T5" i="31"/>
  <c r="T32" i="31"/>
  <c r="T26" i="31"/>
  <c r="T39" i="31" s="1"/>
  <c r="V7" i="30"/>
  <c r="V34" i="30"/>
  <c r="V27" i="30"/>
  <c r="V41" i="30" s="1"/>
  <c r="V12" i="30"/>
  <c r="V5" i="9"/>
  <c r="V31" i="9"/>
  <c r="V25" i="9"/>
  <c r="V38" i="9" s="1"/>
  <c r="S5" i="31"/>
  <c r="U5" i="9"/>
  <c r="S10" i="31"/>
  <c r="U10" i="9"/>
  <c r="T25" i="9"/>
  <c r="T38" i="9" s="1"/>
  <c r="R32" i="31"/>
  <c r="S32" i="31"/>
  <c r="T31" i="9"/>
  <c r="U31" i="9"/>
  <c r="T34" i="30"/>
  <c r="U34" i="30"/>
  <c r="U12" i="30"/>
  <c r="T10" i="9"/>
  <c r="S26" i="31"/>
  <c r="S39" i="31" s="1"/>
  <c r="U27" i="30"/>
  <c r="U41" i="30" s="1"/>
  <c r="U25" i="9"/>
  <c r="U38" i="9" s="1"/>
  <c r="R8" i="32"/>
  <c r="R26" i="31"/>
  <c r="R39" i="31" s="1"/>
  <c r="R10" i="31"/>
  <c r="R5" i="31"/>
  <c r="T5" i="9"/>
  <c r="T27" i="30"/>
  <c r="T41" i="30" s="1"/>
  <c r="T12" i="30"/>
  <c r="T7" i="30"/>
  <c r="Q26" i="31"/>
  <c r="Q39" i="31" s="1"/>
  <c r="R7" i="30"/>
  <c r="S12" i="30"/>
  <c r="S7" i="30"/>
  <c r="S20" i="30"/>
  <c r="S27" i="30"/>
  <c r="S41" i="30" s="1"/>
  <c r="S34" i="30"/>
  <c r="Q32" i="31"/>
  <c r="Q18" i="31"/>
  <c r="Q10" i="31"/>
  <c r="Q5" i="31"/>
  <c r="R12" i="30"/>
  <c r="S5" i="9"/>
  <c r="S31" i="9"/>
  <c r="S25" i="9"/>
  <c r="S38" i="9" s="1"/>
  <c r="S18" i="9"/>
  <c r="S10" i="9"/>
  <c r="R13" i="32"/>
  <c r="R34" i="32"/>
  <c r="R28" i="32"/>
  <c r="R34" i="30"/>
  <c r="R27" i="30"/>
  <c r="R41" i="30" s="1"/>
  <c r="R20" i="30"/>
  <c r="R31" i="9"/>
  <c r="R25" i="9"/>
  <c r="R38" i="9" s="1"/>
  <c r="R18" i="9"/>
  <c r="R10" i="9"/>
  <c r="Q8" i="32"/>
  <c r="Q34" i="32"/>
  <c r="Q28" i="32"/>
  <c r="Q41" i="32" s="1"/>
  <c r="Q13" i="32"/>
  <c r="P34" i="32"/>
  <c r="P28" i="32"/>
  <c r="P41" i="32" s="1"/>
  <c r="P13" i="32"/>
  <c r="P8" i="32"/>
  <c r="Q31" i="9"/>
  <c r="B34" i="32"/>
  <c r="C99" i="32"/>
  <c r="C95" i="32"/>
  <c r="O34" i="32"/>
  <c r="N34" i="32"/>
  <c r="M34" i="32"/>
  <c r="L34" i="32"/>
  <c r="K34" i="32"/>
  <c r="J34" i="32"/>
  <c r="I34" i="32"/>
  <c r="H34" i="32"/>
  <c r="G34" i="32"/>
  <c r="F34" i="32"/>
  <c r="F35" i="32" s="1"/>
  <c r="F37" i="32" s="1"/>
  <c r="E34" i="32"/>
  <c r="D34" i="32"/>
  <c r="C34" i="32"/>
  <c r="O28" i="32"/>
  <c r="O41" i="32" s="1"/>
  <c r="N28" i="32"/>
  <c r="N41" i="32" s="1"/>
  <c r="M28" i="32"/>
  <c r="M41" i="32" s="1"/>
  <c r="L28" i="32"/>
  <c r="L41" i="32" s="1"/>
  <c r="K28" i="32"/>
  <c r="K41" i="32" s="1"/>
  <c r="J28" i="32"/>
  <c r="J41" i="32" s="1"/>
  <c r="I28" i="32"/>
  <c r="I41" i="32" s="1"/>
  <c r="H28" i="32"/>
  <c r="G28" i="32"/>
  <c r="G41" i="32" s="1"/>
  <c r="F28" i="32"/>
  <c r="F41" i="32" s="1"/>
  <c r="E28" i="32"/>
  <c r="E41" i="32" s="1"/>
  <c r="D28" i="32"/>
  <c r="D41" i="32" s="1"/>
  <c r="C28" i="32"/>
  <c r="C97" i="32" s="1"/>
  <c r="B28" i="32"/>
  <c r="B41" i="32" s="1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B13" i="32"/>
  <c r="B21" i="32"/>
  <c r="O8" i="32"/>
  <c r="N8" i="32"/>
  <c r="M8" i="32"/>
  <c r="L8" i="32"/>
  <c r="K8" i="32"/>
  <c r="J8" i="32"/>
  <c r="I8" i="32"/>
  <c r="H8" i="32"/>
  <c r="G8" i="32"/>
  <c r="F8" i="32"/>
  <c r="E8" i="32"/>
  <c r="D8" i="32"/>
  <c r="C8" i="32"/>
  <c r="B8" i="32"/>
  <c r="A5" i="32"/>
  <c r="P26" i="31"/>
  <c r="P39" i="31" s="1"/>
  <c r="O26" i="31"/>
  <c r="O39" i="31" s="1"/>
  <c r="N26" i="31"/>
  <c r="N39" i="31" s="1"/>
  <c r="M26" i="31"/>
  <c r="M39" i="31" s="1"/>
  <c r="L26" i="31"/>
  <c r="L39" i="31" s="1"/>
  <c r="K26" i="31"/>
  <c r="K39" i="31" s="1"/>
  <c r="J26" i="31"/>
  <c r="J39" i="31" s="1"/>
  <c r="I26" i="31"/>
  <c r="I39" i="31" s="1"/>
  <c r="H26" i="31"/>
  <c r="H39" i="31" s="1"/>
  <c r="G26" i="31"/>
  <c r="F26" i="31"/>
  <c r="F39" i="31" s="1"/>
  <c r="E26" i="31"/>
  <c r="E39" i="31" s="1"/>
  <c r="D26" i="31"/>
  <c r="D39" i="31" s="1"/>
  <c r="C26" i="31"/>
  <c r="C39" i="31" s="1"/>
  <c r="B26" i="31"/>
  <c r="B39" i="31" s="1"/>
  <c r="P5" i="31"/>
  <c r="O5" i="31"/>
  <c r="N5" i="31"/>
  <c r="M5" i="31"/>
  <c r="L5" i="31"/>
  <c r="K5" i="31"/>
  <c r="J5" i="31"/>
  <c r="I5" i="31"/>
  <c r="H5" i="31"/>
  <c r="G5" i="31"/>
  <c r="F5" i="31"/>
  <c r="E5" i="31"/>
  <c r="D5" i="31"/>
  <c r="C5" i="31"/>
  <c r="B5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C32" i="31"/>
  <c r="B32" i="31"/>
  <c r="P10" i="31"/>
  <c r="O10" i="31"/>
  <c r="N10" i="31"/>
  <c r="M10" i="31"/>
  <c r="L10" i="31"/>
  <c r="K10" i="31"/>
  <c r="J10" i="31"/>
  <c r="I10" i="31"/>
  <c r="H10" i="31"/>
  <c r="G10" i="31"/>
  <c r="F10" i="31"/>
  <c r="E10" i="31"/>
  <c r="D10" i="31"/>
  <c r="C10" i="31"/>
  <c r="B10" i="31"/>
  <c r="B18" i="31"/>
  <c r="A2" i="31"/>
  <c r="D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E34" i="30"/>
  <c r="C34" i="30"/>
  <c r="B34" i="30"/>
  <c r="Q27" i="30"/>
  <c r="Q41" i="30" s="1"/>
  <c r="P27" i="30"/>
  <c r="P41" i="30" s="1"/>
  <c r="O27" i="30"/>
  <c r="O41" i="30" s="1"/>
  <c r="N27" i="30"/>
  <c r="M27" i="30"/>
  <c r="M41" i="30" s="1"/>
  <c r="L27" i="30"/>
  <c r="L41" i="30" s="1"/>
  <c r="K27" i="30"/>
  <c r="K41" i="30" s="1"/>
  <c r="J27" i="30"/>
  <c r="J41" i="30" s="1"/>
  <c r="I27" i="30"/>
  <c r="I41" i="30" s="1"/>
  <c r="H27" i="30"/>
  <c r="H41" i="30" s="1"/>
  <c r="G27" i="30"/>
  <c r="G41" i="30" s="1"/>
  <c r="F27" i="30"/>
  <c r="F41" i="30" s="1"/>
  <c r="E27" i="30"/>
  <c r="E41" i="30" s="1"/>
  <c r="D27" i="30"/>
  <c r="D41" i="30" s="1"/>
  <c r="C27" i="30"/>
  <c r="C41" i="30" s="1"/>
  <c r="B27" i="30"/>
  <c r="B41" i="30" s="1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E17" i="30" s="1"/>
  <c r="D12" i="30"/>
  <c r="D17" i="30" s="1"/>
  <c r="C12" i="30"/>
  <c r="C17" i="30" s="1"/>
  <c r="B12" i="30"/>
  <c r="B17" i="30" s="1"/>
  <c r="B20" i="30" s="1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A4" i="30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Q25" i="9"/>
  <c r="Q38" i="9" s="1"/>
  <c r="P25" i="9"/>
  <c r="P38" i="9" s="1"/>
  <c r="O25" i="9"/>
  <c r="O38" i="9" s="1"/>
  <c r="N25" i="9"/>
  <c r="N38" i="9" s="1"/>
  <c r="M25" i="9"/>
  <c r="M38" i="9" s="1"/>
  <c r="L25" i="9"/>
  <c r="L38" i="9" s="1"/>
  <c r="K25" i="9"/>
  <c r="K38" i="9" s="1"/>
  <c r="J25" i="9"/>
  <c r="J38" i="9" s="1"/>
  <c r="I25" i="9"/>
  <c r="I38" i="9" s="1"/>
  <c r="H25" i="9"/>
  <c r="H38" i="9" s="1"/>
  <c r="G25" i="9"/>
  <c r="F25" i="9"/>
  <c r="F38" i="9" s="1"/>
  <c r="E25" i="9"/>
  <c r="D25" i="9"/>
  <c r="D38" i="9" s="1"/>
  <c r="C25" i="9"/>
  <c r="C38" i="9" s="1"/>
  <c r="B25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B15" i="9" s="1"/>
  <c r="B18" i="9" s="1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Q18" i="9"/>
  <c r="Q21" i="32"/>
  <c r="T18" i="9"/>
  <c r="R18" i="31"/>
  <c r="T20" i="30"/>
  <c r="S18" i="31"/>
  <c r="R21" i="32"/>
  <c r="E34" i="45"/>
  <c r="E35" i="45"/>
  <c r="E36" i="45"/>
  <c r="E37" i="45"/>
  <c r="E32" i="45"/>
  <c r="E31" i="45"/>
  <c r="E30" i="45"/>
  <c r="E20" i="45"/>
  <c r="E19" i="45"/>
  <c r="K20" i="45"/>
  <c r="I20" i="45"/>
  <c r="F5" i="45"/>
  <c r="J5" i="45"/>
  <c r="J17" i="45"/>
  <c r="I24" i="45"/>
  <c r="I25" i="45"/>
  <c r="G5" i="45"/>
  <c r="K5" i="45"/>
  <c r="K17" i="45"/>
  <c r="K22" i="45"/>
  <c r="I21" i="45"/>
  <c r="I22" i="45"/>
  <c r="H5" i="45"/>
  <c r="H17" i="45"/>
  <c r="J21" i="45"/>
  <c r="H21" i="45"/>
  <c r="H24" i="45"/>
  <c r="K25" i="45"/>
  <c r="K24" i="45"/>
  <c r="K23" i="45"/>
  <c r="K21" i="45"/>
  <c r="K19" i="45"/>
  <c r="Y20" i="30"/>
  <c r="F7" i="45"/>
  <c r="F9" i="45"/>
  <c r="F8" i="45"/>
  <c r="H9" i="45"/>
  <c r="H8" i="45"/>
  <c r="H7" i="45"/>
  <c r="J23" i="45"/>
  <c r="J22" i="45"/>
  <c r="J20" i="45"/>
  <c r="K8" i="45"/>
  <c r="K7" i="45"/>
  <c r="K9" i="45"/>
  <c r="E18" i="45"/>
  <c r="I19" i="45"/>
  <c r="H19" i="45"/>
  <c r="J7" i="45"/>
  <c r="J9" i="45"/>
  <c r="L9" i="45"/>
  <c r="L8" i="45"/>
  <c r="L7" i="45"/>
  <c r="L6" i="45"/>
  <c r="J8" i="45"/>
  <c r="I8" i="45"/>
  <c r="I7" i="45"/>
  <c r="E10" i="45"/>
  <c r="E11" i="45"/>
  <c r="L10" i="45"/>
  <c r="J10" i="45"/>
  <c r="I10" i="45"/>
  <c r="K18" i="45"/>
  <c r="J18" i="45"/>
  <c r="I18" i="45"/>
  <c r="F10" i="45"/>
  <c r="F29" i="45"/>
  <c r="I33" i="45"/>
  <c r="J29" i="45"/>
  <c r="G29" i="45"/>
  <c r="L29" i="45"/>
  <c r="I32" i="45"/>
  <c r="I31" i="45"/>
  <c r="I37" i="45"/>
  <c r="K29" i="45"/>
  <c r="I35" i="45"/>
  <c r="H29" i="45"/>
  <c r="I34" i="45"/>
  <c r="I36" i="45"/>
  <c r="K10" i="45"/>
  <c r="H10" i="45"/>
  <c r="I6" i="45"/>
  <c r="J6" i="45"/>
  <c r="I30" i="45"/>
  <c r="G9" i="45"/>
  <c r="G8" i="45"/>
  <c r="G10" i="45"/>
  <c r="G7" i="45"/>
  <c r="G11" i="45"/>
  <c r="G6" i="45"/>
  <c r="H22" i="45"/>
  <c r="H25" i="45"/>
  <c r="H20" i="45"/>
  <c r="H23" i="45"/>
  <c r="H18" i="45"/>
  <c r="F6" i="45"/>
  <c r="K6" i="45"/>
  <c r="J24" i="45"/>
  <c r="J19" i="45"/>
  <c r="J25" i="45"/>
  <c r="L17" i="45"/>
  <c r="F17" i="45"/>
  <c r="G17" i="45"/>
  <c r="E12" i="45"/>
  <c r="L11" i="45"/>
  <c r="F11" i="45"/>
  <c r="H11" i="45"/>
  <c r="J11" i="45"/>
  <c r="I11" i="45"/>
  <c r="G31" i="45"/>
  <c r="G32" i="45"/>
  <c r="G36" i="45"/>
  <c r="G37" i="45"/>
  <c r="G30" i="45"/>
  <c r="G33" i="45"/>
  <c r="G35" i="45"/>
  <c r="G34" i="45"/>
  <c r="L37" i="45"/>
  <c r="L34" i="45"/>
  <c r="L30" i="45"/>
  <c r="L31" i="45"/>
  <c r="L33" i="45"/>
  <c r="L35" i="45"/>
  <c r="L36" i="45"/>
  <c r="L32" i="45"/>
  <c r="G24" i="45"/>
  <c r="G19" i="45"/>
  <c r="G25" i="45"/>
  <c r="G21" i="45"/>
  <c r="G23" i="45"/>
  <c r="G22" i="45"/>
  <c r="G18" i="45"/>
  <c r="G20" i="45"/>
  <c r="F24" i="45"/>
  <c r="F20" i="45"/>
  <c r="F22" i="45"/>
  <c r="F19" i="45"/>
  <c r="F23" i="45"/>
  <c r="F21" i="45"/>
  <c r="F18" i="45"/>
  <c r="F25" i="45"/>
  <c r="K11" i="45"/>
  <c r="K33" i="45"/>
  <c r="K36" i="45"/>
  <c r="K32" i="45"/>
  <c r="K34" i="45"/>
  <c r="K31" i="45"/>
  <c r="K35" i="45"/>
  <c r="K37" i="45"/>
  <c r="K30" i="45"/>
  <c r="F37" i="45"/>
  <c r="F35" i="45"/>
  <c r="F34" i="45"/>
  <c r="F36" i="45"/>
  <c r="F32" i="45"/>
  <c r="F30" i="45"/>
  <c r="F33" i="45"/>
  <c r="F31" i="45"/>
  <c r="H34" i="45"/>
  <c r="H31" i="45"/>
  <c r="H37" i="45"/>
  <c r="H33" i="45"/>
  <c r="H30" i="45"/>
  <c r="H32" i="45"/>
  <c r="H35" i="45"/>
  <c r="H36" i="45"/>
  <c r="J32" i="45"/>
  <c r="J31" i="45"/>
  <c r="J33" i="45"/>
  <c r="J36" i="45"/>
  <c r="J35" i="45"/>
  <c r="J30" i="45"/>
  <c r="J37" i="45"/>
  <c r="J34" i="45"/>
  <c r="L25" i="45"/>
  <c r="L23" i="45"/>
  <c r="L21" i="45"/>
  <c r="L20" i="45"/>
  <c r="L24" i="45"/>
  <c r="L18" i="45"/>
  <c r="L22" i="45"/>
  <c r="L19" i="45"/>
  <c r="I12" i="45"/>
  <c r="F12" i="45"/>
  <c r="E13" i="45"/>
  <c r="G12" i="45"/>
  <c r="J12" i="45"/>
  <c r="L12" i="45"/>
  <c r="H12" i="45"/>
  <c r="K12" i="45"/>
  <c r="I13" i="45"/>
  <c r="L13" i="45"/>
  <c r="K13" i="45"/>
  <c r="H13" i="45"/>
  <c r="J13" i="45"/>
  <c r="F13" i="45"/>
  <c r="G13" i="45"/>
  <c r="AA12" i="30"/>
  <c r="Z45" i="30"/>
  <c r="H41" i="32"/>
  <c r="Z28" i="32"/>
  <c r="Z41" i="30"/>
  <c r="Z43" i="30" s="1"/>
  <c r="AD7" i="30" l="1"/>
  <c r="AD8" i="30" s="1"/>
  <c r="AD12" i="30" s="1"/>
  <c r="AD17" i="30" s="1"/>
  <c r="AD5" i="31"/>
  <c r="AD6" i="31" s="1"/>
  <c r="AD10" i="31" s="1"/>
  <c r="AD15" i="31" s="1"/>
  <c r="AF5" i="9"/>
  <c r="AF6" i="9" s="1"/>
  <c r="AF10" i="9" s="1"/>
  <c r="AF15" i="9" s="1"/>
  <c r="AD5" i="9"/>
  <c r="AD6" i="9" s="1"/>
  <c r="AD10" i="9" s="1"/>
  <c r="AD15" i="9" s="1"/>
  <c r="AE5" i="9"/>
  <c r="AE6" i="9" s="1"/>
  <c r="AE10" i="9" s="1"/>
  <c r="AE15" i="9" s="1"/>
  <c r="AF7" i="30"/>
  <c r="AF8" i="30" s="1"/>
  <c r="AF12" i="30" s="1"/>
  <c r="AF17" i="30" s="1"/>
  <c r="AE7" i="30"/>
  <c r="AE8" i="30" s="1"/>
  <c r="AE12" i="30" s="1"/>
  <c r="AE17" i="30" s="1"/>
  <c r="AB5" i="31"/>
  <c r="AB6" i="31" s="1"/>
  <c r="AB10" i="31" s="1"/>
  <c r="AB15" i="31" s="1"/>
  <c r="AC5" i="31"/>
  <c r="AC6" i="31" s="1"/>
  <c r="AC10" i="31" s="1"/>
  <c r="AC15" i="31" s="1"/>
  <c r="T32" i="9"/>
  <c r="T34" i="9" s="1"/>
  <c r="T36" i="9" s="1"/>
  <c r="W33" i="31"/>
  <c r="W35" i="31" s="1"/>
  <c r="W37" i="31" s="1"/>
  <c r="O33" i="31"/>
  <c r="O35" i="31" s="1"/>
  <c r="B38" i="9"/>
  <c r="B32" i="9"/>
  <c r="H35" i="32"/>
  <c r="H37" i="32" s="1"/>
  <c r="H33" i="31"/>
  <c r="H35" i="31" s="1"/>
  <c r="N32" i="9"/>
  <c r="N34" i="9" s="1"/>
  <c r="Q33" i="31"/>
  <c r="Q35" i="31" s="1"/>
  <c r="T35" i="32"/>
  <c r="T37" i="32" s="1"/>
  <c r="T39" i="32" s="1"/>
  <c r="M32" i="9"/>
  <c r="M34" i="9" s="1"/>
  <c r="N33" i="31"/>
  <c r="N35" i="31" s="1"/>
  <c r="E35" i="32"/>
  <c r="E37" i="32" s="1"/>
  <c r="E33" i="31"/>
  <c r="E35" i="31" s="1"/>
  <c r="Q35" i="32"/>
  <c r="Q37" i="32" s="1"/>
  <c r="Q39" i="32" s="1"/>
  <c r="Q46" i="32" s="1"/>
  <c r="V32" i="9"/>
  <c r="V34" i="9" s="1"/>
  <c r="V36" i="9" s="1"/>
  <c r="V42" i="9" s="1"/>
  <c r="Z32" i="9"/>
  <c r="Z36" i="9" s="1"/>
  <c r="Z43" i="9" s="1"/>
  <c r="D35" i="32"/>
  <c r="D37" i="32" s="1"/>
  <c r="R35" i="32"/>
  <c r="R37" i="32" s="1"/>
  <c r="R39" i="32" s="1"/>
  <c r="R45" i="32" s="1"/>
  <c r="U33" i="31"/>
  <c r="U35" i="31" s="1"/>
  <c r="U37" i="31" s="1"/>
  <c r="U43" i="31" s="1"/>
  <c r="C32" i="9"/>
  <c r="C34" i="9" s="1"/>
  <c r="K32" i="9"/>
  <c r="K34" i="9" s="1"/>
  <c r="I33" i="31"/>
  <c r="I35" i="31" s="1"/>
  <c r="C41" i="32"/>
  <c r="G35" i="32"/>
  <c r="G37" i="32" s="1"/>
  <c r="O35" i="32"/>
  <c r="O37" i="32" s="1"/>
  <c r="X33" i="31"/>
  <c r="X35" i="31" s="1"/>
  <c r="X37" i="31" s="1"/>
  <c r="X43" i="31" s="1"/>
  <c r="K33" i="31"/>
  <c r="K35" i="31" s="1"/>
  <c r="B35" i="32"/>
  <c r="B37" i="32" s="1"/>
  <c r="B39" i="32" s="1"/>
  <c r="C17" i="32" s="1"/>
  <c r="C21" i="32" s="1"/>
  <c r="X35" i="30"/>
  <c r="X37" i="30" s="1"/>
  <c r="X39" i="30" s="1"/>
  <c r="X44" i="30" s="1"/>
  <c r="AA35" i="30"/>
  <c r="AA37" i="30" s="1"/>
  <c r="AA39" i="30" s="1"/>
  <c r="AA43" i="30" s="1"/>
  <c r="R35" i="30"/>
  <c r="R37" i="30" s="1"/>
  <c r="R39" i="30" s="1"/>
  <c r="R43" i="30" s="1"/>
  <c r="AB35" i="30"/>
  <c r="AB37" i="30" s="1"/>
  <c r="AB39" i="30" s="1"/>
  <c r="M35" i="30"/>
  <c r="M37" i="30" s="1"/>
  <c r="U35" i="32"/>
  <c r="U37" i="32" s="1"/>
  <c r="U39" i="32" s="1"/>
  <c r="U43" i="32" s="1"/>
  <c r="R41" i="32"/>
  <c r="K35" i="32"/>
  <c r="K37" i="32" s="1"/>
  <c r="P35" i="32"/>
  <c r="P37" i="32" s="1"/>
  <c r="L35" i="32"/>
  <c r="L37" i="32" s="1"/>
  <c r="X35" i="32"/>
  <c r="X37" i="32" s="1"/>
  <c r="J35" i="32"/>
  <c r="J37" i="32" s="1"/>
  <c r="M35" i="32"/>
  <c r="M37" i="32" s="1"/>
  <c r="I35" i="32"/>
  <c r="I37" i="32" s="1"/>
  <c r="W35" i="32"/>
  <c r="W37" i="32" s="1"/>
  <c r="N35" i="32"/>
  <c r="N37" i="32" s="1"/>
  <c r="Y35" i="32"/>
  <c r="Y37" i="32" s="1"/>
  <c r="C35" i="32"/>
  <c r="C37" i="32" s="1"/>
  <c r="M33" i="31"/>
  <c r="M35" i="31" s="1"/>
  <c r="B33" i="31"/>
  <c r="B35" i="31" s="1"/>
  <c r="B37" i="31" s="1"/>
  <c r="C14" i="31" s="1"/>
  <c r="C18" i="31" s="1"/>
  <c r="V33" i="31"/>
  <c r="V35" i="31" s="1"/>
  <c r="V37" i="31" s="1"/>
  <c r="V43" i="31" s="1"/>
  <c r="D33" i="31"/>
  <c r="D35" i="31" s="1"/>
  <c r="P33" i="31"/>
  <c r="P35" i="31" s="1"/>
  <c r="J32" i="9"/>
  <c r="J34" i="9" s="1"/>
  <c r="W32" i="9"/>
  <c r="W34" i="9" s="1"/>
  <c r="W36" i="9" s="1"/>
  <c r="W43" i="9" s="1"/>
  <c r="I35" i="30"/>
  <c r="I37" i="30" s="1"/>
  <c r="V35" i="30"/>
  <c r="V37" i="30" s="1"/>
  <c r="V39" i="30" s="1"/>
  <c r="V45" i="30" s="1"/>
  <c r="G33" i="31"/>
  <c r="G35" i="31" s="1"/>
  <c r="Z35" i="32"/>
  <c r="Z37" i="32" s="1"/>
  <c r="I32" i="9"/>
  <c r="I34" i="9" s="1"/>
  <c r="W17" i="32"/>
  <c r="W21" i="32" s="1"/>
  <c r="V46" i="32"/>
  <c r="V43" i="32"/>
  <c r="V45" i="32"/>
  <c r="G32" i="9"/>
  <c r="G34" i="9" s="1"/>
  <c r="E32" i="9"/>
  <c r="E34" i="9" s="1"/>
  <c r="Y35" i="30"/>
  <c r="Y37" i="30" s="1"/>
  <c r="Y39" i="30" s="1"/>
  <c r="Y45" i="30" s="1"/>
  <c r="N35" i="30"/>
  <c r="N37" i="30" s="1"/>
  <c r="W35" i="30"/>
  <c r="W37" i="30" s="1"/>
  <c r="W39" i="30" s="1"/>
  <c r="W43" i="30" s="1"/>
  <c r="J35" i="30"/>
  <c r="J37" i="30" s="1"/>
  <c r="K35" i="30"/>
  <c r="K37" i="30" s="1"/>
  <c r="L35" i="30"/>
  <c r="L37" i="30" s="1"/>
  <c r="Y41" i="30"/>
  <c r="U35" i="30"/>
  <c r="U37" i="30" s="1"/>
  <c r="Z41" i="32"/>
  <c r="Z33" i="31"/>
  <c r="Z35" i="31" s="1"/>
  <c r="Z37" i="31" s="1"/>
  <c r="AA14" i="31" s="1"/>
  <c r="AA18" i="31" s="1"/>
  <c r="AA26" i="31"/>
  <c r="AA39" i="31" s="1"/>
  <c r="T33" i="31"/>
  <c r="T35" i="31" s="1"/>
  <c r="L33" i="31"/>
  <c r="L35" i="31" s="1"/>
  <c r="C33" i="31"/>
  <c r="C35" i="31" s="1"/>
  <c r="Q37" i="31"/>
  <c r="Q43" i="31" s="1"/>
  <c r="J33" i="31"/>
  <c r="J35" i="31" s="1"/>
  <c r="G39" i="31"/>
  <c r="R33" i="31"/>
  <c r="R35" i="31" s="1"/>
  <c r="R37" i="31" s="1"/>
  <c r="R43" i="31" s="1"/>
  <c r="S33" i="31"/>
  <c r="S35" i="31" s="1"/>
  <c r="S37" i="31" s="1"/>
  <c r="S44" i="31" s="1"/>
  <c r="F33" i="31"/>
  <c r="F35" i="31" s="1"/>
  <c r="Y33" i="31"/>
  <c r="AC38" i="9"/>
  <c r="AC32" i="9"/>
  <c r="AC34" i="9" s="1"/>
  <c r="S32" i="9"/>
  <c r="S34" i="9" s="1"/>
  <c r="S36" i="9" s="1"/>
  <c r="S43" i="9" s="1"/>
  <c r="F32" i="9"/>
  <c r="F34" i="9" s="1"/>
  <c r="G38" i="9"/>
  <c r="R32" i="9"/>
  <c r="R34" i="9" s="1"/>
  <c r="R36" i="9" s="1"/>
  <c r="R43" i="9" s="1"/>
  <c r="H32" i="9"/>
  <c r="H34" i="9" s="1"/>
  <c r="L32" i="9"/>
  <c r="L34" i="9" s="1"/>
  <c r="B34" i="9"/>
  <c r="B36" i="9" s="1"/>
  <c r="B42" i="9" s="1"/>
  <c r="Y32" i="9"/>
  <c r="Y34" i="9" s="1"/>
  <c r="Y42" i="9" s="1"/>
  <c r="E38" i="9"/>
  <c r="D32" i="9"/>
  <c r="D34" i="9" s="1"/>
  <c r="O32" i="9"/>
  <c r="O34" i="9" s="1"/>
  <c r="X32" i="9"/>
  <c r="X34" i="9" s="1"/>
  <c r="X36" i="9" s="1"/>
  <c r="X42" i="9" s="1"/>
  <c r="P32" i="9"/>
  <c r="P34" i="9" s="1"/>
  <c r="Q32" i="9"/>
  <c r="Q34" i="9" s="1"/>
  <c r="Q36" i="9" s="1"/>
  <c r="Q42" i="9" s="1"/>
  <c r="AA32" i="9"/>
  <c r="AA34" i="9" s="1"/>
  <c r="AA36" i="9" s="1"/>
  <c r="AA42" i="9" s="1"/>
  <c r="AB32" i="9"/>
  <c r="AB34" i="9" s="1"/>
  <c r="U32" i="9"/>
  <c r="U34" i="9" s="1"/>
  <c r="AC27" i="30"/>
  <c r="AC41" i="30" s="1"/>
  <c r="G35" i="30"/>
  <c r="G37" i="30" s="1"/>
  <c r="H35" i="30"/>
  <c r="H37" i="30" s="1"/>
  <c r="N41" i="30"/>
  <c r="Z35" i="30"/>
  <c r="Z44" i="30" s="1"/>
  <c r="B35" i="30"/>
  <c r="B37" i="30" s="1"/>
  <c r="B39" i="30" s="1"/>
  <c r="B43" i="30" s="1"/>
  <c r="O35" i="30"/>
  <c r="O37" i="30" s="1"/>
  <c r="T35" i="30"/>
  <c r="T37" i="30" s="1"/>
  <c r="T39" i="30" s="1"/>
  <c r="U16" i="30" s="1"/>
  <c r="U20" i="30" s="1"/>
  <c r="C35" i="30"/>
  <c r="C37" i="30" s="1"/>
  <c r="P35" i="30"/>
  <c r="P37" i="30" s="1"/>
  <c r="S35" i="30"/>
  <c r="S37" i="30" s="1"/>
  <c r="S39" i="30" s="1"/>
  <c r="S44" i="30" s="1"/>
  <c r="E35" i="30"/>
  <c r="E37" i="30" s="1"/>
  <c r="Q35" i="30"/>
  <c r="Q37" i="30" s="1"/>
  <c r="F35" i="30"/>
  <c r="F37" i="30" s="1"/>
  <c r="D35" i="30"/>
  <c r="D37" i="30" s="1"/>
  <c r="W43" i="31"/>
  <c r="W44" i="31"/>
  <c r="W41" i="31"/>
  <c r="U14" i="9" l="1"/>
  <c r="U18" i="9" s="1"/>
  <c r="U36" i="9" s="1"/>
  <c r="U42" i="9" s="1"/>
  <c r="T40" i="9"/>
  <c r="Y43" i="31"/>
  <c r="Y35" i="31"/>
  <c r="V43" i="9"/>
  <c r="B43" i="32"/>
  <c r="B46" i="32"/>
  <c r="T43" i="32"/>
  <c r="T46" i="32"/>
  <c r="T42" i="9"/>
  <c r="V40" i="9"/>
  <c r="C39" i="32"/>
  <c r="D17" i="32" s="1"/>
  <c r="D21" i="32" s="1"/>
  <c r="D39" i="32" s="1"/>
  <c r="B45" i="32"/>
  <c r="T45" i="32"/>
  <c r="U41" i="31"/>
  <c r="T43" i="9"/>
  <c r="B41" i="31"/>
  <c r="U44" i="31"/>
  <c r="V44" i="30"/>
  <c r="Q43" i="32"/>
  <c r="W39" i="32"/>
  <c r="W45" i="32" s="1"/>
  <c r="B44" i="31"/>
  <c r="B43" i="31"/>
  <c r="V43" i="30"/>
  <c r="U39" i="30"/>
  <c r="U45" i="30" s="1"/>
  <c r="Q45" i="32"/>
  <c r="R43" i="32"/>
  <c r="S17" i="32"/>
  <c r="S21" i="32" s="1"/>
  <c r="S39" i="32" s="1"/>
  <c r="S45" i="32" s="1"/>
  <c r="R46" i="32"/>
  <c r="U46" i="32"/>
  <c r="U45" i="32"/>
  <c r="Y44" i="31"/>
  <c r="X44" i="31"/>
  <c r="X41" i="31"/>
  <c r="R41" i="31"/>
  <c r="V44" i="31"/>
  <c r="V41" i="31"/>
  <c r="X40" i="9"/>
  <c r="X43" i="9"/>
  <c r="S42" i="9"/>
  <c r="Q43" i="9"/>
  <c r="W42" i="9"/>
  <c r="W40" i="9"/>
  <c r="S40" i="9"/>
  <c r="AA44" i="30"/>
  <c r="Q41" i="31"/>
  <c r="C37" i="31"/>
  <c r="C41" i="31" s="1"/>
  <c r="Q44" i="31"/>
  <c r="C14" i="9"/>
  <c r="C18" i="9" s="1"/>
  <c r="C36" i="9" s="1"/>
  <c r="C43" i="9" s="1"/>
  <c r="B43" i="9"/>
  <c r="R40" i="9"/>
  <c r="B40" i="9"/>
  <c r="R42" i="9"/>
  <c r="Q40" i="9"/>
  <c r="AA45" i="30"/>
  <c r="W45" i="30"/>
  <c r="W44" i="30"/>
  <c r="AA33" i="31"/>
  <c r="AA35" i="31" s="1"/>
  <c r="AA37" i="31" s="1"/>
  <c r="Z41" i="31"/>
  <c r="Z44" i="31"/>
  <c r="Z43" i="31"/>
  <c r="S43" i="31"/>
  <c r="T14" i="31"/>
  <c r="T18" i="31" s="1"/>
  <c r="T37" i="31" s="1"/>
  <c r="T41" i="31" s="1"/>
  <c r="R44" i="31"/>
  <c r="S41" i="31"/>
  <c r="AA43" i="9"/>
  <c r="Z40" i="9"/>
  <c r="Z42" i="9"/>
  <c r="AA40" i="9"/>
  <c r="AB14" i="9"/>
  <c r="AB18" i="9" s="1"/>
  <c r="Y43" i="9"/>
  <c r="Y40" i="9"/>
  <c r="AB45" i="30"/>
  <c r="AC35" i="30"/>
  <c r="AC37" i="30" s="1"/>
  <c r="T44" i="30"/>
  <c r="T45" i="30"/>
  <c r="T43" i="30"/>
  <c r="X43" i="30"/>
  <c r="R44" i="30"/>
  <c r="X45" i="30"/>
  <c r="S43" i="30"/>
  <c r="S45" i="30"/>
  <c r="Y44" i="30"/>
  <c r="Y43" i="30"/>
  <c r="C16" i="30"/>
  <c r="C20" i="30" s="1"/>
  <c r="C39" i="30" s="1"/>
  <c r="C43" i="30" s="1"/>
  <c r="B45" i="30"/>
  <c r="B44" i="30"/>
  <c r="R45" i="30"/>
  <c r="AA44" i="31" l="1"/>
  <c r="AB14" i="31"/>
  <c r="C46" i="32"/>
  <c r="C45" i="32"/>
  <c r="C43" i="32"/>
  <c r="AB36" i="9"/>
  <c r="AB43" i="9" s="1"/>
  <c r="S43" i="32"/>
  <c r="C101" i="32"/>
  <c r="S46" i="32"/>
  <c r="X17" i="32"/>
  <c r="X21" i="32" s="1"/>
  <c r="X39" i="32" s="1"/>
  <c r="X46" i="32" s="1"/>
  <c r="W43" i="32"/>
  <c r="W46" i="32"/>
  <c r="U43" i="30"/>
  <c r="U44" i="30"/>
  <c r="V16" i="30"/>
  <c r="D14" i="31"/>
  <c r="D18" i="31" s="1"/>
  <c r="D37" i="31" s="1"/>
  <c r="D44" i="31" s="1"/>
  <c r="C43" i="31"/>
  <c r="V14" i="9"/>
  <c r="C42" i="9"/>
  <c r="D14" i="9"/>
  <c r="D18" i="9" s="1"/>
  <c r="D36" i="9" s="1"/>
  <c r="D43" i="9" s="1"/>
  <c r="C40" i="9"/>
  <c r="C108" i="9"/>
  <c r="D45" i="32"/>
  <c r="D43" i="32"/>
  <c r="D46" i="32"/>
  <c r="E17" i="32"/>
  <c r="E21" i="32" s="1"/>
  <c r="E39" i="32" s="1"/>
  <c r="C44" i="31"/>
  <c r="T44" i="31"/>
  <c r="T43" i="31"/>
  <c r="U43" i="9"/>
  <c r="U40" i="9"/>
  <c r="AA43" i="31"/>
  <c r="AA41" i="31"/>
  <c r="AB43" i="30"/>
  <c r="AC16" i="30"/>
  <c r="AC20" i="30" s="1"/>
  <c r="AC39" i="30" s="1"/>
  <c r="AB44" i="30"/>
  <c r="C44" i="30"/>
  <c r="C95" i="30"/>
  <c r="C45" i="30"/>
  <c r="D16" i="30"/>
  <c r="D20" i="30" s="1"/>
  <c r="D39" i="30" s="1"/>
  <c r="D44" i="30" s="1"/>
  <c r="AC14" i="9" l="1"/>
  <c r="AC18" i="9" s="1"/>
  <c r="AC36" i="9" s="1"/>
  <c r="AD14" i="9" s="1"/>
  <c r="AD14" i="31"/>
  <c r="AD18" i="31" s="1"/>
  <c r="AD37" i="31" s="1"/>
  <c r="AC14" i="31"/>
  <c r="AC18" i="31" s="1"/>
  <c r="AC37" i="31" s="1"/>
  <c r="AB18" i="31"/>
  <c r="AB37" i="31" s="1"/>
  <c r="X43" i="32"/>
  <c r="AB42" i="9"/>
  <c r="AB40" i="9"/>
  <c r="X45" i="32"/>
  <c r="Y17" i="32"/>
  <c r="Y21" i="32" s="1"/>
  <c r="Y39" i="32" s="1"/>
  <c r="Z21" i="32" s="1"/>
  <c r="Z39" i="32" s="1"/>
  <c r="AA17" i="32" s="1"/>
  <c r="D43" i="31"/>
  <c r="E14" i="31"/>
  <c r="E18" i="31" s="1"/>
  <c r="E37" i="31" s="1"/>
  <c r="F14" i="31" s="1"/>
  <c r="F18" i="31" s="1"/>
  <c r="F37" i="31" s="1"/>
  <c r="E14" i="9"/>
  <c r="E18" i="9" s="1"/>
  <c r="D42" i="9"/>
  <c r="D40" i="9"/>
  <c r="D41" i="31"/>
  <c r="E46" i="32"/>
  <c r="F17" i="32"/>
  <c r="F21" i="32" s="1"/>
  <c r="F39" i="32" s="1"/>
  <c r="E45" i="32"/>
  <c r="E43" i="32"/>
  <c r="E16" i="30"/>
  <c r="E20" i="30" s="1"/>
  <c r="E39" i="30" s="1"/>
  <c r="E45" i="30" s="1"/>
  <c r="D43" i="30"/>
  <c r="D45" i="30"/>
  <c r="AC40" i="9" l="1"/>
  <c r="AC43" i="9"/>
  <c r="AC42" i="9"/>
  <c r="AB41" i="31"/>
  <c r="AB43" i="31"/>
  <c r="AB44" i="31"/>
  <c r="AC41" i="31"/>
  <c r="AC43" i="31"/>
  <c r="AC44" i="31"/>
  <c r="AD43" i="31"/>
  <c r="AD41" i="31"/>
  <c r="AD44" i="31"/>
  <c r="E44" i="31"/>
  <c r="E41" i="31"/>
  <c r="AE14" i="9"/>
  <c r="AD18" i="9"/>
  <c r="AD36" i="9" s="1"/>
  <c r="E36" i="9"/>
  <c r="E43" i="9" s="1"/>
  <c r="AC44" i="30"/>
  <c r="AD16" i="30"/>
  <c r="E43" i="31"/>
  <c r="Y45" i="32"/>
  <c r="Y43" i="32"/>
  <c r="Y46" i="32"/>
  <c r="F43" i="32"/>
  <c r="G17" i="32"/>
  <c r="G21" i="32" s="1"/>
  <c r="G39" i="32" s="1"/>
  <c r="F45" i="32"/>
  <c r="F46" i="32"/>
  <c r="AA21" i="32"/>
  <c r="AA39" i="32" s="1"/>
  <c r="Z43" i="32"/>
  <c r="Z45" i="32"/>
  <c r="Z46" i="32"/>
  <c r="AC43" i="30"/>
  <c r="AC45" i="30"/>
  <c r="G14" i="31"/>
  <c r="G18" i="31" s="1"/>
  <c r="G37" i="31" s="1"/>
  <c r="F41" i="31"/>
  <c r="F43" i="31"/>
  <c r="F44" i="31"/>
  <c r="E44" i="30"/>
  <c r="E43" i="30"/>
  <c r="F16" i="30"/>
  <c r="F20" i="30" s="1"/>
  <c r="F39" i="30" s="1"/>
  <c r="F43" i="30" s="1"/>
  <c r="E42" i="9" l="1"/>
  <c r="F14" i="9"/>
  <c r="F18" i="9" s="1"/>
  <c r="F36" i="9" s="1"/>
  <c r="F42" i="9" s="1"/>
  <c r="AD40" i="9"/>
  <c r="AD42" i="9"/>
  <c r="AD43" i="9"/>
  <c r="E40" i="9"/>
  <c r="AF14" i="9"/>
  <c r="AF18" i="9" s="1"/>
  <c r="AF36" i="9" s="1"/>
  <c r="AE18" i="9"/>
  <c r="AE36" i="9" s="1"/>
  <c r="AD20" i="30"/>
  <c r="AD39" i="30" s="1"/>
  <c r="AE16" i="30"/>
  <c r="AF16" i="30" s="1"/>
  <c r="G43" i="32"/>
  <c r="H17" i="32"/>
  <c r="H21" i="32" s="1"/>
  <c r="H39" i="32" s="1"/>
  <c r="G46" i="32"/>
  <c r="G45" i="32"/>
  <c r="AA45" i="32"/>
  <c r="AA43" i="32"/>
  <c r="AA46" i="32"/>
  <c r="G16" i="30"/>
  <c r="G20" i="30" s="1"/>
  <c r="G39" i="30" s="1"/>
  <c r="G44" i="30" s="1"/>
  <c r="F45" i="30"/>
  <c r="F44" i="30"/>
  <c r="G44" i="31"/>
  <c r="H14" i="31"/>
  <c r="H18" i="31" s="1"/>
  <c r="H37" i="31" s="1"/>
  <c r="G41" i="31"/>
  <c r="G43" i="31"/>
  <c r="AD43" i="30" l="1"/>
  <c r="AD44" i="30"/>
  <c r="AD45" i="30"/>
  <c r="F40" i="9"/>
  <c r="F43" i="9"/>
  <c r="G14" i="9"/>
  <c r="G18" i="9" s="1"/>
  <c r="G36" i="9" s="1"/>
  <c r="G40" i="9" s="1"/>
  <c r="AE40" i="9"/>
  <c r="AE42" i="9"/>
  <c r="AE43" i="9"/>
  <c r="AF40" i="9"/>
  <c r="AF42" i="9"/>
  <c r="AF43" i="9"/>
  <c r="AE20" i="30"/>
  <c r="AE39" i="30" s="1"/>
  <c r="AF20" i="30"/>
  <c r="AF39" i="30" s="1"/>
  <c r="H46" i="32"/>
  <c r="H43" i="32"/>
  <c r="I17" i="32"/>
  <c r="I21" i="32" s="1"/>
  <c r="I39" i="32" s="1"/>
  <c r="H45" i="32"/>
  <c r="H16" i="30"/>
  <c r="H20" i="30" s="1"/>
  <c r="H39" i="30" s="1"/>
  <c r="H44" i="30" s="1"/>
  <c r="G43" i="30"/>
  <c r="G45" i="30"/>
  <c r="H43" i="31"/>
  <c r="I14" i="31"/>
  <c r="I18" i="31" s="1"/>
  <c r="I37" i="31" s="1"/>
  <c r="H44" i="31"/>
  <c r="H41" i="31"/>
  <c r="G42" i="9" l="1"/>
  <c r="AE43" i="30"/>
  <c r="AE44" i="30"/>
  <c r="AE45" i="30"/>
  <c r="AF43" i="30"/>
  <c r="AF44" i="30"/>
  <c r="AF45" i="30"/>
  <c r="G43" i="9"/>
  <c r="H14" i="9"/>
  <c r="H18" i="9" s="1"/>
  <c r="H36" i="9" s="1"/>
  <c r="H43" i="9" s="1"/>
  <c r="H45" i="30"/>
  <c r="I46" i="32"/>
  <c r="I43" i="32"/>
  <c r="J17" i="32"/>
  <c r="J21" i="32" s="1"/>
  <c r="J39" i="32" s="1"/>
  <c r="I45" i="32"/>
  <c r="I16" i="30"/>
  <c r="I20" i="30" s="1"/>
  <c r="I39" i="30" s="1"/>
  <c r="I43" i="30" s="1"/>
  <c r="H43" i="30"/>
  <c r="I44" i="31"/>
  <c r="J14" i="31"/>
  <c r="J18" i="31" s="1"/>
  <c r="J37" i="31" s="1"/>
  <c r="I41" i="31"/>
  <c r="I43" i="31"/>
  <c r="I14" i="9" l="1"/>
  <c r="I18" i="9" s="1"/>
  <c r="I36" i="9" s="1"/>
  <c r="I43" i="9" s="1"/>
  <c r="H42" i="9"/>
  <c r="H40" i="9"/>
  <c r="I44" i="30"/>
  <c r="I45" i="30"/>
  <c r="J43" i="32"/>
  <c r="J45" i="32"/>
  <c r="K17" i="32"/>
  <c r="K21" i="32" s="1"/>
  <c r="K39" i="32" s="1"/>
  <c r="J46" i="32"/>
  <c r="J16" i="30"/>
  <c r="J20" i="30" s="1"/>
  <c r="J39" i="30" s="1"/>
  <c r="J43" i="30" s="1"/>
  <c r="J43" i="31"/>
  <c r="J41" i="31"/>
  <c r="J44" i="31"/>
  <c r="K14" i="31"/>
  <c r="K18" i="31" s="1"/>
  <c r="K37" i="31" s="1"/>
  <c r="I40" i="9" l="1"/>
  <c r="J14" i="9"/>
  <c r="J18" i="9" s="1"/>
  <c r="J36" i="9" s="1"/>
  <c r="J42" i="9" s="1"/>
  <c r="I42" i="9"/>
  <c r="J44" i="30"/>
  <c r="K16" i="30"/>
  <c r="K20" i="30" s="1"/>
  <c r="K39" i="30" s="1"/>
  <c r="K45" i="30" s="1"/>
  <c r="J45" i="30"/>
  <c r="K43" i="32"/>
  <c r="K45" i="32"/>
  <c r="K46" i="32"/>
  <c r="L17" i="32"/>
  <c r="L21" i="32" s="1"/>
  <c r="L39" i="32" s="1"/>
  <c r="K44" i="31"/>
  <c r="K41" i="31"/>
  <c r="L14" i="31"/>
  <c r="L18" i="31" s="1"/>
  <c r="L37" i="31" s="1"/>
  <c r="K43" i="31"/>
  <c r="J40" i="9" l="1"/>
  <c r="J43" i="9"/>
  <c r="K14" i="9"/>
  <c r="K18" i="9" s="1"/>
  <c r="K36" i="9" s="1"/>
  <c r="L14" i="9" s="1"/>
  <c r="L18" i="9" s="1"/>
  <c r="L36" i="9" s="1"/>
  <c r="L43" i="9" s="1"/>
  <c r="K43" i="9"/>
  <c r="K43" i="30"/>
  <c r="K44" i="30"/>
  <c r="L16" i="30"/>
  <c r="L20" i="30" s="1"/>
  <c r="L39" i="30" s="1"/>
  <c r="L45" i="30" s="1"/>
  <c r="L45" i="32"/>
  <c r="L46" i="32"/>
  <c r="M17" i="32"/>
  <c r="M21" i="32" s="1"/>
  <c r="M39" i="32" s="1"/>
  <c r="L43" i="32"/>
  <c r="M14" i="31"/>
  <c r="M18" i="31" s="1"/>
  <c r="M37" i="31" s="1"/>
  <c r="L44" i="31"/>
  <c r="L41" i="31"/>
  <c r="L43" i="31"/>
  <c r="M14" i="9" l="1"/>
  <c r="M18" i="9" s="1"/>
  <c r="M36" i="9" s="1"/>
  <c r="N14" i="9" s="1"/>
  <c r="N18" i="9" s="1"/>
  <c r="N36" i="9" s="1"/>
  <c r="O14" i="9" s="1"/>
  <c r="K42" i="9"/>
  <c r="L40" i="9"/>
  <c r="K40" i="9"/>
  <c r="L42" i="9"/>
  <c r="M16" i="30"/>
  <c r="M20" i="30" s="1"/>
  <c r="M39" i="30" s="1"/>
  <c r="N16" i="30" s="1"/>
  <c r="N20" i="30" s="1"/>
  <c r="N39" i="30" s="1"/>
  <c r="L44" i="30"/>
  <c r="L43" i="30"/>
  <c r="M43" i="32"/>
  <c r="M46" i="32"/>
  <c r="M45" i="32"/>
  <c r="N17" i="32"/>
  <c r="N21" i="32" s="1"/>
  <c r="N39" i="32" s="1"/>
  <c r="M41" i="31"/>
  <c r="N14" i="31"/>
  <c r="N18" i="31" s="1"/>
  <c r="N37" i="31" s="1"/>
  <c r="M43" i="31"/>
  <c r="M44" i="31"/>
  <c r="M40" i="9"/>
  <c r="M43" i="9"/>
  <c r="M42" i="9"/>
  <c r="M43" i="30" l="1"/>
  <c r="M44" i="30"/>
  <c r="M45" i="30"/>
  <c r="N46" i="32"/>
  <c r="N43" i="32"/>
  <c r="O17" i="32"/>
  <c r="O21" i="32" s="1"/>
  <c r="O39" i="32" s="1"/>
  <c r="N45" i="32"/>
  <c r="O14" i="31"/>
  <c r="O18" i="31" s="1"/>
  <c r="O37" i="31" s="1"/>
  <c r="N43" i="31"/>
  <c r="N44" i="31"/>
  <c r="N41" i="31"/>
  <c r="N40" i="9"/>
  <c r="N43" i="9"/>
  <c r="O18" i="9"/>
  <c r="O36" i="9" s="1"/>
  <c r="N42" i="9"/>
  <c r="N44" i="30"/>
  <c r="N45" i="30"/>
  <c r="N43" i="30"/>
  <c r="O16" i="30"/>
  <c r="O20" i="30" s="1"/>
  <c r="O39" i="30" s="1"/>
  <c r="P17" i="32" l="1"/>
  <c r="P21" i="32" s="1"/>
  <c r="P39" i="32" s="1"/>
  <c r="O45" i="32"/>
  <c r="O46" i="32"/>
  <c r="O43" i="32"/>
  <c r="O44" i="31"/>
  <c r="P14" i="31"/>
  <c r="P18" i="31" s="1"/>
  <c r="P37" i="31" s="1"/>
  <c r="O41" i="31"/>
  <c r="O43" i="31"/>
  <c r="O43" i="9"/>
  <c r="O42" i="9"/>
  <c r="P14" i="9"/>
  <c r="O40" i="9"/>
  <c r="O44" i="30"/>
  <c r="O43" i="30"/>
  <c r="O45" i="30"/>
  <c r="P16" i="30"/>
  <c r="P20" i="30" s="1"/>
  <c r="P39" i="30" s="1"/>
  <c r="P18" i="9" l="1"/>
  <c r="P36" i="9" s="1"/>
  <c r="P43" i="32"/>
  <c r="P46" i="32"/>
  <c r="P45" i="32"/>
  <c r="P41" i="31"/>
  <c r="P43" i="31"/>
  <c r="P44" i="31"/>
  <c r="Q16" i="30"/>
  <c r="Q20" i="30" s="1"/>
  <c r="Q39" i="30" s="1"/>
  <c r="P43" i="30"/>
  <c r="P45" i="30"/>
  <c r="P44" i="30"/>
  <c r="P43" i="9" l="1"/>
  <c r="P40" i="9"/>
  <c r="P42" i="9"/>
  <c r="Q44" i="30"/>
  <c r="Q45" i="30"/>
  <c r="Q43" i="30"/>
</calcChain>
</file>

<file path=xl/sharedStrings.xml><?xml version="1.0" encoding="utf-8"?>
<sst xmlns="http://schemas.openxmlformats.org/spreadsheetml/2006/main" count="721" uniqueCount="202">
  <si>
    <t xml:space="preserve">   Grain SA  :  S&amp;D Projections / Oilseeds</t>
  </si>
  <si>
    <t>Opgedateer / Updated :</t>
  </si>
  <si>
    <r>
      <rPr>
        <b/>
        <sz val="10"/>
        <rFont val="Calibri"/>
        <family val="2"/>
      </rPr>
      <t>Disclaimer: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Everything has been done to ensure the accuracy of this information, however Grain SA takes no responsibility for any losses or damage occurred due to the usage of this information.</t>
    </r>
  </si>
  <si>
    <t>DIE VRAAG-EN-AANBOD VAN SOJABONE  IN DIE RSA/
SUPPLY AND DEMAND OF SOYBEANS IN RSA</t>
  </si>
  <si>
    <t>SAGIS</t>
  </si>
  <si>
    <t>GSA prjoection</t>
  </si>
  <si>
    <t>GSA Scenario</t>
  </si>
  <si>
    <t>Low scenario</t>
  </si>
  <si>
    <t>Average scenario</t>
  </si>
  <si>
    <t>High scenario</t>
  </si>
  <si>
    <t>Bemarkingsjaar/Marketing year</t>
  </si>
  <si>
    <t>1997/1998</t>
  </si>
  <si>
    <t>1998/1999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</si>
  <si>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</si>
  <si>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</si>
  <si>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</si>
  <si>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</si>
  <si>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</si>
  <si>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</si>
  <si>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</si>
  <si>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</si>
  <si>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</si>
  <si>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</si>
  <si>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</si>
  <si>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</si>
  <si>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</si>
  <si>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</si>
  <si>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</si>
  <si>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</si>
  <si>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</si>
  <si>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2015/16</t>
  </si>
  <si>
    <t>2016/17</t>
  </si>
  <si>
    <t>2018/19</t>
  </si>
  <si>
    <t>2020/21</t>
  </si>
  <si>
    <t>2021/22</t>
  </si>
  <si>
    <t>2022/23</t>
  </si>
  <si>
    <t>2023/24*</t>
  </si>
  <si>
    <t>2024/25*</t>
  </si>
  <si>
    <t>Oppervlak aangeplant/Area planted (x1 000 ha)</t>
  </si>
  <si>
    <t>Opbrengs/Yield (ton/ha)</t>
  </si>
  <si>
    <t>NOK produksie skatting/CEC crop estimate ('000ton)</t>
  </si>
  <si>
    <t>Terughoudings en saadproduksie / Retentions and production of seed</t>
  </si>
  <si>
    <t xml:space="preserve">Minus: vroeë lewerings / Early deliveries </t>
  </si>
  <si>
    <t>Plus: vroeë lewerings / Early deliveries</t>
  </si>
  <si>
    <t>Beskikbaar vir kommersiële lewerings / Available for commercial deliveries</t>
  </si>
  <si>
    <t>Grain SA</t>
  </si>
  <si>
    <t>Sagis</t>
  </si>
  <si>
    <t>('000 ton)</t>
  </si>
  <si>
    <t>Kommersiële aanbod / Commercial supply</t>
  </si>
  <si>
    <t xml:space="preserve"> </t>
  </si>
  <si>
    <t>Beginvoorraad (1 Maart) / Opening stocks (1 Mar)</t>
  </si>
  <si>
    <t>Kommersiële lewerings / Commercial deliveries</t>
  </si>
  <si>
    <t>Invoere / Imports</t>
  </si>
  <si>
    <t>Surplus</t>
  </si>
  <si>
    <t>Totale kommersiële aanbod / Total commercial supply</t>
  </si>
  <si>
    <t>Kommersiële vraag / Commercial demand</t>
  </si>
  <si>
    <t xml:space="preserve">Kommersiële verbruik / Commercial consumption </t>
  </si>
  <si>
    <t xml:space="preserve">   Voedsel / Food</t>
  </si>
  <si>
    <t xml:space="preserve">   Voer (Volvetsoja) / Feed (Fullfat soya)</t>
  </si>
  <si>
    <t xml:space="preserve">   *Gepers vir olie en oliekoek / Crushed for oil &amp; oilcake</t>
  </si>
  <si>
    <t xml:space="preserve">   Totaal / Total</t>
  </si>
  <si>
    <t>Ander verbruik / Other consumption</t>
  </si>
  <si>
    <t xml:space="preserve">    Onttrek deur produsente / Withdrawn by producers</t>
  </si>
  <si>
    <t xml:space="preserve">    Vrygestel aan eindverbruikers / Released to end consumers</t>
  </si>
  <si>
    <t xml:space="preserve">    Saad vir plantdoeleindes / Seed for planting purposes</t>
  </si>
  <si>
    <t xml:space="preserve">    Net receipts (-) / disp(+)</t>
  </si>
  <si>
    <t xml:space="preserve"> Deficit</t>
  </si>
  <si>
    <t xml:space="preserve">    Ander verbruik/Other use</t>
  </si>
  <si>
    <t>Totaal RSA sojaboon verbruik / Total RSA soybean demand</t>
  </si>
  <si>
    <t xml:space="preserve">   Uitvoere / Exports </t>
  </si>
  <si>
    <t>Totale kommersiële vraag / Total commercial demand</t>
  </si>
  <si>
    <t>Eindvoorraad ( 28 Februarie) / Carry-out (28 February)</t>
  </si>
  <si>
    <t>Benodigde pyplyn / Pipeline requirements</t>
  </si>
  <si>
    <t>Surplus bo pyplyn/ Surplus above pipeline</t>
  </si>
  <si>
    <t>Eindvoorrade as % van RSA verbruik/ Carry-out as a % of RSA consumption</t>
  </si>
  <si>
    <t>Eindvoorrade as % van totale kommersiële vraag/ Carry-out as a % of total commercial demand</t>
  </si>
  <si>
    <t xml:space="preserve"> - Verbruik = 3 jaar gemiddelde verbruik</t>
  </si>
  <si>
    <t xml:space="preserve"> - Opbrengste vir Scenario's is as volg;</t>
  </si>
  <si>
    <t xml:space="preserve"> - Scenario 1: Laagste opbrengs in die afgelope 5 jaar</t>
  </si>
  <si>
    <t xml:space="preserve"> - Scenario 2: Gemiddelde opbrengs oor die afgelope 5 jaar</t>
  </si>
  <si>
    <t xml:space="preserve"> - Scenario 3: Rekord opbrengs</t>
  </si>
  <si>
    <t>*Gepers vir olie en oliekoek aangepas volgens beskikbare voorraad, toon aan wat gemaklik verwerk kan word teen watter moontlike produksie vir die seisoen.</t>
  </si>
  <si>
    <t>Kapasiteit van toegewyde sojaboonperse word op 1.4 miljoen ton per jaar gereken. Meer as dit kan gedoen word om die plaaslike vraag na oliekoek te versadig.</t>
  </si>
  <si>
    <t>For Projections:</t>
  </si>
  <si>
    <t>Average yield: 10 Year Average</t>
  </si>
  <si>
    <t>Low Yield: Lowest figure in the past 10 years</t>
  </si>
  <si>
    <t>High Yield: Highest figure in the last 10 years</t>
  </si>
  <si>
    <t>Imports: 3 Years average</t>
  </si>
  <si>
    <t>Oil and oilcake: 2021/22 season figure as it is the highest figure possible with current crushing capacity</t>
  </si>
  <si>
    <t>Exports: Balancing figure</t>
  </si>
  <si>
    <t>Rest of the figures: 3 Year average</t>
  </si>
  <si>
    <r>
      <t>Hectares:</t>
    </r>
    <r>
      <rPr>
        <sz val="10"/>
        <rFont val="Arial"/>
        <family val="2"/>
      </rPr>
      <t xml:space="preserve"> CEC intentions to plant</t>
    </r>
  </si>
  <si>
    <r>
      <t xml:space="preserve">Low Yield: </t>
    </r>
    <r>
      <rPr>
        <sz val="10"/>
        <rFont val="Arial"/>
        <family val="2"/>
      </rPr>
      <t>Lowest 5 yields in the last 10 years</t>
    </r>
  </si>
  <si>
    <r>
      <t xml:space="preserve">High Yield: </t>
    </r>
    <r>
      <rPr>
        <sz val="10"/>
        <rFont val="Arial"/>
        <family val="2"/>
      </rPr>
      <t>Highest 5 yields in the last 10 years</t>
    </r>
  </si>
  <si>
    <r>
      <t>Average yield:</t>
    </r>
    <r>
      <rPr>
        <sz val="10"/>
        <rFont val="Arial"/>
        <family val="2"/>
      </rPr>
      <t xml:space="preserve"> Average of the past 5 years</t>
    </r>
  </si>
  <si>
    <r>
      <t xml:space="preserve">Exports: </t>
    </r>
    <r>
      <rPr>
        <sz val="10"/>
        <rFont val="Arial"/>
        <family val="2"/>
      </rPr>
      <t>Balancing figure</t>
    </r>
  </si>
  <si>
    <r>
      <t xml:space="preserve">Human consumption: </t>
    </r>
    <r>
      <rPr>
        <sz val="10"/>
        <rFont val="Arial"/>
        <family val="2"/>
      </rPr>
      <t>5 Years average</t>
    </r>
  </si>
  <si>
    <t>Crushed for oil &amp; oilcake: Possible max capacity</t>
  </si>
  <si>
    <r>
      <t>Rest of the figures: 5</t>
    </r>
    <r>
      <rPr>
        <sz val="10"/>
        <rFont val="Arial"/>
        <family val="2"/>
      </rPr>
      <t xml:space="preserve"> Year average</t>
    </r>
  </si>
  <si>
    <t>Sensitiwiteitsanalise van mielie uitvoerbare surplusse gegewe verskeie aanplantings- en opbrengs scenario's vir die 2018/19 bemarkingsjaar</t>
  </si>
  <si>
    <t xml:space="preserve"> - Uitvoerbare surplus is surplus bo pyplyn</t>
  </si>
  <si>
    <t xml:space="preserve"> - Verbruik slegs 3jr. Gemiddelde binnelandse verbruik</t>
  </si>
  <si>
    <t>Oppervlakte / Area Planted (ha)</t>
  </si>
  <si>
    <t xml:space="preserve"> - Geen Afrika uitvoere by verbruik ingereken nie</t>
  </si>
  <si>
    <t>-20%</t>
  </si>
  <si>
    <t>-15%</t>
  </si>
  <si>
    <t>-10%</t>
  </si>
  <si>
    <t>NOK voorneme</t>
  </si>
  <si>
    <t xml:space="preserve"> +10%</t>
  </si>
  <si>
    <t>+15%</t>
  </si>
  <si>
    <t>+20%</t>
  </si>
  <si>
    <t xml:space="preserve"> - Oordrag voorraad volgens SASDEC skatting</t>
  </si>
  <si>
    <t>Opbrengs (ton/ha)</t>
  </si>
  <si>
    <t>Sojabone</t>
  </si>
  <si>
    <t>NOK voorneme om te plant (ha)</t>
  </si>
  <si>
    <t>Gemiddele opbrengs (ton/ha)</t>
  </si>
  <si>
    <t>Oordrag voorraad 2017/18 (ton)</t>
  </si>
  <si>
    <t>Totale plaaslike verbruik (3 jr. gemiddeld) (ton)</t>
  </si>
  <si>
    <t>Pyplyn voorraad (± 1.5 mnde) (ton)</t>
  </si>
  <si>
    <t>&lt; 1 500 000 ton</t>
  </si>
  <si>
    <t>&gt; 1 500 000 ton</t>
  </si>
  <si>
    <t>Geen surplusse</t>
  </si>
  <si>
    <t>Geelmielies / Yellow Maize</t>
  </si>
  <si>
    <t>Totaal mielies / Total Maize</t>
  </si>
  <si>
    <t>Bronne:</t>
  </si>
  <si>
    <t>Luan van der Walt</t>
  </si>
  <si>
    <t>Graan SA</t>
  </si>
  <si>
    <t>SASDEC</t>
  </si>
  <si>
    <t>15 Januarie 2018</t>
  </si>
  <si>
    <t>NOK</t>
  </si>
  <si>
    <t>Plaaslike verbruik word voorspel op 2 007 000 ton</t>
  </si>
  <si>
    <t>Oppervlakte aangeplant / Area planted (1000ha)</t>
  </si>
  <si>
    <t>CEC Intentions</t>
  </si>
  <si>
    <t>Opbrengs/Yield</t>
  </si>
  <si>
    <t>DIE VRAAG-EN-AANBOD VAN SONNEBLOMSAAD  IN DIE RSA/
SUPPLY AND DEMAND OF SUNFLOWER IN RSA</t>
  </si>
  <si>
    <t>GSA projections</t>
  </si>
  <si>
    <t>20001/2002</t>
  </si>
  <si>
    <t>2014/15</t>
  </si>
  <si>
    <t>2017/18</t>
  </si>
  <si>
    <t>2019/20</t>
  </si>
  <si>
    <t>2022'23</t>
  </si>
  <si>
    <t>Beginvoorraad (1 Maart) / Opening stocks (1 March)</t>
  </si>
  <si>
    <t>*Invoere / Imports</t>
  </si>
  <si>
    <t xml:space="preserve">   Voedsel</t>
  </si>
  <si>
    <t xml:space="preserve">   Voer</t>
  </si>
  <si>
    <t xml:space="preserve">   Gepers vir olie en oliekoek</t>
  </si>
  <si>
    <t xml:space="preserve">    SAGIS</t>
  </si>
  <si>
    <t>Totaal RSA sonneblomsaadverbruik / Total RSA sunflowerseed demand</t>
  </si>
  <si>
    <t xml:space="preserve">       </t>
  </si>
  <si>
    <t>DIE VRAAG-EN-AANBOD VAN GRONDBONE  IN DIE RSA/
SUPPLY AND DEMAND OF GROUNDNUTS IN RSA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</si>
  <si>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</si>
  <si>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</si>
  <si>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</si>
  <si>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</si>
  <si>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</si>
  <si>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</si>
  <si>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</si>
  <si>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</si>
  <si>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</si>
  <si>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</si>
  <si>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</si>
  <si>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</si>
  <si>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</si>
  <si>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</si>
  <si>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</si>
  <si>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</si>
  <si>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2021/2022</t>
  </si>
  <si>
    <t>Oppervlak aangeplant/Area planted (ha)</t>
  </si>
  <si>
    <t>NOK produksie skatting/CEC crop estimate (ha)</t>
  </si>
  <si>
    <t>Ton</t>
  </si>
  <si>
    <t xml:space="preserve">    Direkte voedselmark / Direct edible market</t>
  </si>
  <si>
    <t xml:space="preserve">   Grondboonbotter / Peanut butter</t>
  </si>
  <si>
    <t xml:space="preserve">   Gepers vir olie en oliekoek / Crushed for oil &amp; cake</t>
  </si>
  <si>
    <t xml:space="preserve">    Peule / Pods</t>
  </si>
  <si>
    <t xml:space="preserve">    SAGIS (Nota 8)</t>
  </si>
  <si>
    <t>Totaal RSA verbruik / Total RSA demand</t>
  </si>
  <si>
    <t>Eindvoorraad ( 28/29 Februarie) / Carry-out (28/29 February)</t>
  </si>
  <si>
    <t>DIE VRAAG-EN-AANBOD VAN KANOLA  IN DIE RSA</t>
  </si>
  <si>
    <t>THE SUPPLY AND DEMAND FOR CANOLA IN SOUTH AFRICA</t>
  </si>
  <si>
    <t xml:space="preserve">Opdateer\ Updated </t>
  </si>
  <si>
    <t>GSA Estimate</t>
  </si>
  <si>
    <t>GSA Projection</t>
  </si>
  <si>
    <t>1998\99</t>
  </si>
  <si>
    <t>2021/22*</t>
  </si>
  <si>
    <t>2023/2024*</t>
  </si>
  <si>
    <t>NOK produksie skatting/CEC crop estimate (ton)</t>
  </si>
  <si>
    <t>Beginvoorraad (1 Oktober) / Opening stocks (1 October)</t>
  </si>
  <si>
    <t>Surplus (Adjustment of the reconciliation)</t>
  </si>
  <si>
    <t xml:space="preserve">   Voer / Feed</t>
  </si>
  <si>
    <t xml:space="preserve">   Gepers vir olie en oliekoek / Crushed for oil &amp; oilcake</t>
  </si>
  <si>
    <t xml:space="preserve">    Totaal ander verbruik / Total other use</t>
  </si>
  <si>
    <t>Eindvoorraad (31 September) / Carry-out (31 September)</t>
  </si>
  <si>
    <r>
      <t>Average yield:</t>
    </r>
    <r>
      <rPr>
        <sz val="10"/>
        <rFont val="Arial"/>
        <family val="2"/>
      </rPr>
      <t xml:space="preserve"> 10 Year Average</t>
    </r>
  </si>
  <si>
    <r>
      <t xml:space="preserve">Low Yield: </t>
    </r>
    <r>
      <rPr>
        <sz val="10"/>
        <rFont val="Arial"/>
        <family val="2"/>
      </rPr>
      <t>Lowest figure in the past 10 years</t>
    </r>
  </si>
  <si>
    <r>
      <t xml:space="preserve">High Yield: </t>
    </r>
    <r>
      <rPr>
        <sz val="10"/>
        <rFont val="Arial"/>
        <family val="2"/>
      </rPr>
      <t>Highest figure in the last 10 years</t>
    </r>
  </si>
  <si>
    <r>
      <t xml:space="preserve">Imports: </t>
    </r>
    <r>
      <rPr>
        <sz val="10"/>
        <rFont val="Arial"/>
        <family val="2"/>
      </rPr>
      <t>Balancing figure</t>
    </r>
  </si>
  <si>
    <r>
      <t>Exports: 3</t>
    </r>
    <r>
      <rPr>
        <sz val="10"/>
        <rFont val="Arial"/>
        <family val="2"/>
      </rPr>
      <t xml:space="preserve"> Year average</t>
    </r>
  </si>
  <si>
    <t>Plaaslike verbruik word voorspel op 850 000 ton</t>
  </si>
  <si>
    <t>SOJA sensitiwiteitsanalise / SOYA sensitivity analysis</t>
  </si>
  <si>
    <t>SONS sensitiwiteitsanalise / SUNS sensitivity analysis</t>
  </si>
  <si>
    <t>5th Prod forecast</t>
  </si>
  <si>
    <t>GSA's projection for the 2023/24  marketing season is based on the CEC's SAGIS production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</si>
</sst>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###\ ##0"/>
    <numFmt numFmtId="166" formatCode="0.0"/>
    <numFmt numFmtId="167" formatCode="#\ ###"/>
    <numFmt numFmtId="168" formatCode="###\ ###\ ###"/>
    <numFmt numFmtId="169" formatCode="[$-409]dd\-mmm\-yy;@"/>
    <numFmt numFmtId="170" formatCode="[$-F800]dddd\,\ mmmm\ dd\,\ yyyy"/>
    <numFmt numFmtId="171" formatCode="0.0%"/>
    <numFmt numFmtId="172" formatCode="#"/>
    <numFmt numFmtId="173" formatCode="_ * #,##0.0_ ;_ * \-#,##0.0_ ;_ * &quot;-&quot;??_ ;_ @_ "/>
    <numFmt numFmtId="174" formatCode="_ * #,##0_ ;_ * \-#,##0_ ;_ * &quot;-&quot;??_ ;_ @_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3" tint="-0.49998474074526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6">
    <xf numFmtId="1" fontId="0" fillId="0" borderId="0"/>
    <xf numFmtId="0" fontId="13" fillId="2" borderId="0" applyNumberFormat="0" applyBorder="0" applyAlignment="0" applyProtection="0"/>
    <xf numFmtId="164" fontId="1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9" fontId="1" fillId="0" borderId="0" applyFont="0" applyFill="0" applyBorder="0" applyAlignment="0" applyProtection="0"/>
  </cellStyleXfs>
  <cellXfs count="862">
    <xf numFmtId="1" fontId="0" fillId="0" borderId="0" xfId="0"/>
    <xf numFmtId="1" fontId="2" fillId="0" borderId="0" xfId="0" applyFont="1"/>
    <xf numFmtId="165" fontId="2" fillId="0" borderId="0" xfId="0" applyNumberFormat="1" applyFont="1"/>
    <xf numFmtId="1" fontId="3" fillId="0" borderId="0" xfId="0" applyFont="1"/>
    <xf numFmtId="1" fontId="4" fillId="0" borderId="0" xfId="0" applyFont="1"/>
    <xf numFmtId="1" fontId="2" fillId="0" borderId="1" xfId="0" quotePrefix="1" applyFont="1" applyBorder="1" applyAlignment="1">
      <alignment horizontal="center" vertical="center" wrapText="1"/>
    </xf>
    <xf numFmtId="1" fontId="2" fillId="0" borderId="3" xfId="0" applyFont="1" applyBorder="1" applyAlignment="1">
      <alignment horizontal="center" vertical="center"/>
    </xf>
    <xf numFmtId="1" fontId="2" fillId="0" borderId="6" xfId="0" applyFont="1" applyBorder="1" applyAlignment="1">
      <alignment horizontal="center" vertical="center"/>
    </xf>
    <xf numFmtId="1" fontId="8" fillId="0" borderId="1" xfId="0" applyFont="1" applyBorder="1" applyAlignment="1">
      <alignment vertical="center"/>
    </xf>
    <xf numFmtId="1" fontId="2" fillId="0" borderId="8" xfId="0" applyFont="1" applyBorder="1" applyAlignment="1">
      <alignment horizontal="center" vertical="center"/>
    </xf>
    <xf numFmtId="1" fontId="2" fillId="0" borderId="1" xfId="0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right" vertical="center"/>
    </xf>
    <xf numFmtId="1" fontId="7" fillId="0" borderId="11" xfId="0" applyFont="1" applyBorder="1" applyAlignment="1">
      <alignment horizontal="right" vertical="center"/>
    </xf>
    <xf numFmtId="166" fontId="2" fillId="0" borderId="8" xfId="0" applyNumberFormat="1" applyFont="1" applyBorder="1" applyAlignment="1">
      <alignment horizontal="right" vertical="center"/>
    </xf>
    <xf numFmtId="166" fontId="2" fillId="0" borderId="12" xfId="0" applyNumberFormat="1" applyFont="1" applyBorder="1" applyAlignment="1">
      <alignment horizontal="right" vertical="center"/>
    </xf>
    <xf numFmtId="166" fontId="6" fillId="0" borderId="14" xfId="0" applyNumberFormat="1" applyFont="1" applyBorder="1" applyAlignment="1">
      <alignment horizontal="right" vertical="center"/>
    </xf>
    <xf numFmtId="166" fontId="1" fillId="0" borderId="14" xfId="0" applyNumberFormat="1" applyFont="1" applyBorder="1" applyAlignment="1">
      <alignment horizontal="right" vertical="center"/>
    </xf>
    <xf numFmtId="166" fontId="1" fillId="0" borderId="13" xfId="0" applyNumberFormat="1" applyFont="1" applyBorder="1" applyAlignment="1">
      <alignment horizontal="right" vertical="center"/>
    </xf>
    <xf numFmtId="166" fontId="6" fillId="0" borderId="11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1" fontId="2" fillId="0" borderId="21" xfId="0" applyFont="1" applyBorder="1" applyAlignment="1">
      <alignment horizontal="center" vertical="center" wrapText="1"/>
    </xf>
    <xf numFmtId="1" fontId="2" fillId="0" borderId="21" xfId="0" applyFont="1" applyBorder="1" applyAlignment="1">
      <alignment horizontal="center" vertical="center"/>
    </xf>
    <xf numFmtId="1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66" fontId="7" fillId="0" borderId="11" xfId="0" applyNumberFormat="1" applyFont="1" applyBorder="1" applyAlignment="1">
      <alignment horizontal="right" vertical="center"/>
    </xf>
    <xf numFmtId="1" fontId="2" fillId="0" borderId="24" xfId="0" applyFont="1" applyBorder="1" applyAlignment="1">
      <alignment horizontal="center" vertical="center"/>
    </xf>
    <xf numFmtId="9" fontId="2" fillId="0" borderId="28" xfId="0" quotePrefix="1" applyNumberFormat="1" applyFont="1" applyBorder="1" applyAlignment="1">
      <alignment horizontal="center"/>
    </xf>
    <xf numFmtId="1" fontId="19" fillId="0" borderId="28" xfId="0" applyFont="1" applyBorder="1" applyAlignment="1">
      <alignment horizontal="center"/>
    </xf>
    <xf numFmtId="174" fontId="2" fillId="0" borderId="28" xfId="2" applyNumberFormat="1" applyFont="1" applyBorder="1" applyAlignment="1">
      <alignment horizontal="center" vertical="center"/>
    </xf>
    <xf numFmtId="174" fontId="19" fillId="0" borderId="28" xfId="2" applyNumberFormat="1" applyFont="1" applyBorder="1" applyAlignment="1">
      <alignment horizontal="center" vertical="center"/>
    </xf>
    <xf numFmtId="174" fontId="20" fillId="0" borderId="29" xfId="2" applyNumberFormat="1" applyFont="1" applyBorder="1"/>
    <xf numFmtId="174" fontId="20" fillId="0" borderId="30" xfId="2" applyNumberFormat="1" applyFont="1" applyBorder="1"/>
    <xf numFmtId="174" fontId="20" fillId="0" borderId="31" xfId="2" applyNumberFormat="1" applyFont="1" applyBorder="1"/>
    <xf numFmtId="1" fontId="2" fillId="0" borderId="28" xfId="0" applyFont="1" applyBorder="1"/>
    <xf numFmtId="2" fontId="2" fillId="0" borderId="32" xfId="2" applyNumberFormat="1" applyFont="1" applyBorder="1" applyAlignment="1">
      <alignment horizontal="center"/>
    </xf>
    <xf numFmtId="174" fontId="20" fillId="0" borderId="33" xfId="2" applyNumberFormat="1" applyFont="1" applyBorder="1"/>
    <xf numFmtId="174" fontId="20" fillId="0" borderId="34" xfId="2" applyNumberFormat="1" applyFont="1" applyBorder="1"/>
    <xf numFmtId="174" fontId="20" fillId="0" borderId="35" xfId="2" applyNumberFormat="1" applyFont="1" applyBorder="1"/>
    <xf numFmtId="174" fontId="0" fillId="0" borderId="36" xfId="2" applyNumberFormat="1" applyFont="1" applyBorder="1"/>
    <xf numFmtId="164" fontId="0" fillId="0" borderId="37" xfId="2" applyFont="1" applyBorder="1"/>
    <xf numFmtId="2" fontId="19" fillId="0" borderId="32" xfId="2" applyNumberFormat="1" applyFont="1" applyBorder="1" applyAlignment="1">
      <alignment horizontal="center"/>
    </xf>
    <xf numFmtId="174" fontId="0" fillId="0" borderId="37" xfId="2" applyNumberFormat="1" applyFont="1" applyBorder="1"/>
    <xf numFmtId="174" fontId="0" fillId="0" borderId="38" xfId="2" applyNumberFormat="1" applyFont="1" applyBorder="1"/>
    <xf numFmtId="174" fontId="20" fillId="0" borderId="39" xfId="2" applyNumberFormat="1" applyFont="1" applyBorder="1"/>
    <xf numFmtId="174" fontId="20" fillId="0" borderId="40" xfId="2" applyNumberFormat="1" applyFont="1" applyBorder="1"/>
    <xf numFmtId="174" fontId="20" fillId="0" borderId="41" xfId="2" applyNumberFormat="1" applyFont="1" applyBorder="1"/>
    <xf numFmtId="2" fontId="2" fillId="0" borderId="36" xfId="2" applyNumberFormat="1" applyFont="1" applyBorder="1" applyAlignment="1">
      <alignment horizontal="center"/>
    </xf>
    <xf numFmtId="174" fontId="2" fillId="0" borderId="29" xfId="2" applyNumberFormat="1" applyFont="1" applyBorder="1"/>
    <xf numFmtId="164" fontId="2" fillId="0" borderId="30" xfId="2" applyFont="1" applyBorder="1"/>
    <xf numFmtId="174" fontId="2" fillId="0" borderId="30" xfId="2" applyNumberFormat="1" applyFont="1" applyBorder="1"/>
    <xf numFmtId="164" fontId="2" fillId="0" borderId="31" xfId="2" applyFont="1" applyBorder="1"/>
    <xf numFmtId="2" fontId="2" fillId="0" borderId="37" xfId="2" applyNumberFormat="1" applyFont="1" applyBorder="1" applyAlignment="1">
      <alignment horizontal="center"/>
    </xf>
    <xf numFmtId="174" fontId="2" fillId="0" borderId="33" xfId="2" applyNumberFormat="1" applyFont="1" applyBorder="1"/>
    <xf numFmtId="174" fontId="2" fillId="0" borderId="34" xfId="2" applyNumberFormat="1" applyFont="1" applyBorder="1"/>
    <xf numFmtId="174" fontId="2" fillId="0" borderId="35" xfId="2" applyNumberFormat="1" applyFont="1" applyBorder="1"/>
    <xf numFmtId="2" fontId="19" fillId="0" borderId="37" xfId="2" applyNumberFormat="1" applyFont="1" applyBorder="1" applyAlignment="1">
      <alignment horizontal="center"/>
    </xf>
    <xf numFmtId="2" fontId="2" fillId="0" borderId="38" xfId="2" applyNumberFormat="1" applyFont="1" applyBorder="1" applyAlignment="1">
      <alignment horizontal="center"/>
    </xf>
    <xf numFmtId="174" fontId="2" fillId="0" borderId="39" xfId="2" applyNumberFormat="1" applyFont="1" applyBorder="1"/>
    <xf numFmtId="174" fontId="2" fillId="0" borderId="40" xfId="2" applyNumberFormat="1" applyFont="1" applyBorder="1"/>
    <xf numFmtId="174" fontId="2" fillId="0" borderId="41" xfId="2" applyNumberFormat="1" applyFont="1" applyBorder="1"/>
    <xf numFmtId="174" fontId="0" fillId="0" borderId="29" xfId="2" applyNumberFormat="1" applyFont="1" applyBorder="1" applyAlignment="1">
      <alignment horizontal="center"/>
    </xf>
    <xf numFmtId="174" fontId="0" fillId="0" borderId="30" xfId="2" applyNumberFormat="1" applyFont="1" applyBorder="1" applyAlignment="1">
      <alignment horizontal="center"/>
    </xf>
    <xf numFmtId="174" fontId="0" fillId="0" borderId="31" xfId="2" applyNumberFormat="1" applyFont="1" applyBorder="1" applyAlignment="1">
      <alignment horizontal="center"/>
    </xf>
    <xf numFmtId="174" fontId="0" fillId="0" borderId="33" xfId="2" applyNumberFormat="1" applyFont="1" applyBorder="1" applyAlignment="1">
      <alignment horizontal="center"/>
    </xf>
    <xf numFmtId="174" fontId="0" fillId="0" borderId="34" xfId="2" applyNumberFormat="1" applyFont="1" applyBorder="1" applyAlignment="1">
      <alignment horizontal="center"/>
    </xf>
    <xf numFmtId="174" fontId="0" fillId="0" borderId="35" xfId="2" applyNumberFormat="1" applyFont="1" applyBorder="1" applyAlignment="1">
      <alignment horizontal="center"/>
    </xf>
    <xf numFmtId="174" fontId="0" fillId="0" borderId="39" xfId="2" applyNumberFormat="1" applyFont="1" applyBorder="1" applyAlignment="1">
      <alignment horizontal="center"/>
    </xf>
    <xf numFmtId="174" fontId="0" fillId="0" borderId="40" xfId="2" applyNumberFormat="1" applyFont="1" applyBorder="1" applyAlignment="1">
      <alignment horizontal="center"/>
    </xf>
    <xf numFmtId="174" fontId="0" fillId="0" borderId="41" xfId="2" applyNumberFormat="1" applyFont="1" applyBorder="1" applyAlignment="1">
      <alignment horizontal="center"/>
    </xf>
    <xf numFmtId="174" fontId="0" fillId="0" borderId="0" xfId="2" applyNumberFormat="1" applyFont="1"/>
    <xf numFmtId="9" fontId="20" fillId="0" borderId="0" xfId="5" applyFont="1" applyFill="1" applyBorder="1"/>
    <xf numFmtId="2" fontId="7" fillId="0" borderId="42" xfId="0" applyNumberFormat="1" applyFont="1" applyBorder="1" applyAlignment="1">
      <alignment horizontal="right" vertical="center"/>
    </xf>
    <xf numFmtId="1" fontId="7" fillId="0" borderId="42" xfId="0" applyFont="1" applyBorder="1" applyAlignment="1">
      <alignment horizontal="right" vertical="center"/>
    </xf>
    <xf numFmtId="166" fontId="2" fillId="0" borderId="43" xfId="0" applyNumberFormat="1" applyFont="1" applyBorder="1" applyAlignment="1">
      <alignment horizontal="right" vertical="center"/>
    </xf>
    <xf numFmtId="166" fontId="2" fillId="0" borderId="44" xfId="0" applyNumberFormat="1" applyFont="1" applyBorder="1" applyAlignment="1">
      <alignment horizontal="right" vertical="center"/>
    </xf>
    <xf numFmtId="170" fontId="2" fillId="0" borderId="8" xfId="0" quotePrefix="1" applyNumberFormat="1" applyFont="1" applyBorder="1" applyAlignment="1">
      <alignment horizontal="center" vertical="center" wrapText="1"/>
    </xf>
    <xf numFmtId="170" fontId="2" fillId="0" borderId="43" xfId="0" quotePrefix="1" applyNumberFormat="1" applyFont="1" applyBorder="1" applyAlignment="1">
      <alignment horizontal="center" vertical="center" wrapText="1"/>
    </xf>
    <xf numFmtId="170" fontId="2" fillId="0" borderId="24" xfId="0" quotePrefix="1" applyNumberFormat="1" applyFont="1" applyBorder="1" applyAlignment="1">
      <alignment horizontal="center" vertical="center" wrapText="1"/>
    </xf>
    <xf numFmtId="1" fontId="2" fillId="0" borderId="49" xfId="0" applyFont="1" applyBorder="1" applyAlignment="1">
      <alignment horizontal="center" vertical="center"/>
    </xf>
    <xf numFmtId="1" fontId="2" fillId="0" borderId="26" xfId="0" applyFont="1" applyBorder="1" applyAlignment="1">
      <alignment horizontal="center" vertical="center"/>
    </xf>
    <xf numFmtId="1" fontId="2" fillId="0" borderId="7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170" fontId="2" fillId="0" borderId="50" xfId="0" quotePrefix="1" applyNumberFormat="1" applyFont="1" applyBorder="1" applyAlignment="1">
      <alignment horizontal="center" vertical="center" wrapText="1"/>
    </xf>
    <xf numFmtId="15" fontId="2" fillId="0" borderId="43" xfId="0" quotePrefix="1" applyNumberFormat="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2" fontId="7" fillId="0" borderId="52" xfId="0" applyNumberFormat="1" applyFont="1" applyBorder="1" applyAlignment="1">
      <alignment horizontal="right" vertical="center"/>
    </xf>
    <xf numFmtId="2" fontId="7" fillId="0" borderId="37" xfId="0" applyNumberFormat="1" applyFont="1" applyBorder="1" applyAlignment="1">
      <alignment horizontal="right" vertical="center"/>
    </xf>
    <xf numFmtId="164" fontId="7" fillId="0" borderId="42" xfId="2" applyFont="1" applyFill="1" applyBorder="1" applyAlignment="1">
      <alignment horizontal="right" vertical="center"/>
    </xf>
    <xf numFmtId="1" fontId="7" fillId="0" borderId="52" xfId="0" applyFont="1" applyBorder="1" applyAlignment="1">
      <alignment horizontal="right" vertical="center"/>
    </xf>
    <xf numFmtId="1" fontId="7" fillId="0" borderId="37" xfId="0" applyFont="1" applyBorder="1" applyAlignment="1">
      <alignment horizontal="right" vertical="center"/>
    </xf>
    <xf numFmtId="174" fontId="7" fillId="0" borderId="42" xfId="2" applyNumberFormat="1" applyFont="1" applyFill="1" applyBorder="1" applyAlignment="1">
      <alignment horizontal="right" vertical="center"/>
    </xf>
    <xf numFmtId="1" fontId="2" fillId="0" borderId="45" xfId="0" applyFont="1" applyBorder="1" applyAlignment="1">
      <alignment horizontal="center" vertical="center"/>
    </xf>
    <xf numFmtId="1" fontId="2" fillId="0" borderId="54" xfId="0" applyFont="1" applyBorder="1" applyAlignment="1">
      <alignment horizontal="center" vertical="center"/>
    </xf>
    <xf numFmtId="174" fontId="2" fillId="0" borderId="45" xfId="2" applyNumberFormat="1" applyFont="1" applyFill="1" applyBorder="1" applyAlignment="1">
      <alignment horizontal="center" vertical="center"/>
    </xf>
    <xf numFmtId="166" fontId="2" fillId="0" borderId="57" xfId="0" applyNumberFormat="1" applyFont="1" applyBorder="1" applyAlignment="1">
      <alignment horizontal="right" vertical="center"/>
    </xf>
    <xf numFmtId="1" fontId="2" fillId="0" borderId="50" xfId="0" applyFont="1" applyBorder="1" applyAlignment="1">
      <alignment horizontal="right" vertical="center"/>
    </xf>
    <xf numFmtId="174" fontId="2" fillId="0" borderId="43" xfId="2" applyNumberFormat="1" applyFont="1" applyFill="1" applyBorder="1" applyAlignment="1">
      <alignment horizontal="right" vertical="center"/>
    </xf>
    <xf numFmtId="166" fontId="2" fillId="0" borderId="55" xfId="0" applyNumberFormat="1" applyFont="1" applyBorder="1" applyAlignment="1">
      <alignment horizontal="right" vertical="center"/>
    </xf>
    <xf numFmtId="166" fontId="2" fillId="0" borderId="51" xfId="0" applyNumberFormat="1" applyFont="1" applyBorder="1" applyAlignment="1">
      <alignment horizontal="right" vertical="center"/>
    </xf>
    <xf numFmtId="174" fontId="2" fillId="0" borderId="44" xfId="2" applyNumberFormat="1" applyFont="1" applyFill="1" applyBorder="1" applyAlignment="1">
      <alignment horizontal="right" vertical="center"/>
    </xf>
    <xf numFmtId="2" fontId="2" fillId="0" borderId="50" xfId="0" applyNumberFormat="1" applyFont="1" applyBorder="1" applyAlignment="1">
      <alignment horizontal="right" vertical="center"/>
    </xf>
    <xf numFmtId="0" fontId="21" fillId="0" borderId="0" xfId="0" applyNumberFormat="1" applyFont="1" applyAlignment="1">
      <alignment horizontal="left" vertical="center"/>
    </xf>
    <xf numFmtId="1" fontId="22" fillId="0" borderId="0" xfId="0" applyFont="1"/>
    <xf numFmtId="1" fontId="22" fillId="5" borderId="0" xfId="0" applyFont="1" applyFill="1"/>
    <xf numFmtId="1" fontId="22" fillId="0" borderId="6" xfId="0" applyFont="1" applyBorder="1" applyAlignment="1">
      <alignment vertical="center"/>
    </xf>
    <xf numFmtId="1" fontId="22" fillId="0" borderId="61" xfId="0" applyFont="1" applyBorder="1" applyAlignment="1">
      <alignment vertical="center"/>
    </xf>
    <xf numFmtId="1" fontId="22" fillId="0" borderId="1" xfId="0" applyFont="1" applyBorder="1" applyAlignment="1">
      <alignment vertical="center"/>
    </xf>
    <xf numFmtId="0" fontId="21" fillId="0" borderId="8" xfId="0" applyNumberFormat="1" applyFont="1" applyBorder="1" applyAlignment="1">
      <alignment horizontal="center" vertical="center"/>
    </xf>
    <xf numFmtId="1" fontId="21" fillId="0" borderId="0" xfId="0" applyFont="1"/>
    <xf numFmtId="0" fontId="23" fillId="0" borderId="6" xfId="0" applyNumberFormat="1" applyFont="1" applyBorder="1" applyAlignment="1">
      <alignment horizontal="right" vertical="center"/>
    </xf>
    <xf numFmtId="2" fontId="23" fillId="0" borderId="11" xfId="0" applyNumberFormat="1" applyFont="1" applyBorder="1" applyAlignment="1">
      <alignment horizontal="right" vertical="center"/>
    </xf>
    <xf numFmtId="0" fontId="23" fillId="0" borderId="13" xfId="0" applyNumberFormat="1" applyFont="1" applyBorder="1" applyAlignment="1">
      <alignment horizontal="right" vertical="center"/>
    </xf>
    <xf numFmtId="1" fontId="23" fillId="0" borderId="11" xfId="0" applyFont="1" applyBorder="1" applyAlignment="1">
      <alignment horizontal="right" vertical="center"/>
    </xf>
    <xf numFmtId="2" fontId="22" fillId="0" borderId="0" xfId="0" applyNumberFormat="1" applyFont="1"/>
    <xf numFmtId="1" fontId="21" fillId="0" borderId="1" xfId="0" applyFont="1" applyBorder="1" applyAlignment="1">
      <alignment horizontal="center" vertical="center"/>
    </xf>
    <xf numFmtId="1" fontId="22" fillId="0" borderId="6" xfId="0" applyFont="1" applyBorder="1" applyAlignment="1">
      <alignment horizontal="center" vertical="center"/>
    </xf>
    <xf numFmtId="1" fontId="21" fillId="0" borderId="62" xfId="0" applyFont="1" applyBorder="1" applyAlignment="1">
      <alignment horizontal="right" vertical="center"/>
    </xf>
    <xf numFmtId="166" fontId="22" fillId="0" borderId="11" xfId="0" applyNumberFormat="1" applyFont="1" applyBorder="1" applyAlignment="1">
      <alignment horizontal="right" vertical="center"/>
    </xf>
    <xf numFmtId="1" fontId="22" fillId="0" borderId="0" xfId="0" applyFont="1" applyAlignment="1">
      <alignment horizontal="right"/>
    </xf>
    <xf numFmtId="166" fontId="22" fillId="0" borderId="14" xfId="0" applyNumberFormat="1" applyFont="1" applyBorder="1" applyAlignment="1">
      <alignment horizontal="right" vertical="center"/>
    </xf>
    <xf numFmtId="166" fontId="21" fillId="0" borderId="8" xfId="0" applyNumberFormat="1" applyFont="1" applyBorder="1" applyAlignment="1">
      <alignment horizontal="right" vertical="center"/>
    </xf>
    <xf numFmtId="166" fontId="22" fillId="0" borderId="11" xfId="0" applyNumberFormat="1" applyFont="1" applyBorder="1" applyAlignment="1">
      <alignment vertical="center"/>
    </xf>
    <xf numFmtId="166" fontId="22" fillId="0" borderId="13" xfId="0" applyNumberFormat="1" applyFont="1" applyBorder="1" applyAlignment="1">
      <alignment horizontal="right" vertical="center"/>
    </xf>
    <xf numFmtId="166" fontId="22" fillId="0" borderId="6" xfId="0" applyNumberFormat="1" applyFont="1" applyBorder="1" applyAlignment="1">
      <alignment horizontal="right" vertical="center"/>
    </xf>
    <xf numFmtId="171" fontId="22" fillId="0" borderId="11" xfId="5" applyNumberFormat="1" applyFont="1" applyBorder="1" applyAlignment="1">
      <alignment vertical="center"/>
    </xf>
    <xf numFmtId="171" fontId="22" fillId="0" borderId="19" xfId="5" applyNumberFormat="1" applyFont="1" applyBorder="1" applyAlignment="1">
      <alignment vertical="center"/>
    </xf>
    <xf numFmtId="171" fontId="22" fillId="0" borderId="0" xfId="5" applyNumberFormat="1" applyFont="1" applyBorder="1"/>
    <xf numFmtId="171" fontId="22" fillId="0" borderId="0" xfId="5" applyNumberFormat="1" applyFont="1" applyFill="1" applyBorder="1"/>
    <xf numFmtId="0" fontId="21" fillId="0" borderId="0" xfId="0" applyNumberFormat="1" applyFont="1"/>
    <xf numFmtId="1" fontId="21" fillId="0" borderId="0" xfId="0" applyFont="1" applyAlignment="1">
      <alignment horizontal="right"/>
    </xf>
    <xf numFmtId="0" fontId="21" fillId="0" borderId="0" xfId="0" applyNumberFormat="1" applyFont="1" applyAlignment="1">
      <alignment horizontal="right"/>
    </xf>
    <xf numFmtId="166" fontId="21" fillId="0" borderId="0" xfId="0" applyNumberFormat="1" applyFont="1" applyAlignment="1">
      <alignment horizontal="right"/>
    </xf>
    <xf numFmtId="0" fontId="22" fillId="0" borderId="0" xfId="0" applyNumberFormat="1" applyFont="1"/>
    <xf numFmtId="0" fontId="22" fillId="0" borderId="0" xfId="0" applyNumberFormat="1" applyFont="1" applyAlignment="1">
      <alignment horizontal="left" vertical="center"/>
    </xf>
    <xf numFmtId="165" fontId="22" fillId="0" borderId="0" xfId="0" applyNumberFormat="1" applyFont="1"/>
    <xf numFmtId="171" fontId="22" fillId="0" borderId="0" xfId="5" applyNumberFormat="1" applyFont="1" applyBorder="1" applyAlignment="1">
      <alignment vertical="center"/>
    </xf>
    <xf numFmtId="171" fontId="22" fillId="0" borderId="0" xfId="5" applyNumberFormat="1" applyFont="1" applyFill="1" applyBorder="1" applyAlignment="1">
      <alignment vertical="center"/>
    </xf>
    <xf numFmtId="166" fontId="22" fillId="0" borderId="21" xfId="0" applyNumberFormat="1" applyFont="1" applyBorder="1" applyAlignment="1">
      <alignment horizontal="right" vertical="center"/>
    </xf>
    <xf numFmtId="166" fontId="22" fillId="0" borderId="12" xfId="0" applyNumberFormat="1" applyFont="1" applyBorder="1" applyAlignment="1">
      <alignment horizontal="right" vertical="center"/>
    </xf>
    <xf numFmtId="166" fontId="22" fillId="0" borderId="8" xfId="0" applyNumberFormat="1" applyFont="1" applyBorder="1" applyAlignment="1">
      <alignment horizontal="right" vertical="center"/>
    </xf>
    <xf numFmtId="0" fontId="23" fillId="0" borderId="53" xfId="0" applyNumberFormat="1" applyFont="1" applyBorder="1" applyAlignment="1">
      <alignment horizontal="right" vertical="center"/>
    </xf>
    <xf numFmtId="1" fontId="7" fillId="0" borderId="34" xfId="0" applyFont="1" applyBorder="1" applyAlignment="1">
      <alignment horizontal="right" vertical="center"/>
    </xf>
    <xf numFmtId="1" fontId="7" fillId="0" borderId="73" xfId="0" applyFont="1" applyBorder="1" applyAlignment="1">
      <alignment horizontal="right" vertical="center"/>
    </xf>
    <xf numFmtId="1" fontId="1" fillId="0" borderId="8" xfId="0" applyFont="1" applyBorder="1" applyAlignment="1">
      <alignment vertical="center"/>
    </xf>
    <xf numFmtId="1" fontId="1" fillId="0" borderId="69" xfId="0" applyFont="1" applyBorder="1" applyAlignment="1">
      <alignment vertical="center"/>
    </xf>
    <xf numFmtId="1" fontId="1" fillId="5" borderId="66" xfId="0" applyFont="1" applyFill="1" applyBorder="1" applyAlignment="1">
      <alignment vertical="center"/>
    </xf>
    <xf numFmtId="15" fontId="1" fillId="0" borderId="1" xfId="0" applyNumberFormat="1" applyFont="1" applyBorder="1" applyAlignment="1">
      <alignment horizontal="left" vertical="center"/>
    </xf>
    <xf numFmtId="1" fontId="1" fillId="0" borderId="70" xfId="0" applyFont="1" applyBorder="1" applyAlignment="1">
      <alignment vertical="center"/>
    </xf>
    <xf numFmtId="169" fontId="1" fillId="0" borderId="70" xfId="0" applyNumberFormat="1" applyFont="1" applyBorder="1" applyAlignment="1">
      <alignment horizontal="center" vertical="center"/>
    </xf>
    <xf numFmtId="168" fontId="2" fillId="0" borderId="70" xfId="0" quotePrefix="1" applyNumberFormat="1" applyFont="1" applyBorder="1" applyAlignment="1">
      <alignment horizontal="center" vertical="center"/>
    </xf>
    <xf numFmtId="1" fontId="2" fillId="0" borderId="70" xfId="0" quotePrefix="1" applyFont="1" applyBorder="1" applyAlignment="1">
      <alignment vertical="center" wrapText="1"/>
    </xf>
    <xf numFmtId="1" fontId="2" fillId="0" borderId="70" xfId="0" quotePrefix="1" applyFont="1" applyBorder="1" applyAlignment="1">
      <alignment horizontal="center" vertical="center" wrapText="1"/>
    </xf>
    <xf numFmtId="1" fontId="2" fillId="5" borderId="70" xfId="0" quotePrefix="1" applyFont="1" applyFill="1" applyBorder="1" applyAlignment="1">
      <alignment horizontal="center" vertical="center" wrapText="1"/>
    </xf>
    <xf numFmtId="170" fontId="2" fillId="0" borderId="70" xfId="0" quotePrefix="1" applyNumberFormat="1" applyFont="1" applyBorder="1" applyAlignment="1">
      <alignment horizontal="center" vertical="center" wrapText="1"/>
    </xf>
    <xf numFmtId="170" fontId="2" fillId="0" borderId="70" xfId="0" quotePrefix="1" applyNumberFormat="1" applyFont="1" applyBorder="1" applyAlignment="1">
      <alignment horizontal="center" vertical="center"/>
    </xf>
    <xf numFmtId="170" fontId="24" fillId="0" borderId="70" xfId="0" quotePrefix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" fontId="7" fillId="0" borderId="12" xfId="0" applyFont="1" applyBorder="1" applyAlignment="1">
      <alignment horizontal="right" vertical="center"/>
    </xf>
    <xf numFmtId="1" fontId="7" fillId="0" borderId="55" xfId="0" applyFont="1" applyBorder="1" applyAlignment="1">
      <alignment horizontal="right" vertical="center"/>
    </xf>
    <xf numFmtId="1" fontId="1" fillId="0" borderId="1" xfId="0" applyFont="1" applyBorder="1" applyAlignment="1">
      <alignment horizontal="center" vertical="center"/>
    </xf>
    <xf numFmtId="1" fontId="2" fillId="0" borderId="12" xfId="0" applyFont="1" applyBorder="1" applyAlignment="1">
      <alignment horizontal="left" vertical="center"/>
    </xf>
    <xf numFmtId="1" fontId="1" fillId="0" borderId="12" xfId="0" applyFont="1" applyBorder="1" applyAlignment="1">
      <alignment horizontal="right" vertical="center"/>
    </xf>
    <xf numFmtId="166" fontId="1" fillId="0" borderId="11" xfId="0" applyNumberFormat="1" applyFont="1" applyBorder="1" applyAlignment="1">
      <alignment horizontal="right" vertical="center"/>
    </xf>
    <xf numFmtId="166" fontId="1" fillId="0" borderId="34" xfId="0" applyNumberFormat="1" applyFont="1" applyBorder="1" applyAlignment="1">
      <alignment horizontal="right" vertical="center"/>
    </xf>
    <xf numFmtId="166" fontId="1" fillId="0" borderId="71" xfId="0" applyNumberFormat="1" applyFont="1" applyBorder="1" applyAlignment="1">
      <alignment horizontal="right" vertical="center"/>
    </xf>
    <xf numFmtId="166" fontId="1" fillId="0" borderId="11" xfId="0" applyNumberFormat="1" applyFont="1" applyBorder="1" applyAlignment="1">
      <alignment vertical="center"/>
    </xf>
    <xf numFmtId="1" fontId="1" fillId="0" borderId="6" xfId="0" applyFont="1" applyBorder="1" applyAlignment="1">
      <alignment vertical="center"/>
    </xf>
    <xf numFmtId="166" fontId="1" fillId="0" borderId="6" xfId="0" applyNumberFormat="1" applyFont="1" applyBorder="1" applyAlignment="1">
      <alignment horizontal="right" vertical="center"/>
    </xf>
    <xf numFmtId="166" fontId="1" fillId="0" borderId="17" xfId="0" applyNumberFormat="1" applyFont="1" applyBorder="1" applyAlignment="1">
      <alignment horizontal="right" vertical="center"/>
    </xf>
    <xf numFmtId="1" fontId="22" fillId="0" borderId="64" xfId="4" applyNumberFormat="1" applyFont="1" applyFill="1" applyBorder="1" applyAlignment="1">
      <alignment horizontal="center" vertical="center"/>
    </xf>
    <xf numFmtId="15" fontId="1" fillId="5" borderId="63" xfId="1" applyNumberFormat="1" applyFont="1" applyFill="1" applyBorder="1" applyAlignment="1">
      <alignment horizontal="center" vertical="center"/>
    </xf>
    <xf numFmtId="49" fontId="22" fillId="0" borderId="43" xfId="4" quotePrefix="1" applyNumberFormat="1" applyFont="1" applyFill="1" applyBorder="1" applyAlignment="1">
      <alignment horizontal="center" vertical="center"/>
    </xf>
    <xf numFmtId="2" fontId="22" fillId="0" borderId="74" xfId="4" applyNumberFormat="1" applyFont="1" applyFill="1" applyBorder="1" applyAlignment="1">
      <alignment horizontal="right" vertical="center"/>
    </xf>
    <xf numFmtId="1" fontId="22" fillId="0" borderId="74" xfId="4" applyNumberFormat="1" applyFont="1" applyFill="1" applyBorder="1" applyAlignment="1">
      <alignment horizontal="right" vertical="center"/>
    </xf>
    <xf numFmtId="0" fontId="22" fillId="0" borderId="12" xfId="4" applyNumberFormat="1" applyFont="1" applyFill="1" applyBorder="1" applyAlignment="1">
      <alignment horizontal="right" vertical="center"/>
    </xf>
    <xf numFmtId="0" fontId="22" fillId="0" borderId="11" xfId="4" applyNumberFormat="1" applyFont="1" applyFill="1" applyBorder="1" applyAlignment="1">
      <alignment horizontal="right" vertical="center"/>
    </xf>
    <xf numFmtId="1" fontId="22" fillId="0" borderId="19" xfId="4" applyNumberFormat="1" applyFont="1" applyFill="1" applyBorder="1" applyAlignment="1">
      <alignment horizontal="right" vertical="center"/>
    </xf>
    <xf numFmtId="168" fontId="22" fillId="0" borderId="1" xfId="4" applyNumberFormat="1" applyFont="1" applyFill="1" applyBorder="1" applyAlignment="1">
      <alignment horizontal="right" vertical="center"/>
    </xf>
    <xf numFmtId="168" fontId="22" fillId="0" borderId="8" xfId="4" applyNumberFormat="1" applyFont="1" applyFill="1" applyBorder="1" applyAlignment="1">
      <alignment horizontal="center" vertical="center"/>
    </xf>
    <xf numFmtId="168" fontId="22" fillId="0" borderId="1" xfId="4" applyNumberFormat="1" applyFont="1" applyFill="1" applyBorder="1" applyAlignment="1">
      <alignment horizontal="center" vertical="center"/>
    </xf>
    <xf numFmtId="173" fontId="22" fillId="0" borderId="12" xfId="2" applyNumberFormat="1" applyFont="1" applyFill="1" applyBorder="1" applyAlignment="1">
      <alignment vertical="center"/>
    </xf>
    <xf numFmtId="173" fontId="22" fillId="0" borderId="11" xfId="2" applyNumberFormat="1" applyFont="1" applyFill="1" applyBorder="1" applyAlignment="1">
      <alignment horizontal="right" vertical="center"/>
    </xf>
    <xf numFmtId="173" fontId="22" fillId="0" borderId="6" xfId="2" applyNumberFormat="1" applyFont="1" applyFill="1" applyBorder="1" applyAlignment="1">
      <alignment horizontal="right" vertical="center"/>
    </xf>
    <xf numFmtId="173" fontId="21" fillId="0" borderId="65" xfId="2" applyNumberFormat="1" applyFont="1" applyFill="1" applyBorder="1" applyAlignment="1">
      <alignment horizontal="right" vertical="center"/>
    </xf>
    <xf numFmtId="173" fontId="22" fillId="0" borderId="12" xfId="2" applyNumberFormat="1" applyFont="1" applyFill="1" applyBorder="1" applyAlignment="1">
      <alignment horizontal="right" vertical="center"/>
    </xf>
    <xf numFmtId="174" fontId="22" fillId="0" borderId="11" xfId="2" applyNumberFormat="1" applyFont="1" applyFill="1" applyBorder="1" applyAlignment="1">
      <alignment horizontal="right" vertical="center"/>
    </xf>
    <xf numFmtId="173" fontId="22" fillId="0" borderId="13" xfId="2" applyNumberFormat="1" applyFont="1" applyFill="1" applyBorder="1" applyAlignment="1">
      <alignment horizontal="right" vertical="center"/>
    </xf>
    <xf numFmtId="174" fontId="21" fillId="0" borderId="8" xfId="2" applyNumberFormat="1" applyFont="1" applyFill="1" applyBorder="1" applyAlignment="1">
      <alignment horizontal="right" vertical="center"/>
    </xf>
    <xf numFmtId="174" fontId="22" fillId="0" borderId="6" xfId="2" applyNumberFormat="1" applyFont="1" applyFill="1" applyBorder="1" applyAlignment="1">
      <alignment horizontal="right" vertical="center"/>
    </xf>
    <xf numFmtId="173" fontId="21" fillId="0" borderId="8" xfId="2" applyNumberFormat="1" applyFont="1" applyFill="1" applyBorder="1" applyAlignment="1">
      <alignment horizontal="right" vertical="center"/>
    </xf>
    <xf numFmtId="174" fontId="22" fillId="0" borderId="1" xfId="2" applyNumberFormat="1" applyFont="1" applyFill="1" applyBorder="1" applyAlignment="1">
      <alignment horizontal="right" vertical="center"/>
    </xf>
    <xf numFmtId="1" fontId="25" fillId="0" borderId="21" xfId="0" applyFont="1" applyBorder="1" applyAlignment="1">
      <alignment horizontal="center" vertical="center" wrapText="1" readingOrder="1"/>
    </xf>
    <xf numFmtId="166" fontId="2" fillId="0" borderId="11" xfId="0" applyNumberFormat="1" applyFont="1" applyBorder="1" applyAlignment="1">
      <alignment horizontal="right" vertical="center"/>
    </xf>
    <xf numFmtId="174" fontId="21" fillId="0" borderId="11" xfId="2" applyNumberFormat="1" applyFont="1" applyFill="1" applyBorder="1" applyAlignment="1">
      <alignment horizontal="right" vertical="center"/>
    </xf>
    <xf numFmtId="166" fontId="2" fillId="0" borderId="13" xfId="0" applyNumberFormat="1" applyFont="1" applyBorder="1" applyAlignment="1">
      <alignment horizontal="right" vertical="center"/>
    </xf>
    <xf numFmtId="14" fontId="2" fillId="6" borderId="8" xfId="0" quotePrefix="1" applyNumberFormat="1" applyFont="1" applyFill="1" applyBorder="1" applyAlignment="1">
      <alignment horizontal="center" vertical="center" wrapText="1"/>
    </xf>
    <xf numFmtId="1" fontId="2" fillId="0" borderId="66" xfId="0" applyFont="1" applyBorder="1" applyAlignment="1">
      <alignment horizontal="center" vertical="center"/>
    </xf>
    <xf numFmtId="2" fontId="7" fillId="0" borderId="85" xfId="0" applyNumberFormat="1" applyFont="1" applyBorder="1" applyAlignment="1">
      <alignment horizontal="right" vertical="center"/>
    </xf>
    <xf numFmtId="1" fontId="7" fillId="0" borderId="85" xfId="0" applyFont="1" applyBorder="1" applyAlignment="1">
      <alignment horizontal="right" vertical="center"/>
    </xf>
    <xf numFmtId="1" fontId="2" fillId="0" borderId="63" xfId="0" applyFont="1" applyBorder="1" applyAlignment="1">
      <alignment horizontal="center" vertical="center"/>
    </xf>
    <xf numFmtId="1" fontId="2" fillId="0" borderId="84" xfId="0" applyFont="1" applyBorder="1" applyAlignment="1">
      <alignment horizontal="right" vertical="center"/>
    </xf>
    <xf numFmtId="166" fontId="2" fillId="0" borderId="66" xfId="0" applyNumberFormat="1" applyFont="1" applyBorder="1" applyAlignment="1">
      <alignment horizontal="right" vertical="center"/>
    </xf>
    <xf numFmtId="166" fontId="2" fillId="0" borderId="84" xfId="0" applyNumberFormat="1" applyFont="1" applyBorder="1" applyAlignment="1">
      <alignment horizontal="right" vertical="center"/>
    </xf>
    <xf numFmtId="0" fontId="2" fillId="0" borderId="63" xfId="0" applyNumberFormat="1" applyFont="1" applyBorder="1" applyAlignment="1">
      <alignment horizontal="center" vertical="center"/>
    </xf>
    <xf numFmtId="1" fontId="7" fillId="0" borderId="84" xfId="0" applyFont="1" applyBorder="1" applyAlignment="1">
      <alignment horizontal="right" vertical="center"/>
    </xf>
    <xf numFmtId="1" fontId="1" fillId="0" borderId="63" xfId="0" applyFont="1" applyBorder="1" applyAlignment="1">
      <alignment horizontal="center" vertical="center"/>
    </xf>
    <xf numFmtId="1" fontId="1" fillId="0" borderId="84" xfId="0" applyFont="1" applyBorder="1" applyAlignment="1">
      <alignment horizontal="right" vertical="center"/>
    </xf>
    <xf numFmtId="166" fontId="1" fillId="0" borderId="85" xfId="0" applyNumberFormat="1" applyFont="1" applyBorder="1" applyAlignment="1">
      <alignment horizontal="right" vertical="center"/>
    </xf>
    <xf numFmtId="166" fontId="1" fillId="0" borderId="88" xfId="0" applyNumberFormat="1" applyFont="1" applyBorder="1" applyAlignment="1">
      <alignment horizontal="right" vertical="center"/>
    </xf>
    <xf numFmtId="166" fontId="1" fillId="0" borderId="89" xfId="0" applyNumberFormat="1" applyFont="1" applyBorder="1" applyAlignment="1">
      <alignment horizontal="right" vertical="center"/>
    </xf>
    <xf numFmtId="166" fontId="1" fillId="0" borderId="85" xfId="0" applyNumberFormat="1" applyFont="1" applyBorder="1" applyAlignment="1">
      <alignment vertical="center"/>
    </xf>
    <xf numFmtId="166" fontId="2" fillId="0" borderId="85" xfId="0" applyNumberFormat="1" applyFont="1" applyBorder="1" applyAlignment="1">
      <alignment horizontal="right" vertical="center"/>
    </xf>
    <xf numFmtId="166" fontId="1" fillId="0" borderId="86" xfId="0" applyNumberFormat="1" applyFont="1" applyBorder="1" applyAlignment="1">
      <alignment horizontal="right" vertical="center"/>
    </xf>
    <xf numFmtId="166" fontId="2" fillId="0" borderId="86" xfId="0" applyNumberFormat="1" applyFont="1" applyBorder="1" applyAlignment="1">
      <alignment horizontal="right" vertical="center"/>
    </xf>
    <xf numFmtId="1" fontId="22" fillId="0" borderId="63" xfId="0" applyFont="1" applyBorder="1" applyAlignment="1">
      <alignment vertical="center"/>
    </xf>
    <xf numFmtId="0" fontId="21" fillId="0" borderId="66" xfId="0" applyNumberFormat="1" applyFont="1" applyBorder="1" applyAlignment="1">
      <alignment horizontal="center" vertical="center"/>
    </xf>
    <xf numFmtId="0" fontId="23" fillId="0" borderId="61" xfId="0" applyNumberFormat="1" applyFont="1" applyBorder="1" applyAlignment="1">
      <alignment horizontal="right" vertical="center"/>
    </xf>
    <xf numFmtId="2" fontId="23" fillId="0" borderId="85" xfId="0" applyNumberFormat="1" applyFont="1" applyBorder="1" applyAlignment="1">
      <alignment horizontal="right" vertical="center"/>
    </xf>
    <xf numFmtId="0" fontId="23" fillId="0" borderId="86" xfId="0" applyNumberFormat="1" applyFont="1" applyBorder="1" applyAlignment="1">
      <alignment horizontal="right" vertical="center"/>
    </xf>
    <xf numFmtId="1" fontId="23" fillId="0" borderId="85" xfId="0" applyFont="1" applyBorder="1" applyAlignment="1">
      <alignment horizontal="right" vertical="center"/>
    </xf>
    <xf numFmtId="1" fontId="21" fillId="0" borderId="63" xfId="0" applyFont="1" applyBorder="1" applyAlignment="1">
      <alignment horizontal="center" vertical="center"/>
    </xf>
    <xf numFmtId="1" fontId="22" fillId="0" borderId="61" xfId="0" applyFont="1" applyBorder="1" applyAlignment="1">
      <alignment horizontal="center" vertical="center"/>
    </xf>
    <xf numFmtId="1" fontId="21" fillId="0" borderId="90" xfId="0" applyFont="1" applyBorder="1" applyAlignment="1">
      <alignment horizontal="right" vertical="center"/>
    </xf>
    <xf numFmtId="166" fontId="22" fillId="0" borderId="85" xfId="0" applyNumberFormat="1" applyFont="1" applyBorder="1" applyAlignment="1">
      <alignment horizontal="right" vertical="center"/>
    </xf>
    <xf numFmtId="166" fontId="22" fillId="0" borderId="87" xfId="0" applyNumberFormat="1" applyFont="1" applyBorder="1" applyAlignment="1">
      <alignment horizontal="right" vertical="center"/>
    </xf>
    <xf numFmtId="166" fontId="21" fillId="0" borderId="66" xfId="0" applyNumberFormat="1" applyFont="1" applyBorder="1" applyAlignment="1">
      <alignment horizontal="right" vertical="center"/>
    </xf>
    <xf numFmtId="166" fontId="22" fillId="0" borderId="85" xfId="0" applyNumberFormat="1" applyFont="1" applyBorder="1" applyAlignment="1">
      <alignment vertical="center"/>
    </xf>
    <xf numFmtId="166" fontId="22" fillId="0" borderId="86" xfId="0" applyNumberFormat="1" applyFont="1" applyBorder="1" applyAlignment="1">
      <alignment horizontal="right" vertical="center"/>
    </xf>
    <xf numFmtId="166" fontId="21" fillId="0" borderId="1" xfId="0" applyNumberFormat="1" applyFont="1" applyBorder="1" applyAlignment="1">
      <alignment horizontal="right" vertical="center"/>
    </xf>
    <xf numFmtId="1" fontId="2" fillId="0" borderId="30" xfId="0" applyFont="1" applyBorder="1" applyAlignment="1">
      <alignment horizontal="left" vertical="center"/>
    </xf>
    <xf numFmtId="1" fontId="1" fillId="0" borderId="97" xfId="0" applyFont="1" applyBorder="1" applyAlignment="1">
      <alignment vertical="center"/>
    </xf>
    <xf numFmtId="1" fontId="1" fillId="0" borderId="94" xfId="0" applyFont="1" applyBorder="1" applyAlignment="1">
      <alignment vertical="center"/>
    </xf>
    <xf numFmtId="0" fontId="2" fillId="0" borderId="94" xfId="0" applyNumberFormat="1" applyFont="1" applyBorder="1" applyAlignment="1">
      <alignment horizontal="center" vertical="center"/>
    </xf>
    <xf numFmtId="1" fontId="7" fillId="0" borderId="93" xfId="0" applyFont="1" applyBorder="1" applyAlignment="1">
      <alignment horizontal="right" vertical="center"/>
    </xf>
    <xf numFmtId="2" fontId="7" fillId="0" borderId="34" xfId="0" applyNumberFormat="1" applyFont="1" applyBorder="1" applyAlignment="1">
      <alignment horizontal="right" vertical="center"/>
    </xf>
    <xf numFmtId="1" fontId="2" fillId="0" borderId="94" xfId="0" applyFont="1" applyBorder="1" applyAlignment="1">
      <alignment horizontal="center" vertical="center"/>
    </xf>
    <xf numFmtId="1" fontId="1" fillId="0" borderId="94" xfId="0" applyFont="1" applyBorder="1" applyAlignment="1">
      <alignment horizontal="center" vertical="center"/>
    </xf>
    <xf numFmtId="1" fontId="1" fillId="0" borderId="93" xfId="0" applyFont="1" applyBorder="1" applyAlignment="1">
      <alignment horizontal="right" vertical="center"/>
    </xf>
    <xf numFmtId="166" fontId="2" fillId="0" borderId="97" xfId="0" applyNumberFormat="1" applyFont="1" applyBorder="1" applyAlignment="1">
      <alignment horizontal="right" vertical="center"/>
    </xf>
    <xf numFmtId="166" fontId="2" fillId="0" borderId="93" xfId="0" applyNumberFormat="1" applyFont="1" applyBorder="1" applyAlignment="1">
      <alignment horizontal="right" vertical="center"/>
    </xf>
    <xf numFmtId="166" fontId="1" fillId="0" borderId="34" xfId="0" applyNumberFormat="1" applyFont="1" applyBorder="1" applyAlignment="1">
      <alignment vertical="center"/>
    </xf>
    <xf numFmtId="166" fontId="2" fillId="0" borderId="34" xfId="0" applyNumberFormat="1" applyFont="1" applyBorder="1" applyAlignment="1">
      <alignment horizontal="right" vertical="center"/>
    </xf>
    <xf numFmtId="166" fontId="1" fillId="0" borderId="91" xfId="0" applyNumberFormat="1" applyFont="1" applyBorder="1" applyAlignment="1">
      <alignment horizontal="right" vertical="center"/>
    </xf>
    <xf numFmtId="166" fontId="2" fillId="0" borderId="91" xfId="0" applyNumberFormat="1" applyFont="1" applyBorder="1" applyAlignment="1">
      <alignment horizontal="right" vertical="center"/>
    </xf>
    <xf numFmtId="1" fontId="22" fillId="0" borderId="91" xfId="0" applyFont="1" applyBorder="1"/>
    <xf numFmtId="1" fontId="22" fillId="0" borderId="94" xfId="0" applyFont="1" applyBorder="1" applyAlignment="1">
      <alignment vertical="center"/>
    </xf>
    <xf numFmtId="2" fontId="23" fillId="0" borderId="34" xfId="0" applyNumberFormat="1" applyFont="1" applyBorder="1" applyAlignment="1">
      <alignment horizontal="right" vertical="center"/>
    </xf>
    <xf numFmtId="1" fontId="23" fillId="0" borderId="34" xfId="0" applyFont="1" applyBorder="1" applyAlignment="1">
      <alignment horizontal="right" vertical="center"/>
    </xf>
    <xf numFmtId="1" fontId="21" fillId="0" borderId="94" xfId="0" applyFont="1" applyBorder="1" applyAlignment="1">
      <alignment horizontal="center" vertical="center"/>
    </xf>
    <xf numFmtId="166" fontId="22" fillId="0" borderId="34" xfId="0" applyNumberFormat="1" applyFont="1" applyBorder="1" applyAlignment="1">
      <alignment horizontal="right" vertical="center"/>
    </xf>
    <xf numFmtId="166" fontId="22" fillId="0" borderId="71" xfId="0" applyNumberFormat="1" applyFont="1" applyBorder="1" applyAlignment="1">
      <alignment horizontal="right" vertical="center"/>
    </xf>
    <xf numFmtId="166" fontId="21" fillId="0" borderId="97" xfId="0" applyNumberFormat="1" applyFont="1" applyBorder="1" applyAlignment="1">
      <alignment horizontal="right" vertical="center"/>
    </xf>
    <xf numFmtId="166" fontId="22" fillId="0" borderId="34" xfId="0" applyNumberFormat="1" applyFont="1" applyBorder="1" applyAlignment="1">
      <alignment vertical="center"/>
    </xf>
    <xf numFmtId="1" fontId="22" fillId="0" borderId="92" xfId="0" applyFont="1" applyBorder="1"/>
    <xf numFmtId="166" fontId="22" fillId="0" borderId="91" xfId="0" applyNumberFormat="1" applyFont="1" applyBorder="1" applyAlignment="1">
      <alignment horizontal="right" vertical="center"/>
    </xf>
    <xf numFmtId="166" fontId="22" fillId="0" borderId="98" xfId="0" applyNumberFormat="1" applyFont="1" applyBorder="1" applyAlignment="1">
      <alignment horizontal="right" vertical="center"/>
    </xf>
    <xf numFmtId="1" fontId="22" fillId="0" borderId="98" xfId="0" applyFont="1" applyBorder="1"/>
    <xf numFmtId="1" fontId="5" fillId="0" borderId="0" xfId="0" applyFont="1" applyAlignment="1">
      <alignment horizontal="center"/>
    </xf>
    <xf numFmtId="1" fontId="1" fillId="0" borderId="0" xfId="0" applyFont="1"/>
    <xf numFmtId="168" fontId="17" fillId="0" borderId="0" xfId="0" applyNumberFormat="1" applyFont="1"/>
    <xf numFmtId="0" fontId="0" fillId="0" borderId="0" xfId="0" applyNumberFormat="1"/>
    <xf numFmtId="0" fontId="16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1" fontId="18" fillId="0" borderId="0" xfId="0" applyFont="1" applyAlignment="1">
      <alignment horizontal="center" wrapText="1"/>
    </xf>
    <xf numFmtId="1" fontId="2" fillId="0" borderId="34" xfId="0" applyFont="1" applyBorder="1" applyAlignment="1">
      <alignment horizontal="right" vertical="center"/>
    </xf>
    <xf numFmtId="174" fontId="2" fillId="0" borderId="34" xfId="2" applyNumberFormat="1" applyFont="1" applyFill="1" applyBorder="1" applyAlignment="1">
      <alignment horizontal="right" vertical="center"/>
    </xf>
    <xf numFmtId="1" fontId="2" fillId="0" borderId="23" xfId="0" applyFont="1" applyBorder="1" applyAlignment="1">
      <alignment horizontal="center" vertical="center"/>
    </xf>
    <xf numFmtId="15" fontId="2" fillId="0" borderId="57" xfId="0" quotePrefix="1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/>
    </xf>
    <xf numFmtId="174" fontId="7" fillId="0" borderId="52" xfId="2" applyNumberFormat="1" applyFont="1" applyFill="1" applyBorder="1" applyAlignment="1">
      <alignment horizontal="right" vertical="center"/>
    </xf>
    <xf numFmtId="174" fontId="2" fillId="0" borderId="67" xfId="2" applyNumberFormat="1" applyFont="1" applyFill="1" applyBorder="1" applyAlignment="1">
      <alignment horizontal="center" vertical="center"/>
    </xf>
    <xf numFmtId="174" fontId="2" fillId="0" borderId="57" xfId="2" applyNumberFormat="1" applyFont="1" applyFill="1" applyBorder="1" applyAlignment="1">
      <alignment horizontal="right" vertical="center"/>
    </xf>
    <xf numFmtId="174" fontId="2" fillId="0" borderId="55" xfId="2" applyNumberFormat="1" applyFont="1" applyFill="1" applyBorder="1" applyAlignment="1">
      <alignment horizontal="right" vertical="center"/>
    </xf>
    <xf numFmtId="174" fontId="2" fillId="0" borderId="74" xfId="2" applyNumberFormat="1" applyFont="1" applyFill="1" applyBorder="1" applyAlignment="1">
      <alignment horizontal="right" vertical="center"/>
    </xf>
    <xf numFmtId="1" fontId="2" fillId="6" borderId="21" xfId="0" applyFont="1" applyFill="1" applyBorder="1" applyAlignment="1">
      <alignment horizontal="center" vertical="center"/>
    </xf>
    <xf numFmtId="49" fontId="2" fillId="6" borderId="8" xfId="0" applyNumberFormat="1" applyFont="1" applyFill="1" applyBorder="1" applyAlignment="1">
      <alignment horizontal="center" vertical="center"/>
    </xf>
    <xf numFmtId="1" fontId="21" fillId="6" borderId="8" xfId="0" applyFont="1" applyFill="1" applyBorder="1" applyAlignment="1">
      <alignment horizontal="center" vertical="center"/>
    </xf>
    <xf numFmtId="1" fontId="21" fillId="6" borderId="15" xfId="4" quotePrefix="1" applyNumberFormat="1" applyFont="1" applyFill="1" applyBorder="1" applyAlignment="1">
      <alignment horizontal="center" vertical="center"/>
    </xf>
    <xf numFmtId="49" fontId="21" fillId="6" borderId="15" xfId="4" quotePrefix="1" applyNumberFormat="1" applyFont="1" applyFill="1" applyBorder="1" applyAlignment="1">
      <alignment horizontal="center" vertical="center"/>
    </xf>
    <xf numFmtId="166" fontId="22" fillId="6" borderId="17" xfId="4" quotePrefix="1" applyNumberFormat="1" applyFont="1" applyFill="1" applyBorder="1" applyAlignment="1">
      <alignment horizontal="center" vertical="center"/>
    </xf>
    <xf numFmtId="2" fontId="22" fillId="6" borderId="11" xfId="4" applyNumberFormat="1" applyFont="1" applyFill="1" applyBorder="1" applyAlignment="1">
      <alignment horizontal="center" vertical="center"/>
    </xf>
    <xf numFmtId="1" fontId="22" fillId="6" borderId="14" xfId="4" applyNumberFormat="1" applyFont="1" applyFill="1" applyBorder="1" applyAlignment="1">
      <alignment horizontal="center" vertical="center"/>
    </xf>
    <xf numFmtId="0" fontId="22" fillId="6" borderId="12" xfId="4" applyNumberFormat="1" applyFont="1" applyFill="1" applyBorder="1" applyAlignment="1">
      <alignment horizontal="center" vertical="center"/>
    </xf>
    <xf numFmtId="0" fontId="22" fillId="6" borderId="11" xfId="4" applyNumberFormat="1" applyFont="1" applyFill="1" applyBorder="1" applyAlignment="1">
      <alignment horizontal="center" vertical="center"/>
    </xf>
    <xf numFmtId="1" fontId="22" fillId="6" borderId="19" xfId="4" applyNumberFormat="1" applyFont="1" applyFill="1" applyBorder="1" applyAlignment="1">
      <alignment horizontal="center" vertical="center"/>
    </xf>
    <xf numFmtId="168" fontId="21" fillId="6" borderId="1" xfId="4" applyNumberFormat="1" applyFont="1" applyFill="1" applyBorder="1" applyAlignment="1">
      <alignment horizontal="center" vertical="center"/>
    </xf>
    <xf numFmtId="168" fontId="21" fillId="6" borderId="8" xfId="4" applyNumberFormat="1" applyFont="1" applyFill="1" applyBorder="1" applyAlignment="1">
      <alignment horizontal="center" vertical="center"/>
    </xf>
    <xf numFmtId="168" fontId="22" fillId="6" borderId="17" xfId="4" applyNumberFormat="1" applyFont="1" applyFill="1" applyBorder="1" applyAlignment="1">
      <alignment horizontal="center" vertical="center"/>
    </xf>
    <xf numFmtId="1" fontId="7" fillId="0" borderId="6" xfId="0" applyFont="1" applyBorder="1" applyAlignment="1">
      <alignment horizontal="right" vertical="center"/>
    </xf>
    <xf numFmtId="166" fontId="2" fillId="0" borderId="14" xfId="0" applyNumberFormat="1" applyFont="1" applyBorder="1" applyAlignment="1">
      <alignment horizontal="right" vertical="center"/>
    </xf>
    <xf numFmtId="9" fontId="22" fillId="0" borderId="0" xfId="5" applyFont="1"/>
    <xf numFmtId="166" fontId="2" fillId="0" borderId="1" xfId="0" applyNumberFormat="1" applyFont="1" applyBorder="1" applyAlignment="1">
      <alignment horizontal="right" vertical="center"/>
    </xf>
    <xf numFmtId="9" fontId="2" fillId="0" borderId="0" xfId="5" applyFont="1" applyBorder="1"/>
    <xf numFmtId="9" fontId="2" fillId="0" borderId="61" xfId="5" applyFont="1" applyBorder="1"/>
    <xf numFmtId="1" fontId="2" fillId="0" borderId="24" xfId="0" applyFont="1" applyBorder="1"/>
    <xf numFmtId="2" fontId="2" fillId="0" borderId="83" xfId="0" applyNumberFormat="1" applyFont="1" applyBorder="1"/>
    <xf numFmtId="2" fontId="2" fillId="0" borderId="61" xfId="0" applyNumberFormat="1" applyFont="1" applyBorder="1"/>
    <xf numFmtId="2" fontId="2" fillId="0" borderId="63" xfId="0" applyNumberFormat="1" applyFont="1" applyBorder="1"/>
    <xf numFmtId="9" fontId="2" fillId="0" borderId="23" xfId="5" applyFont="1" applyBorder="1"/>
    <xf numFmtId="1" fontId="2" fillId="0" borderId="70" xfId="0" applyFont="1" applyBorder="1"/>
    <xf numFmtId="1" fontId="2" fillId="0" borderId="70" xfId="0" applyFont="1" applyBorder="1" applyAlignment="1">
      <alignment horizontal="center"/>
    </xf>
    <xf numFmtId="1" fontId="2" fillId="0" borderId="63" xfId="0" applyFont="1" applyBorder="1" applyAlignment="1">
      <alignment horizontal="center"/>
    </xf>
    <xf numFmtId="174" fontId="0" fillId="0" borderId="0" xfId="2" applyNumberFormat="1" applyFont="1" applyBorder="1" applyAlignment="1"/>
    <xf numFmtId="174" fontId="0" fillId="0" borderId="61" xfId="2" applyNumberFormat="1" applyFont="1" applyBorder="1" applyAlignment="1"/>
    <xf numFmtId="174" fontId="0" fillId="0" borderId="70" xfId="2" applyNumberFormat="1" applyFont="1" applyBorder="1" applyAlignment="1"/>
    <xf numFmtId="174" fontId="0" fillId="0" borderId="63" xfId="2" applyNumberFormat="1" applyFont="1" applyBorder="1" applyAlignment="1"/>
    <xf numFmtId="174" fontId="0" fillId="0" borderId="0" xfId="2" applyNumberFormat="1" applyFont="1" applyBorder="1" applyAlignment="1">
      <alignment horizontal="left"/>
    </xf>
    <xf numFmtId="174" fontId="0" fillId="0" borderId="70" xfId="2" applyNumberFormat="1" applyFont="1" applyBorder="1" applyAlignment="1">
      <alignment horizontal="left"/>
    </xf>
    <xf numFmtId="15" fontId="2" fillId="0" borderId="8" xfId="0" quotePrefix="1" applyNumberFormat="1" applyFont="1" applyBorder="1" applyAlignment="1">
      <alignment horizontal="center" vertical="center" wrapText="1"/>
    </xf>
    <xf numFmtId="2" fontId="7" fillId="0" borderId="11" xfId="0" quotePrefix="1" applyNumberFormat="1" applyFont="1" applyBorder="1" applyAlignment="1">
      <alignment horizontal="right" vertical="center"/>
    </xf>
    <xf numFmtId="0" fontId="21" fillId="0" borderId="8" xfId="0" quotePrefix="1" applyNumberFormat="1" applyFont="1" applyBorder="1" applyAlignment="1">
      <alignment horizontal="center" vertical="center"/>
    </xf>
    <xf numFmtId="171" fontId="22" fillId="0" borderId="11" xfId="5" applyNumberFormat="1" applyFont="1" applyFill="1" applyBorder="1" applyAlignment="1">
      <alignment vertical="center"/>
    </xf>
    <xf numFmtId="1" fontId="21" fillId="0" borderId="57" xfId="0" applyFont="1" applyBorder="1" applyAlignment="1">
      <alignment horizontal="center" vertical="center" wrapText="1"/>
    </xf>
    <xf numFmtId="15" fontId="22" fillId="0" borderId="57" xfId="0" applyNumberFormat="1" applyFont="1" applyBorder="1" applyAlignment="1">
      <alignment horizontal="left" vertical="center"/>
    </xf>
    <xf numFmtId="1" fontId="21" fillId="0" borderId="55" xfId="0" applyFont="1" applyBorder="1" applyAlignment="1">
      <alignment horizontal="left" vertical="center"/>
    </xf>
    <xf numFmtId="1" fontId="21" fillId="6" borderId="105" xfId="0" applyFont="1" applyFill="1" applyBorder="1" applyAlignment="1">
      <alignment horizontal="center" vertical="center"/>
    </xf>
    <xf numFmtId="1" fontId="21" fillId="6" borderId="63" xfId="0" applyFont="1" applyFill="1" applyBorder="1" applyAlignment="1">
      <alignment horizontal="center" vertical="center"/>
    </xf>
    <xf numFmtId="1" fontId="22" fillId="6" borderId="63" xfId="0" applyFont="1" applyFill="1" applyBorder="1" applyAlignment="1">
      <alignment horizontal="center" vertical="center"/>
    </xf>
    <xf numFmtId="1" fontId="22" fillId="0" borderId="92" xfId="0" applyFont="1" applyBorder="1" applyAlignment="1">
      <alignment vertical="center"/>
    </xf>
    <xf numFmtId="169" fontId="22" fillId="0" borderId="107" xfId="0" applyNumberFormat="1" applyFont="1" applyBorder="1" applyAlignment="1">
      <alignment horizontal="center" vertical="center"/>
    </xf>
    <xf numFmtId="169" fontId="22" fillId="0" borderId="83" xfId="0" applyNumberFormat="1" applyFont="1" applyBorder="1" applyAlignment="1">
      <alignment horizontal="center" vertical="center"/>
    </xf>
    <xf numFmtId="169" fontId="22" fillId="0" borderId="21" xfId="0" applyNumberFormat="1" applyFont="1" applyBorder="1" applyAlignment="1">
      <alignment horizontal="center" vertical="center"/>
    </xf>
    <xf numFmtId="1" fontId="1" fillId="0" borderId="8" xfId="0" applyFont="1" applyBorder="1" applyAlignment="1">
      <alignment horizontal="center" vertical="center"/>
    </xf>
    <xf numFmtId="1" fontId="22" fillId="0" borderId="108" xfId="0" applyFont="1" applyBorder="1" applyAlignment="1">
      <alignment vertical="center"/>
    </xf>
    <xf numFmtId="0" fontId="21" fillId="0" borderId="109" xfId="0" applyNumberFormat="1" applyFont="1" applyBorder="1" applyAlignment="1">
      <alignment horizontal="center" vertical="center"/>
    </xf>
    <xf numFmtId="0" fontId="23" fillId="0" borderId="110" xfId="0" applyNumberFormat="1" applyFont="1" applyBorder="1" applyAlignment="1">
      <alignment horizontal="right" vertical="center"/>
    </xf>
    <xf numFmtId="2" fontId="23" fillId="0" borderId="80" xfId="0" applyNumberFormat="1" applyFont="1" applyBorder="1" applyAlignment="1">
      <alignment horizontal="right" vertical="center"/>
    </xf>
    <xf numFmtId="0" fontId="23" fillId="0" borderId="111" xfId="0" applyNumberFormat="1" applyFont="1" applyBorder="1" applyAlignment="1">
      <alignment horizontal="right" vertical="center"/>
    </xf>
    <xf numFmtId="1" fontId="7" fillId="0" borderId="79" xfId="0" applyFont="1" applyBorder="1" applyAlignment="1">
      <alignment horizontal="right" vertical="center"/>
    </xf>
    <xf numFmtId="1" fontId="23" fillId="0" borderId="80" xfId="0" applyFont="1" applyBorder="1" applyAlignment="1">
      <alignment horizontal="right" vertical="center"/>
    </xf>
    <xf numFmtId="1" fontId="21" fillId="0" borderId="108" xfId="0" applyFont="1" applyBorder="1" applyAlignment="1">
      <alignment horizontal="center" vertical="center"/>
    </xf>
    <xf numFmtId="1" fontId="22" fillId="0" borderId="110" xfId="0" applyFont="1" applyBorder="1" applyAlignment="1">
      <alignment horizontal="center" vertical="center"/>
    </xf>
    <xf numFmtId="1" fontId="21" fillId="0" borderId="112" xfId="0" applyFont="1" applyBorder="1" applyAlignment="1">
      <alignment horizontal="right" vertical="center"/>
    </xf>
    <xf numFmtId="166" fontId="22" fillId="0" borderId="80" xfId="0" applyNumberFormat="1" applyFont="1" applyBorder="1" applyAlignment="1">
      <alignment horizontal="right" vertical="center"/>
    </xf>
    <xf numFmtId="166" fontId="22" fillId="0" borderId="81" xfId="0" applyNumberFormat="1" applyFont="1" applyBorder="1" applyAlignment="1">
      <alignment horizontal="right" vertical="center"/>
    </xf>
    <xf numFmtId="166" fontId="21" fillId="0" borderId="109" xfId="0" applyNumberFormat="1" applyFont="1" applyBorder="1" applyAlignment="1">
      <alignment horizontal="right" vertical="center"/>
    </xf>
    <xf numFmtId="166" fontId="22" fillId="0" borderId="80" xfId="0" applyNumberFormat="1" applyFont="1" applyBorder="1" applyAlignment="1">
      <alignment vertical="center"/>
    </xf>
    <xf numFmtId="1" fontId="22" fillId="0" borderId="110" xfId="0" applyFont="1" applyBorder="1"/>
    <xf numFmtId="166" fontId="22" fillId="0" borderId="111" xfId="0" applyNumberFormat="1" applyFont="1" applyBorder="1" applyAlignment="1">
      <alignment horizontal="right" vertical="center"/>
    </xf>
    <xf numFmtId="166" fontId="22" fillId="0" borderId="53" xfId="0" applyNumberFormat="1" applyFont="1" applyBorder="1" applyAlignment="1">
      <alignment horizontal="right" vertical="center"/>
    </xf>
    <xf numFmtId="171" fontId="22" fillId="0" borderId="14" xfId="5" applyNumberFormat="1" applyFont="1" applyBorder="1" applyAlignment="1">
      <alignment vertical="center"/>
    </xf>
    <xf numFmtId="171" fontId="22" fillId="0" borderId="14" xfId="5" applyNumberFormat="1" applyFont="1" applyFill="1" applyBorder="1" applyAlignment="1">
      <alignment vertical="center"/>
    </xf>
    <xf numFmtId="1" fontId="1" fillId="0" borderId="17" xfId="0" applyFont="1" applyBorder="1" applyAlignment="1">
      <alignment horizontal="right" vertical="center"/>
    </xf>
    <xf numFmtId="166" fontId="1" fillId="0" borderId="79" xfId="0" applyNumberFormat="1" applyFont="1" applyBorder="1" applyAlignment="1">
      <alignment horizontal="right" vertical="center"/>
    </xf>
    <xf numFmtId="166" fontId="1" fillId="0" borderId="21" xfId="0" applyNumberFormat="1" applyFont="1" applyBorder="1" applyAlignment="1">
      <alignment horizontal="right" vertical="center"/>
    </xf>
    <xf numFmtId="166" fontId="1" fillId="0" borderId="8" xfId="0" applyNumberFormat="1" applyFont="1" applyBorder="1" applyAlignment="1">
      <alignment horizontal="right" vertical="center"/>
    </xf>
    <xf numFmtId="166" fontId="1" fillId="0" borderId="12" xfId="0" applyNumberFormat="1" applyFont="1" applyBorder="1" applyAlignment="1">
      <alignment horizontal="right" vertical="center"/>
    </xf>
    <xf numFmtId="171" fontId="1" fillId="0" borderId="11" xfId="5" applyNumberFormat="1" applyFont="1" applyFill="1" applyBorder="1" applyAlignment="1">
      <alignment vertical="center"/>
    </xf>
    <xf numFmtId="171" fontId="1" fillId="0" borderId="14" xfId="5" applyNumberFormat="1" applyFont="1" applyFill="1" applyBorder="1" applyAlignment="1">
      <alignment vertical="center"/>
    </xf>
    <xf numFmtId="171" fontId="1" fillId="0" borderId="0" xfId="5" applyNumberFormat="1" applyFont="1" applyFill="1" applyBorder="1" applyAlignment="1">
      <alignment vertical="center"/>
    </xf>
    <xf numFmtId="1" fontId="22" fillId="0" borderId="66" xfId="4" applyNumberFormat="1" applyFont="1" applyFill="1" applyBorder="1" applyAlignment="1">
      <alignment horizontal="center" vertical="center"/>
    </xf>
    <xf numFmtId="1" fontId="21" fillId="6" borderId="66" xfId="4" quotePrefix="1" applyNumberFormat="1" applyFont="1" applyFill="1" applyBorder="1" applyAlignment="1">
      <alignment horizontal="center" vertical="center"/>
    </xf>
    <xf numFmtId="1" fontId="1" fillId="0" borderId="66" xfId="4" quotePrefix="1" applyNumberFormat="1" applyFont="1" applyFill="1" applyBorder="1" applyAlignment="1">
      <alignment horizontal="center" vertical="center"/>
    </xf>
    <xf numFmtId="172" fontId="22" fillId="0" borderId="0" xfId="3" applyNumberFormat="1" applyFont="1" applyFill="1" applyBorder="1" applyAlignment="1">
      <alignment horizontal="right"/>
    </xf>
    <xf numFmtId="1" fontId="22" fillId="5" borderId="0" xfId="1" applyNumberFormat="1" applyFont="1" applyFill="1" applyBorder="1" applyAlignment="1">
      <alignment horizontal="right"/>
    </xf>
    <xf numFmtId="1" fontId="22" fillId="0" borderId="0" xfId="1" applyNumberFormat="1" applyFont="1" applyFill="1" applyBorder="1" applyAlignment="1">
      <alignment horizontal="right"/>
    </xf>
    <xf numFmtId="1" fontId="22" fillId="0" borderId="0" xfId="3" applyNumberFormat="1" applyFont="1" applyFill="1" applyBorder="1"/>
    <xf numFmtId="172" fontId="22" fillId="0" borderId="0" xfId="1" applyNumberFormat="1" applyFont="1" applyFill="1" applyBorder="1" applyAlignment="1">
      <alignment horizontal="right"/>
    </xf>
    <xf numFmtId="10" fontId="22" fillId="0" borderId="0" xfId="3" applyNumberFormat="1" applyFont="1" applyFill="1" applyBorder="1"/>
    <xf numFmtId="1" fontId="22" fillId="0" borderId="0" xfId="1" applyNumberFormat="1" applyFont="1" applyFill="1" applyBorder="1"/>
    <xf numFmtId="10" fontId="22" fillId="0" borderId="0" xfId="1" applyNumberFormat="1" applyFont="1" applyFill="1" applyBorder="1"/>
    <xf numFmtId="1" fontId="2" fillId="0" borderId="0" xfId="0" applyFont="1" applyAlignment="1">
      <alignment horizontal="center"/>
    </xf>
    <xf numFmtId="1" fontId="2" fillId="0" borderId="0" xfId="0" applyFont="1" applyAlignment="1">
      <alignment horizontal="center" vertical="center"/>
    </xf>
    <xf numFmtId="1" fontId="22" fillId="0" borderId="0" xfId="0" applyFont="1" applyAlignment="1">
      <alignment horizontal="center"/>
    </xf>
    <xf numFmtId="1" fontId="23" fillId="6" borderId="61" xfId="0" applyFont="1" applyFill="1" applyBorder="1" applyAlignment="1">
      <alignment horizontal="center" vertical="center"/>
    </xf>
    <xf numFmtId="2" fontId="23" fillId="6" borderId="85" xfId="0" applyNumberFormat="1" applyFont="1" applyFill="1" applyBorder="1" applyAlignment="1">
      <alignment horizontal="center" vertical="center"/>
    </xf>
    <xf numFmtId="1" fontId="23" fillId="6" borderId="85" xfId="0" applyFont="1" applyFill="1" applyBorder="1" applyAlignment="1">
      <alignment horizontal="center" vertical="center"/>
    </xf>
    <xf numFmtId="1" fontId="22" fillId="6" borderId="106" xfId="0" applyFont="1" applyFill="1" applyBorder="1" applyAlignment="1">
      <alignment horizontal="center" vertical="center"/>
    </xf>
    <xf numFmtId="166" fontId="22" fillId="6" borderId="85" xfId="0" applyNumberFormat="1" applyFont="1" applyFill="1" applyBorder="1" applyAlignment="1">
      <alignment horizontal="center" vertical="center"/>
    </xf>
    <xf numFmtId="166" fontId="22" fillId="6" borderId="87" xfId="0" applyNumberFormat="1" applyFont="1" applyFill="1" applyBorder="1" applyAlignment="1">
      <alignment horizontal="center" vertical="center"/>
    </xf>
    <xf numFmtId="166" fontId="21" fillId="6" borderId="66" xfId="0" applyNumberFormat="1" applyFont="1" applyFill="1" applyBorder="1" applyAlignment="1">
      <alignment horizontal="center" vertical="center"/>
    </xf>
    <xf numFmtId="166" fontId="21" fillId="6" borderId="85" xfId="0" applyNumberFormat="1" applyFont="1" applyFill="1" applyBorder="1" applyAlignment="1">
      <alignment horizontal="center" vertical="center"/>
    </xf>
    <xf numFmtId="166" fontId="22" fillId="6" borderId="86" xfId="0" applyNumberFormat="1" applyFont="1" applyFill="1" applyBorder="1" applyAlignment="1">
      <alignment horizontal="center" vertical="center"/>
    </xf>
    <xf numFmtId="166" fontId="21" fillId="6" borderId="86" xfId="0" applyNumberFormat="1" applyFont="1" applyFill="1" applyBorder="1" applyAlignment="1">
      <alignment horizontal="center" vertical="center"/>
    </xf>
    <xf numFmtId="166" fontId="22" fillId="6" borderId="88" xfId="0" applyNumberFormat="1" applyFont="1" applyFill="1" applyBorder="1" applyAlignment="1">
      <alignment horizontal="center" vertical="center"/>
    </xf>
    <xf numFmtId="166" fontId="21" fillId="6" borderId="63" xfId="0" applyNumberFormat="1" applyFont="1" applyFill="1" applyBorder="1" applyAlignment="1">
      <alignment horizontal="center" vertical="center"/>
    </xf>
    <xf numFmtId="166" fontId="22" fillId="6" borderId="61" xfId="0" applyNumberFormat="1" applyFont="1" applyFill="1" applyBorder="1" applyAlignment="1">
      <alignment horizontal="center" vertical="center"/>
    </xf>
    <xf numFmtId="166" fontId="22" fillId="6" borderId="83" xfId="0" applyNumberFormat="1" applyFont="1" applyFill="1" applyBorder="1" applyAlignment="1">
      <alignment horizontal="center" vertical="center"/>
    </xf>
    <xf numFmtId="166" fontId="22" fillId="6" borderId="66" xfId="0" applyNumberFormat="1" applyFont="1" applyFill="1" applyBorder="1" applyAlignment="1">
      <alignment horizontal="center" vertical="center"/>
    </xf>
    <xf numFmtId="166" fontId="22" fillId="6" borderId="84" xfId="0" applyNumberFormat="1" applyFont="1" applyFill="1" applyBorder="1" applyAlignment="1">
      <alignment horizontal="center" vertical="center"/>
    </xf>
    <xf numFmtId="1" fontId="21" fillId="6" borderId="87" xfId="0" applyFont="1" applyFill="1" applyBorder="1" applyAlignment="1">
      <alignment horizontal="center" vertical="center"/>
    </xf>
    <xf numFmtId="171" fontId="22" fillId="6" borderId="85" xfId="5" applyNumberFormat="1" applyFont="1" applyFill="1" applyBorder="1" applyAlignment="1">
      <alignment horizontal="center" vertical="center"/>
    </xf>
    <xf numFmtId="171" fontId="22" fillId="6" borderId="99" xfId="5" applyNumberFormat="1" applyFont="1" applyFill="1" applyBorder="1" applyAlignment="1">
      <alignment horizontal="center" vertical="center"/>
    </xf>
    <xf numFmtId="171" fontId="22" fillId="0" borderId="0" xfId="5" applyNumberFormat="1" applyFont="1" applyFill="1" applyBorder="1" applyAlignment="1">
      <alignment horizontal="center" vertical="center"/>
    </xf>
    <xf numFmtId="1" fontId="22" fillId="0" borderId="0" xfId="0" applyFont="1" applyAlignment="1">
      <alignment horizontal="center" vertical="center"/>
    </xf>
    <xf numFmtId="1" fontId="22" fillId="0" borderId="0" xfId="1" applyNumberFormat="1" applyFont="1" applyFill="1" applyBorder="1" applyAlignment="1">
      <alignment horizontal="center" vertical="center"/>
    </xf>
    <xf numFmtId="1" fontId="21" fillId="7" borderId="83" xfId="3" applyNumberFormat="1" applyFont="1" applyFill="1" applyBorder="1" applyAlignment="1">
      <alignment horizontal="center" vertical="center"/>
    </xf>
    <xf numFmtId="1" fontId="21" fillId="7" borderId="8" xfId="4" quotePrefix="1" applyNumberFormat="1" applyFont="1" applyFill="1" applyBorder="1" applyAlignment="1">
      <alignment horizontal="center" vertical="center"/>
    </xf>
    <xf numFmtId="49" fontId="21" fillId="7" borderId="63" xfId="3" quotePrefix="1" applyNumberFormat="1" applyFont="1" applyFill="1" applyBorder="1" applyAlignment="1">
      <alignment horizontal="center" vertical="center"/>
    </xf>
    <xf numFmtId="1" fontId="23" fillId="7" borderId="6" xfId="0" applyFont="1" applyFill="1" applyBorder="1" applyAlignment="1">
      <alignment horizontal="center" vertical="center"/>
    </xf>
    <xf numFmtId="2" fontId="23" fillId="7" borderId="11" xfId="0" applyNumberFormat="1" applyFont="1" applyFill="1" applyBorder="1" applyAlignment="1">
      <alignment horizontal="center" vertical="center"/>
    </xf>
    <xf numFmtId="1" fontId="23" fillId="7" borderId="79" xfId="0" applyFont="1" applyFill="1" applyBorder="1" applyAlignment="1">
      <alignment horizontal="center" vertical="center"/>
    </xf>
    <xf numFmtId="1" fontId="23" fillId="7" borderId="11" xfId="0" applyFont="1" applyFill="1" applyBorder="1" applyAlignment="1">
      <alignment horizontal="center" vertical="center"/>
    </xf>
    <xf numFmtId="1" fontId="21" fillId="7" borderId="1" xfId="0" applyFont="1" applyFill="1" applyBorder="1" applyAlignment="1">
      <alignment horizontal="center" vertical="center"/>
    </xf>
    <xf numFmtId="1" fontId="22" fillId="7" borderId="1" xfId="0" applyFont="1" applyFill="1" applyBorder="1" applyAlignment="1">
      <alignment horizontal="center" vertical="center"/>
    </xf>
    <xf numFmtId="1" fontId="22" fillId="7" borderId="17" xfId="0" applyFont="1" applyFill="1" applyBorder="1" applyAlignment="1">
      <alignment horizontal="center" vertical="center"/>
    </xf>
    <xf numFmtId="166" fontId="22" fillId="7" borderId="11" xfId="0" applyNumberFormat="1" applyFont="1" applyFill="1" applyBorder="1" applyAlignment="1">
      <alignment horizontal="center" vertical="center"/>
    </xf>
    <xf numFmtId="166" fontId="22" fillId="7" borderId="14" xfId="0" applyNumberFormat="1" applyFont="1" applyFill="1" applyBorder="1" applyAlignment="1">
      <alignment horizontal="center" vertical="center"/>
    </xf>
    <xf numFmtId="166" fontId="21" fillId="7" borderId="8" xfId="0" applyNumberFormat="1" applyFont="1" applyFill="1" applyBorder="1" applyAlignment="1">
      <alignment horizontal="center" vertical="center"/>
    </xf>
    <xf numFmtId="166" fontId="21" fillId="7" borderId="11" xfId="0" applyNumberFormat="1" applyFont="1" applyFill="1" applyBorder="1" applyAlignment="1">
      <alignment horizontal="center" vertical="center"/>
    </xf>
    <xf numFmtId="166" fontId="22" fillId="7" borderId="13" xfId="0" applyNumberFormat="1" applyFont="1" applyFill="1" applyBorder="1" applyAlignment="1">
      <alignment horizontal="center" vertical="center"/>
    </xf>
    <xf numFmtId="166" fontId="21" fillId="7" borderId="13" xfId="0" applyNumberFormat="1" applyFont="1" applyFill="1" applyBorder="1" applyAlignment="1">
      <alignment horizontal="center" vertical="center"/>
    </xf>
    <xf numFmtId="166" fontId="22" fillId="7" borderId="34" xfId="0" applyNumberFormat="1" applyFont="1" applyFill="1" applyBorder="1" applyAlignment="1">
      <alignment horizontal="center" vertical="center"/>
    </xf>
    <xf numFmtId="166" fontId="21" fillId="7" borderId="1" xfId="0" applyNumberFormat="1" applyFont="1" applyFill="1" applyBorder="1" applyAlignment="1">
      <alignment horizontal="center" vertical="center"/>
    </xf>
    <xf numFmtId="166" fontId="22" fillId="7" borderId="6" xfId="0" applyNumberFormat="1" applyFont="1" applyFill="1" applyBorder="1" applyAlignment="1">
      <alignment horizontal="center" vertical="center"/>
    </xf>
    <xf numFmtId="166" fontId="22" fillId="7" borderId="21" xfId="0" applyNumberFormat="1" applyFont="1" applyFill="1" applyBorder="1" applyAlignment="1">
      <alignment horizontal="center" vertical="center"/>
    </xf>
    <xf numFmtId="166" fontId="22" fillId="7" borderId="8" xfId="0" applyNumberFormat="1" applyFont="1" applyFill="1" applyBorder="1" applyAlignment="1">
      <alignment horizontal="center" vertical="center"/>
    </xf>
    <xf numFmtId="166" fontId="22" fillId="7" borderId="12" xfId="0" applyNumberFormat="1" applyFont="1" applyFill="1" applyBorder="1" applyAlignment="1">
      <alignment horizontal="center" vertical="center"/>
    </xf>
    <xf numFmtId="1" fontId="21" fillId="7" borderId="14" xfId="0" applyFont="1" applyFill="1" applyBorder="1" applyAlignment="1">
      <alignment horizontal="center" vertical="center"/>
    </xf>
    <xf numFmtId="171" fontId="22" fillId="7" borderId="11" xfId="5" applyNumberFormat="1" applyFont="1" applyFill="1" applyBorder="1" applyAlignment="1">
      <alignment horizontal="center" vertical="center"/>
    </xf>
    <xf numFmtId="171" fontId="22" fillId="7" borderId="19" xfId="5" applyNumberFormat="1" applyFont="1" applyFill="1" applyBorder="1" applyAlignment="1">
      <alignment horizontal="center" vertical="center"/>
    </xf>
    <xf numFmtId="1" fontId="21" fillId="7" borderId="83" xfId="3" applyNumberFormat="1" applyFont="1" applyFill="1" applyBorder="1" applyAlignment="1">
      <alignment horizontal="center"/>
    </xf>
    <xf numFmtId="49" fontId="21" fillId="7" borderId="63" xfId="3" quotePrefix="1" applyNumberFormat="1" applyFont="1" applyFill="1" applyBorder="1" applyAlignment="1">
      <alignment horizontal="center"/>
    </xf>
    <xf numFmtId="166" fontId="22" fillId="7" borderId="17" xfId="4" quotePrefix="1" applyNumberFormat="1" applyFont="1" applyFill="1" applyBorder="1" applyAlignment="1">
      <alignment horizontal="center"/>
    </xf>
    <xf numFmtId="166" fontId="22" fillId="7" borderId="17" xfId="4" quotePrefix="1" applyNumberFormat="1" applyFont="1" applyFill="1" applyBorder="1" applyAlignment="1">
      <alignment horizontal="center" vertical="center"/>
    </xf>
    <xf numFmtId="2" fontId="22" fillId="7" borderId="11" xfId="4" applyNumberFormat="1" applyFont="1" applyFill="1" applyBorder="1" applyAlignment="1">
      <alignment horizontal="center"/>
    </xf>
    <xf numFmtId="2" fontId="22" fillId="7" borderId="11" xfId="4" applyNumberFormat="1" applyFont="1" applyFill="1" applyBorder="1" applyAlignment="1">
      <alignment horizontal="center" vertical="center"/>
    </xf>
    <xf numFmtId="1" fontId="22" fillId="7" borderId="14" xfId="4" applyNumberFormat="1" applyFont="1" applyFill="1" applyBorder="1" applyAlignment="1">
      <alignment horizontal="center"/>
    </xf>
    <xf numFmtId="1" fontId="22" fillId="7" borderId="14" xfId="4" applyNumberFormat="1" applyFont="1" applyFill="1" applyBorder="1" applyAlignment="1">
      <alignment horizontal="center" vertical="center"/>
    </xf>
    <xf numFmtId="0" fontId="22" fillId="7" borderId="12" xfId="4" applyNumberFormat="1" applyFont="1" applyFill="1" applyBorder="1" applyAlignment="1">
      <alignment horizontal="center"/>
    </xf>
    <xf numFmtId="0" fontId="22" fillId="7" borderId="12" xfId="4" applyNumberFormat="1" applyFont="1" applyFill="1" applyBorder="1" applyAlignment="1">
      <alignment horizontal="center" vertical="center"/>
    </xf>
    <xf numFmtId="0" fontId="22" fillId="7" borderId="11" xfId="4" applyNumberFormat="1" applyFont="1" applyFill="1" applyBorder="1" applyAlignment="1">
      <alignment horizontal="center"/>
    </xf>
    <xf numFmtId="0" fontId="22" fillId="7" borderId="11" xfId="4" applyNumberFormat="1" applyFont="1" applyFill="1" applyBorder="1" applyAlignment="1">
      <alignment horizontal="center" vertical="center"/>
    </xf>
    <xf numFmtId="1" fontId="22" fillId="7" borderId="19" xfId="4" applyNumberFormat="1" applyFont="1" applyFill="1" applyBorder="1" applyAlignment="1">
      <alignment horizontal="center"/>
    </xf>
    <xf numFmtId="1" fontId="22" fillId="7" borderId="19" xfId="4" applyNumberFormat="1" applyFont="1" applyFill="1" applyBorder="1" applyAlignment="1">
      <alignment horizontal="center" vertical="center"/>
    </xf>
    <xf numFmtId="168" fontId="21" fillId="7" borderId="1" xfId="4" applyNumberFormat="1" applyFont="1" applyFill="1" applyBorder="1" applyAlignment="1">
      <alignment horizontal="center"/>
    </xf>
    <xf numFmtId="168" fontId="21" fillId="7" borderId="1" xfId="4" applyNumberFormat="1" applyFont="1" applyFill="1" applyBorder="1" applyAlignment="1">
      <alignment horizontal="center" vertical="center"/>
    </xf>
    <xf numFmtId="168" fontId="21" fillId="7" borderId="8" xfId="4" applyNumberFormat="1" applyFont="1" applyFill="1" applyBorder="1" applyAlignment="1">
      <alignment horizontal="center"/>
    </xf>
    <xf numFmtId="168" fontId="21" fillId="7" borderId="8" xfId="4" applyNumberFormat="1" applyFont="1" applyFill="1" applyBorder="1" applyAlignment="1">
      <alignment horizontal="center" vertical="center"/>
    </xf>
    <xf numFmtId="168" fontId="22" fillId="7" borderId="17" xfId="4" applyNumberFormat="1" applyFont="1" applyFill="1" applyBorder="1" applyAlignment="1">
      <alignment horizontal="center"/>
    </xf>
    <xf numFmtId="168" fontId="22" fillId="7" borderId="17" xfId="4" applyNumberFormat="1" applyFont="1" applyFill="1" applyBorder="1" applyAlignment="1">
      <alignment horizontal="center" vertical="center"/>
    </xf>
    <xf numFmtId="0" fontId="2" fillId="0" borderId="0" xfId="0" applyNumberFormat="1" applyFont="1"/>
    <xf numFmtId="2" fontId="1" fillId="0" borderId="0" xfId="0" applyNumberFormat="1" applyFont="1"/>
    <xf numFmtId="1" fontId="1" fillId="0" borderId="0" xfId="0" applyFont="1" applyAlignment="1">
      <alignment horizontal="right"/>
    </xf>
    <xf numFmtId="1" fontId="1" fillId="0" borderId="92" xfId="0" applyFont="1" applyBorder="1"/>
    <xf numFmtId="9" fontId="1" fillId="0" borderId="0" xfId="5" applyFont="1"/>
    <xf numFmtId="1" fontId="2" fillId="0" borderId="98" xfId="0" applyFont="1" applyBorder="1"/>
    <xf numFmtId="166" fontId="1" fillId="0" borderId="6" xfId="0" applyNumberFormat="1" applyFont="1" applyBorder="1" applyAlignment="1">
      <alignment vertical="center"/>
    </xf>
    <xf numFmtId="171" fontId="1" fillId="0" borderId="11" xfId="5" applyNumberFormat="1" applyFont="1" applyBorder="1" applyAlignment="1">
      <alignment vertical="center"/>
    </xf>
    <xf numFmtId="171" fontId="1" fillId="0" borderId="19" xfId="5" applyNumberFormat="1" applyFont="1" applyBorder="1" applyAlignment="1">
      <alignment vertical="center"/>
    </xf>
    <xf numFmtId="171" fontId="1" fillId="0" borderId="19" xfId="5" applyNumberFormat="1" applyFont="1" applyFill="1" applyBorder="1" applyAlignment="1">
      <alignment vertical="center"/>
    </xf>
    <xf numFmtId="171" fontId="1" fillId="0" borderId="0" xfId="5" applyNumberFormat="1" applyFont="1" applyBorder="1"/>
    <xf numFmtId="171" fontId="1" fillId="0" borderId="0" xfId="5" applyNumberFormat="1" applyFont="1" applyFill="1" applyBorder="1"/>
    <xf numFmtId="171" fontId="1" fillId="0" borderId="0" xfId="5" applyNumberFormat="1" applyFont="1" applyFill="1" applyBorder="1" applyAlignment="1">
      <alignment wrapText="1"/>
    </xf>
    <xf numFmtId="1" fontId="1" fillId="5" borderId="0" xfId="0" applyFont="1" applyFill="1"/>
    <xf numFmtId="1" fontId="1" fillId="0" borderId="0" xfId="0" applyFont="1" applyAlignment="1">
      <alignment horizontal="center" vertical="center"/>
    </xf>
    <xf numFmtId="1" fontId="1" fillId="0" borderId="0" xfId="0" applyFont="1" applyAlignment="1">
      <alignment horizontal="center"/>
    </xf>
    <xf numFmtId="0" fontId="28" fillId="0" borderId="0" xfId="0" applyNumberFormat="1" applyFont="1"/>
    <xf numFmtId="1" fontId="28" fillId="0" borderId="0" xfId="0" applyFont="1"/>
    <xf numFmtId="1" fontId="1" fillId="0" borderId="0" xfId="0" applyFont="1" applyAlignment="1">
      <alignment wrapText="1"/>
    </xf>
    <xf numFmtId="165" fontId="1" fillId="0" borderId="0" xfId="0" applyNumberFormat="1" applyFont="1"/>
    <xf numFmtId="1" fontId="1" fillId="0" borderId="0" xfId="0" applyFont="1" applyAlignment="1">
      <alignment horizontal="left" vertical="center" wrapText="1"/>
    </xf>
    <xf numFmtId="1" fontId="1" fillId="0" borderId="0" xfId="0" applyFont="1" applyAlignment="1">
      <alignment horizontal="left" wrapText="1"/>
    </xf>
    <xf numFmtId="1" fontId="1" fillId="0" borderId="0" xfId="0" applyFont="1" applyAlignment="1">
      <alignment horizontal="left"/>
    </xf>
    <xf numFmtId="1" fontId="21" fillId="7" borderId="8" xfId="4" quotePrefix="1" applyNumberFormat="1" applyFont="1" applyFill="1" applyBorder="1" applyAlignment="1">
      <alignment horizontal="center"/>
    </xf>
    <xf numFmtId="174" fontId="22" fillId="0" borderId="8" xfId="4" applyNumberFormat="1" applyFont="1" applyFill="1" applyBorder="1" applyAlignment="1">
      <alignment horizontal="right" vertical="center"/>
    </xf>
    <xf numFmtId="174" fontId="22" fillId="6" borderId="8" xfId="4" applyNumberFormat="1" applyFont="1" applyFill="1" applyBorder="1" applyAlignment="1">
      <alignment horizontal="center" vertical="center"/>
    </xf>
    <xf numFmtId="174" fontId="22" fillId="7" borderId="8" xfId="4" applyNumberFormat="1" applyFont="1" applyFill="1" applyBorder="1" applyAlignment="1">
      <alignment horizontal="center"/>
    </xf>
    <xf numFmtId="174" fontId="22" fillId="7" borderId="8" xfId="4" applyNumberFormat="1" applyFont="1" applyFill="1" applyBorder="1" applyAlignment="1">
      <alignment horizontal="center" vertical="center"/>
    </xf>
    <xf numFmtId="9" fontId="22" fillId="0" borderId="12" xfId="5" applyFont="1" applyFill="1" applyBorder="1" applyAlignment="1">
      <alignment horizontal="right" vertical="center"/>
    </xf>
    <xf numFmtId="9" fontId="22" fillId="6" borderId="12" xfId="5" applyFont="1" applyFill="1" applyBorder="1" applyAlignment="1">
      <alignment horizontal="center" vertical="center"/>
    </xf>
    <xf numFmtId="9" fontId="22" fillId="7" borderId="12" xfId="5" applyFont="1" applyFill="1" applyBorder="1" applyAlignment="1">
      <alignment horizontal="center"/>
    </xf>
    <xf numFmtId="9" fontId="22" fillId="7" borderId="12" xfId="5" applyFont="1" applyFill="1" applyBorder="1" applyAlignment="1">
      <alignment horizontal="center" vertical="center"/>
    </xf>
    <xf numFmtId="9" fontId="22" fillId="0" borderId="19" xfId="5" applyFont="1" applyFill="1" applyBorder="1" applyAlignment="1">
      <alignment horizontal="right" vertical="center"/>
    </xf>
    <xf numFmtId="9" fontId="22" fillId="6" borderId="19" xfId="5" applyFont="1" applyFill="1" applyBorder="1" applyAlignment="1">
      <alignment horizontal="center" vertical="center"/>
    </xf>
    <xf numFmtId="9" fontId="22" fillId="7" borderId="19" xfId="5" applyFont="1" applyFill="1" applyBorder="1" applyAlignment="1">
      <alignment horizontal="center"/>
    </xf>
    <xf numFmtId="9" fontId="22" fillId="7" borderId="19" xfId="5" applyFont="1" applyFill="1" applyBorder="1" applyAlignment="1">
      <alignment horizontal="center" vertical="center"/>
    </xf>
    <xf numFmtId="172" fontId="29" fillId="0" borderId="0" xfId="3" applyNumberFormat="1" applyFont="1" applyFill="1" applyBorder="1" applyAlignment="1">
      <alignment horizontal="right" wrapText="1"/>
    </xf>
    <xf numFmtId="1" fontId="29" fillId="0" borderId="0" xfId="3" applyNumberFormat="1" applyFont="1" applyFill="1" applyBorder="1" applyAlignment="1">
      <alignment wrapText="1"/>
    </xf>
    <xf numFmtId="10" fontId="29" fillId="0" borderId="0" xfId="3" applyNumberFormat="1" applyFont="1" applyFill="1" applyBorder="1" applyAlignment="1">
      <alignment wrapText="1"/>
    </xf>
    <xf numFmtId="1" fontId="21" fillId="0" borderId="97" xfId="0" applyFont="1" applyBorder="1" applyAlignment="1">
      <alignment horizontal="center" vertical="center" wrapText="1"/>
    </xf>
    <xf numFmtId="1" fontId="21" fillId="0" borderId="64" xfId="0" applyFont="1" applyBorder="1" applyAlignment="1">
      <alignment horizontal="center" vertical="center" wrapText="1"/>
    </xf>
    <xf numFmtId="1" fontId="21" fillId="0" borderId="43" xfId="0" applyFont="1" applyBorder="1" applyAlignment="1">
      <alignment horizontal="center" vertical="center" wrapText="1"/>
    </xf>
    <xf numFmtId="1" fontId="21" fillId="0" borderId="49" xfId="0" quotePrefix="1" applyFont="1" applyBorder="1" applyAlignment="1">
      <alignment horizontal="center" vertical="center" wrapText="1"/>
    </xf>
    <xf numFmtId="1" fontId="21" fillId="0" borderId="78" xfId="0" quotePrefix="1" applyFont="1" applyBorder="1" applyAlignment="1">
      <alignment horizontal="center" vertical="center"/>
    </xf>
    <xf numFmtId="15" fontId="22" fillId="0" borderId="1" xfId="0" applyNumberFormat="1" applyFont="1" applyBorder="1" applyAlignment="1">
      <alignment horizontal="left" vertical="center"/>
    </xf>
    <xf numFmtId="169" fontId="22" fillId="0" borderId="1" xfId="0" applyNumberFormat="1" applyFont="1" applyBorder="1" applyAlignment="1">
      <alignment horizontal="center" vertical="center"/>
    </xf>
    <xf numFmtId="168" fontId="21" fillId="0" borderId="14" xfId="0" quotePrefix="1" applyNumberFormat="1" applyFont="1" applyBorder="1" applyAlignment="1">
      <alignment horizontal="center" vertical="center"/>
    </xf>
    <xf numFmtId="1" fontId="21" fillId="0" borderId="8" xfId="0" quotePrefix="1" applyFont="1" applyBorder="1" applyAlignment="1">
      <alignment horizontal="center" vertical="center" wrapText="1"/>
    </xf>
    <xf numFmtId="1" fontId="21" fillId="5" borderId="8" xfId="0" quotePrefix="1" applyFont="1" applyFill="1" applyBorder="1" applyAlignment="1">
      <alignment horizontal="center" vertical="center" wrapText="1"/>
    </xf>
    <xf numFmtId="170" fontId="21" fillId="0" borderId="8" xfId="0" quotePrefix="1" applyNumberFormat="1" applyFont="1" applyBorder="1" applyAlignment="1">
      <alignment horizontal="center" vertical="center" wrapText="1"/>
    </xf>
    <xf numFmtId="170" fontId="21" fillId="0" borderId="43" xfId="0" quotePrefix="1" applyNumberFormat="1" applyFont="1" applyBorder="1" applyAlignment="1">
      <alignment horizontal="center" vertical="center" wrapText="1"/>
    </xf>
    <xf numFmtId="15" fontId="21" fillId="0" borderId="57" xfId="0" quotePrefix="1" applyNumberFormat="1" applyFont="1" applyBorder="1" applyAlignment="1">
      <alignment horizontal="center" vertical="center" wrapText="1"/>
    </xf>
    <xf numFmtId="49" fontId="21" fillId="0" borderId="97" xfId="0" applyNumberFormat="1" applyFont="1" applyBorder="1" applyAlignment="1">
      <alignment horizontal="center" vertical="center"/>
    </xf>
    <xf numFmtId="49" fontId="21" fillId="0" borderId="66" xfId="0" applyNumberFormat="1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49" fontId="21" fillId="0" borderId="57" xfId="0" applyNumberFormat="1" applyFont="1" applyBorder="1" applyAlignment="1">
      <alignment horizontal="center" vertical="center"/>
    </xf>
    <xf numFmtId="166" fontId="23" fillId="0" borderId="95" xfId="0" applyNumberFormat="1" applyFont="1" applyBorder="1" applyAlignment="1">
      <alignment horizontal="right" vertical="center"/>
    </xf>
    <xf numFmtId="166" fontId="23" fillId="0" borderId="83" xfId="0" applyNumberFormat="1" applyFont="1" applyBorder="1" applyAlignment="1">
      <alignment horizontal="right" vertical="center"/>
    </xf>
    <xf numFmtId="166" fontId="23" fillId="0" borderId="21" xfId="0" applyNumberFormat="1" applyFont="1" applyBorder="1" applyAlignment="1">
      <alignment horizontal="right" vertical="center"/>
    </xf>
    <xf numFmtId="166" fontId="23" fillId="0" borderId="60" xfId="0" applyNumberFormat="1" applyFont="1" applyBorder="1" applyAlignment="1">
      <alignment horizontal="right" vertical="center"/>
    </xf>
    <xf numFmtId="2" fontId="23" fillId="0" borderId="52" xfId="0" applyNumberFormat="1" applyFont="1" applyBorder="1" applyAlignment="1">
      <alignment horizontal="right" vertical="center"/>
    </xf>
    <xf numFmtId="2" fontId="23" fillId="0" borderId="52" xfId="0" quotePrefix="1" applyNumberFormat="1" applyFont="1" applyBorder="1" applyAlignment="1">
      <alignment horizontal="right" vertical="center"/>
    </xf>
    <xf numFmtId="166" fontId="23" fillId="0" borderId="71" xfId="0" applyNumberFormat="1" applyFont="1" applyBorder="1" applyAlignment="1">
      <alignment horizontal="right" vertical="center"/>
    </xf>
    <xf numFmtId="166" fontId="23" fillId="0" borderId="87" xfId="0" applyNumberFormat="1" applyFont="1" applyBorder="1" applyAlignment="1">
      <alignment horizontal="right" vertical="center"/>
    </xf>
    <xf numFmtId="166" fontId="23" fillId="0" borderId="14" xfId="0" applyNumberFormat="1" applyFont="1" applyBorder="1" applyAlignment="1">
      <alignment horizontal="right" vertical="center"/>
    </xf>
    <xf numFmtId="166" fontId="23" fillId="0" borderId="67" xfId="0" applyNumberFormat="1" applyFont="1" applyBorder="1" applyAlignment="1">
      <alignment horizontal="right" vertical="center"/>
    </xf>
    <xf numFmtId="1" fontId="23" fillId="0" borderId="93" xfId="0" applyFont="1" applyBorder="1" applyAlignment="1">
      <alignment horizontal="right" vertical="center"/>
    </xf>
    <xf numFmtId="1" fontId="23" fillId="0" borderId="84" xfId="0" applyFont="1" applyBorder="1" applyAlignment="1">
      <alignment horizontal="right" vertical="center"/>
    </xf>
    <xf numFmtId="1" fontId="23" fillId="0" borderId="12" xfId="0" applyFont="1" applyBorder="1" applyAlignment="1">
      <alignment horizontal="right" vertical="center"/>
    </xf>
    <xf numFmtId="1" fontId="23" fillId="0" borderId="55" xfId="0" applyFont="1" applyBorder="1" applyAlignment="1">
      <alignment horizontal="right" vertical="center"/>
    </xf>
    <xf numFmtId="1" fontId="23" fillId="0" borderId="52" xfId="0" applyFont="1" applyBorder="1" applyAlignment="1">
      <alignment horizontal="right" vertical="center"/>
    </xf>
    <xf numFmtId="1" fontId="21" fillId="0" borderId="24" xfId="0" applyFont="1" applyBorder="1" applyAlignment="1">
      <alignment horizontal="center" vertical="center"/>
    </xf>
    <xf numFmtId="1" fontId="22" fillId="0" borderId="94" xfId="0" applyFont="1" applyBorder="1" applyAlignment="1">
      <alignment horizontal="center" vertical="center"/>
    </xf>
    <xf numFmtId="1" fontId="22" fillId="0" borderId="63" xfId="0" applyFont="1" applyBorder="1" applyAlignment="1">
      <alignment horizontal="center" vertical="center"/>
    </xf>
    <xf numFmtId="1" fontId="22" fillId="0" borderId="1" xfId="0" applyFont="1" applyBorder="1" applyAlignment="1">
      <alignment horizontal="center" vertical="center"/>
    </xf>
    <xf numFmtId="1" fontId="22" fillId="0" borderId="24" xfId="0" applyFont="1" applyBorder="1" applyAlignment="1">
      <alignment horizontal="center" vertical="center"/>
    </xf>
    <xf numFmtId="1" fontId="21" fillId="0" borderId="62" xfId="0" applyFont="1" applyBorder="1" applyAlignment="1">
      <alignment horizontal="left" vertical="center"/>
    </xf>
    <xf numFmtId="1" fontId="21" fillId="0" borderId="93" xfId="0" applyFont="1" applyBorder="1" applyAlignment="1">
      <alignment horizontal="right" vertical="center"/>
    </xf>
    <xf numFmtId="1" fontId="21" fillId="0" borderId="84" xfId="0" applyFont="1" applyBorder="1" applyAlignment="1">
      <alignment horizontal="right" vertical="center"/>
    </xf>
    <xf numFmtId="1" fontId="21" fillId="0" borderId="12" xfId="0" applyFont="1" applyBorder="1" applyAlignment="1">
      <alignment horizontal="right" vertical="center"/>
    </xf>
    <xf numFmtId="1" fontId="21" fillId="0" borderId="55" xfId="0" applyFont="1" applyBorder="1" applyAlignment="1">
      <alignment horizontal="right" vertical="center"/>
    </xf>
    <xf numFmtId="166" fontId="22" fillId="0" borderId="52" xfId="0" applyNumberFormat="1" applyFont="1" applyBorder="1" applyAlignment="1">
      <alignment horizontal="right" vertical="center"/>
    </xf>
    <xf numFmtId="166" fontId="22" fillId="0" borderId="67" xfId="0" applyNumberFormat="1" applyFont="1" applyBorder="1" applyAlignment="1">
      <alignment horizontal="right" vertical="center"/>
    </xf>
    <xf numFmtId="166" fontId="21" fillId="0" borderId="57" xfId="0" applyNumberFormat="1" applyFont="1" applyBorder="1" applyAlignment="1">
      <alignment horizontal="right" vertical="center"/>
    </xf>
    <xf numFmtId="166" fontId="21" fillId="0" borderId="93" xfId="0" applyNumberFormat="1" applyFont="1" applyBorder="1" applyAlignment="1">
      <alignment horizontal="right" vertical="center"/>
    </xf>
    <xf numFmtId="166" fontId="21" fillId="0" borderId="84" xfId="0" applyNumberFormat="1" applyFont="1" applyBorder="1" applyAlignment="1">
      <alignment horizontal="right" vertical="center"/>
    </xf>
    <xf numFmtId="166" fontId="21" fillId="0" borderId="12" xfId="0" applyNumberFormat="1" applyFont="1" applyBorder="1" applyAlignment="1">
      <alignment horizontal="right" vertical="center"/>
    </xf>
    <xf numFmtId="166" fontId="21" fillId="0" borderId="55" xfId="0" applyNumberFormat="1" applyFont="1" applyBorder="1" applyAlignment="1">
      <alignment horizontal="right" vertical="center"/>
    </xf>
    <xf numFmtId="166" fontId="22" fillId="0" borderId="52" xfId="0" applyNumberFormat="1" applyFont="1" applyBorder="1" applyAlignment="1">
      <alignment vertical="center"/>
    </xf>
    <xf numFmtId="1" fontId="22" fillId="0" borderId="11" xfId="0" applyFont="1" applyBorder="1" applyAlignment="1">
      <alignment horizontal="right" vertical="center"/>
    </xf>
    <xf numFmtId="1" fontId="22" fillId="0" borderId="13" xfId="0" applyFont="1" applyBorder="1" applyAlignment="1">
      <alignment horizontal="right" vertical="center"/>
    </xf>
    <xf numFmtId="1" fontId="22" fillId="0" borderId="34" xfId="0" applyFont="1" applyBorder="1" applyAlignment="1">
      <alignment horizontal="right" vertical="center"/>
    </xf>
    <xf numFmtId="1" fontId="21" fillId="0" borderId="1" xfId="0" applyFont="1" applyBorder="1" applyAlignment="1">
      <alignment horizontal="right" vertical="center"/>
    </xf>
    <xf numFmtId="1" fontId="22" fillId="0" borderId="6" xfId="0" applyFont="1" applyBorder="1" applyAlignment="1">
      <alignment horizontal="right" vertical="center"/>
    </xf>
    <xf numFmtId="1" fontId="22" fillId="0" borderId="23" xfId="0" applyFont="1" applyBorder="1" applyAlignment="1">
      <alignment horizontal="right" vertical="center"/>
    </xf>
    <xf numFmtId="1" fontId="21" fillId="0" borderId="8" xfId="0" applyFont="1" applyBorder="1" applyAlignment="1">
      <alignment horizontal="right" vertical="center"/>
    </xf>
    <xf numFmtId="1" fontId="21" fillId="0" borderId="57" xfId="0" applyFont="1" applyBorder="1" applyAlignment="1">
      <alignment horizontal="right" vertical="center"/>
    </xf>
    <xf numFmtId="166" fontId="22" fillId="0" borderId="17" xfId="0" applyNumberFormat="1" applyFont="1" applyBorder="1" applyAlignment="1">
      <alignment horizontal="right" vertical="center"/>
    </xf>
    <xf numFmtId="1" fontId="22" fillId="0" borderId="17" xfId="0" applyFont="1" applyBorder="1" applyAlignment="1">
      <alignment horizontal="right" vertical="center"/>
    </xf>
    <xf numFmtId="1" fontId="22" fillId="0" borderId="58" xfId="0" applyFont="1" applyBorder="1" applyAlignment="1">
      <alignment horizontal="right" vertical="center"/>
    </xf>
    <xf numFmtId="1" fontId="22" fillId="0" borderId="52" xfId="0" applyFont="1" applyBorder="1" applyAlignment="1">
      <alignment horizontal="right" vertical="center"/>
    </xf>
    <xf numFmtId="1" fontId="22" fillId="0" borderId="14" xfId="0" applyFont="1" applyBorder="1" applyAlignment="1">
      <alignment horizontal="right" vertical="center"/>
    </xf>
    <xf numFmtId="1" fontId="22" fillId="0" borderId="67" xfId="0" applyFont="1" applyBorder="1" applyAlignment="1">
      <alignment horizontal="right" vertical="center"/>
    </xf>
    <xf numFmtId="166" fontId="22" fillId="0" borderId="6" xfId="0" applyNumberFormat="1" applyFont="1" applyBorder="1" applyAlignment="1">
      <alignment vertical="center"/>
    </xf>
    <xf numFmtId="166" fontId="22" fillId="0" borderId="23" xfId="0" applyNumberFormat="1" applyFont="1" applyBorder="1" applyAlignment="1">
      <alignment vertical="center"/>
    </xf>
    <xf numFmtId="171" fontId="22" fillId="0" borderId="52" xfId="5" applyNumberFormat="1" applyFont="1" applyBorder="1" applyAlignment="1">
      <alignment vertical="center"/>
    </xf>
    <xf numFmtId="171" fontId="22" fillId="0" borderId="52" xfId="5" applyNumberFormat="1" applyFont="1" applyFill="1" applyBorder="1" applyAlignment="1">
      <alignment vertical="center"/>
    </xf>
    <xf numFmtId="171" fontId="22" fillId="0" borderId="68" xfId="5" applyNumberFormat="1" applyFont="1" applyBorder="1" applyAlignment="1">
      <alignment vertical="center"/>
    </xf>
    <xf numFmtId="171" fontId="22" fillId="0" borderId="68" xfId="5" applyNumberFormat="1" applyFont="1" applyFill="1" applyBorder="1" applyAlignment="1">
      <alignment vertical="center"/>
    </xf>
    <xf numFmtId="171" fontId="22" fillId="0" borderId="0" xfId="5" applyNumberFormat="1" applyFont="1" applyFill="1" applyBorder="1" applyAlignment="1">
      <alignment wrapText="1"/>
    </xf>
    <xf numFmtId="1" fontId="22" fillId="0" borderId="0" xfId="0" applyFont="1" applyAlignment="1">
      <alignment wrapText="1"/>
    </xf>
    <xf numFmtId="1" fontId="22" fillId="0" borderId="0" xfId="0" applyFont="1" applyAlignment="1">
      <alignment horizontal="left" wrapText="1"/>
    </xf>
    <xf numFmtId="1" fontId="22" fillId="0" borderId="0" xfId="0" applyFont="1" applyAlignment="1">
      <alignment horizontal="left"/>
    </xf>
    <xf numFmtId="2" fontId="21" fillId="0" borderId="0" xfId="0" applyNumberFormat="1" applyFont="1"/>
    <xf numFmtId="166" fontId="21" fillId="0" borderId="0" xfId="0" applyNumberFormat="1" applyFont="1"/>
    <xf numFmtId="168" fontId="22" fillId="0" borderId="0" xfId="0" applyNumberFormat="1" applyFont="1" applyAlignment="1">
      <alignment horizontal="left" vertical="center" wrapText="1"/>
    </xf>
    <xf numFmtId="1" fontId="21" fillId="0" borderId="57" xfId="3" applyNumberFormat="1" applyFont="1" applyFill="1" applyBorder="1" applyAlignment="1">
      <alignment horizontal="center"/>
    </xf>
    <xf numFmtId="49" fontId="21" fillId="0" borderId="57" xfId="3" applyNumberFormat="1" applyFont="1" applyFill="1" applyBorder="1" applyAlignment="1">
      <alignment horizontal="center"/>
    </xf>
    <xf numFmtId="49" fontId="21" fillId="0" borderId="24" xfId="3" quotePrefix="1" applyNumberFormat="1" applyFont="1" applyFill="1" applyBorder="1" applyAlignment="1">
      <alignment horizontal="center"/>
    </xf>
    <xf numFmtId="174" fontId="22" fillId="0" borderId="58" xfId="2" applyNumberFormat="1" applyFont="1" applyFill="1" applyBorder="1" applyAlignment="1">
      <alignment horizontal="right"/>
    </xf>
    <xf numFmtId="164" fontId="22" fillId="0" borderId="55" xfId="2" applyFont="1" applyFill="1" applyBorder="1" applyAlignment="1">
      <alignment horizontal="right"/>
    </xf>
    <xf numFmtId="174" fontId="22" fillId="0" borderId="67" xfId="2" applyNumberFormat="1" applyFont="1" applyFill="1" applyBorder="1" applyAlignment="1">
      <alignment horizontal="right"/>
    </xf>
    <xf numFmtId="174" fontId="21" fillId="0" borderId="55" xfId="2" applyNumberFormat="1" applyFont="1" applyFill="1" applyBorder="1" applyAlignment="1">
      <alignment horizontal="right"/>
    </xf>
    <xf numFmtId="174" fontId="21" fillId="0" borderId="52" xfId="2" applyNumberFormat="1" applyFont="1" applyFill="1" applyBorder="1" applyAlignment="1">
      <alignment horizontal="right"/>
    </xf>
    <xf numFmtId="174" fontId="21" fillId="0" borderId="24" xfId="2" applyNumberFormat="1" applyFont="1" applyFill="1" applyBorder="1" applyAlignment="1">
      <alignment horizontal="right"/>
    </xf>
    <xf numFmtId="174" fontId="21" fillId="0" borderId="57" xfId="2" applyNumberFormat="1" applyFont="1" applyFill="1" applyBorder="1" applyAlignment="1">
      <alignment horizontal="center"/>
    </xf>
    <xf numFmtId="174" fontId="21" fillId="0" borderId="24" xfId="2" applyNumberFormat="1" applyFont="1" applyFill="1" applyBorder="1" applyAlignment="1">
      <alignment horizontal="center"/>
    </xf>
    <xf numFmtId="174" fontId="21" fillId="0" borderId="55" xfId="2" applyNumberFormat="1" applyFont="1" applyFill="1" applyBorder="1"/>
    <xf numFmtId="174" fontId="22" fillId="0" borderId="52" xfId="2" applyNumberFormat="1" applyFont="1" applyFill="1" applyBorder="1" applyAlignment="1">
      <alignment horizontal="right"/>
    </xf>
    <xf numFmtId="174" fontId="22" fillId="0" borderId="53" xfId="2" applyNumberFormat="1" applyFont="1" applyFill="1" applyBorder="1" applyAlignment="1">
      <alignment horizontal="right"/>
    </xf>
    <xf numFmtId="174" fontId="21" fillId="0" borderId="57" xfId="2" applyNumberFormat="1" applyFont="1" applyFill="1" applyBorder="1" applyAlignment="1">
      <alignment horizontal="right"/>
    </xf>
    <xf numFmtId="174" fontId="21" fillId="0" borderId="73" xfId="2" applyNumberFormat="1" applyFont="1" applyFill="1" applyBorder="1" applyAlignment="1">
      <alignment horizontal="right"/>
    </xf>
    <xf numFmtId="174" fontId="21" fillId="0" borderId="74" xfId="2" applyNumberFormat="1" applyFont="1" applyFill="1" applyBorder="1" applyAlignment="1">
      <alignment horizontal="right"/>
    </xf>
    <xf numFmtId="1" fontId="21" fillId="0" borderId="24" xfId="2" applyNumberFormat="1" applyFont="1" applyFill="1" applyBorder="1" applyAlignment="1">
      <alignment horizontal="right"/>
    </xf>
    <xf numFmtId="1" fontId="21" fillId="0" borderId="67" xfId="2" applyNumberFormat="1" applyFont="1" applyFill="1" applyBorder="1" applyAlignment="1">
      <alignment horizontal="right"/>
    </xf>
    <xf numFmtId="1" fontId="21" fillId="0" borderId="57" xfId="2" applyNumberFormat="1" applyFont="1" applyFill="1" applyBorder="1" applyAlignment="1">
      <alignment horizontal="right"/>
    </xf>
    <xf numFmtId="1" fontId="22" fillId="0" borderId="57" xfId="2" applyNumberFormat="1" applyFont="1" applyFill="1" applyBorder="1" applyAlignment="1">
      <alignment horizontal="right"/>
    </xf>
    <xf numFmtId="168" fontId="21" fillId="0" borderId="55" xfId="3" applyNumberFormat="1" applyFont="1" applyFill="1" applyBorder="1" applyAlignment="1">
      <alignment horizontal="right"/>
    </xf>
    <xf numFmtId="9" fontId="21" fillId="0" borderId="52" xfId="5" applyFont="1" applyFill="1" applyBorder="1" applyAlignment="1">
      <alignment horizontal="right"/>
    </xf>
    <xf numFmtId="9" fontId="21" fillId="0" borderId="67" xfId="5" applyFont="1" applyFill="1" applyBorder="1" applyAlignment="1">
      <alignment horizontal="right"/>
    </xf>
    <xf numFmtId="1" fontId="22" fillId="5" borderId="0" xfId="1" applyNumberFormat="1" applyFont="1" applyFill="1" applyBorder="1"/>
    <xf numFmtId="10" fontId="22" fillId="5" borderId="0" xfId="1" applyNumberFormat="1" applyFont="1" applyFill="1" applyBorder="1"/>
    <xf numFmtId="1" fontId="21" fillId="6" borderId="8" xfId="3" applyNumberFormat="1" applyFont="1" applyFill="1" applyBorder="1" applyAlignment="1">
      <alignment horizontal="center" vertical="center"/>
    </xf>
    <xf numFmtId="49" fontId="21" fillId="6" borderId="1" xfId="3" quotePrefix="1" applyNumberFormat="1" applyFont="1" applyFill="1" applyBorder="1" applyAlignment="1">
      <alignment horizontal="center" vertical="center"/>
    </xf>
    <xf numFmtId="168" fontId="21" fillId="6" borderId="12" xfId="3" applyNumberFormat="1" applyFont="1" applyFill="1" applyBorder="1" applyAlignment="1">
      <alignment horizontal="center" vertical="center"/>
    </xf>
    <xf numFmtId="9" fontId="21" fillId="6" borderId="11" xfId="5" applyFont="1" applyFill="1" applyBorder="1" applyAlignment="1">
      <alignment horizontal="center" vertical="center"/>
    </xf>
    <xf numFmtId="9" fontId="21" fillId="6" borderId="14" xfId="5" applyFont="1" applyFill="1" applyBorder="1" applyAlignment="1">
      <alignment horizontal="center" vertical="center"/>
    </xf>
    <xf numFmtId="1" fontId="22" fillId="0" borderId="0" xfId="4" applyNumberFormat="1" applyFont="1" applyFill="1" applyBorder="1" applyAlignment="1">
      <alignment horizontal="center" vertical="center"/>
    </xf>
    <xf numFmtId="10" fontId="22" fillId="0" borderId="0" xfId="4" applyNumberFormat="1" applyFont="1" applyFill="1" applyBorder="1" applyAlignment="1">
      <alignment horizontal="center" vertical="center"/>
    </xf>
    <xf numFmtId="168" fontId="21" fillId="7" borderId="12" xfId="3" applyNumberFormat="1" applyFont="1" applyFill="1" applyBorder="1" applyAlignment="1">
      <alignment horizontal="center" vertical="center"/>
    </xf>
    <xf numFmtId="9" fontId="21" fillId="7" borderId="11" xfId="5" applyFont="1" applyFill="1" applyBorder="1" applyAlignment="1">
      <alignment horizontal="center" vertical="center"/>
    </xf>
    <xf numFmtId="9" fontId="21" fillId="7" borderId="14" xfId="5" applyFont="1" applyFill="1" applyBorder="1" applyAlignment="1">
      <alignment horizontal="center" vertical="center"/>
    </xf>
    <xf numFmtId="1" fontId="25" fillId="0" borderId="21" xfId="0" applyFont="1" applyBorder="1" applyAlignment="1">
      <alignment horizontal="left" vertical="center" wrapText="1" readingOrder="1"/>
    </xf>
    <xf numFmtId="49" fontId="21" fillId="0" borderId="21" xfId="0" applyNumberFormat="1" applyFont="1" applyBorder="1" applyAlignment="1">
      <alignment horizontal="left" vertical="center"/>
    </xf>
    <xf numFmtId="49" fontId="23" fillId="0" borderId="17" xfId="0" applyNumberFormat="1" applyFont="1" applyBorder="1" applyAlignment="1">
      <alignment horizontal="left" vertical="center"/>
    </xf>
    <xf numFmtId="49" fontId="23" fillId="0" borderId="11" xfId="0" applyNumberFormat="1" applyFont="1" applyBorder="1" applyAlignment="1">
      <alignment horizontal="left" vertical="center"/>
    </xf>
    <xf numFmtId="1" fontId="23" fillId="0" borderId="1" xfId="0" applyFont="1" applyBorder="1" applyAlignment="1">
      <alignment horizontal="left" vertical="center"/>
    </xf>
    <xf numFmtId="1" fontId="23" fillId="0" borderId="6" xfId="0" applyFont="1" applyBorder="1" applyAlignment="1">
      <alignment horizontal="left" vertical="center"/>
    </xf>
    <xf numFmtId="1" fontId="22" fillId="0" borderId="11" xfId="0" applyFont="1" applyBorder="1" applyAlignment="1">
      <alignment horizontal="left" vertical="center"/>
    </xf>
    <xf numFmtId="1" fontId="22" fillId="0" borderId="14" xfId="0" applyFont="1" applyBorder="1" applyAlignment="1">
      <alignment horizontal="left" vertical="center"/>
    </xf>
    <xf numFmtId="1" fontId="21" fillId="0" borderId="8" xfId="0" applyFont="1" applyBorder="1" applyAlignment="1">
      <alignment horizontal="left" vertical="center"/>
    </xf>
    <xf numFmtId="1" fontId="21" fillId="0" borderId="17" xfId="0" applyFont="1" applyBorder="1" applyAlignment="1">
      <alignment horizontal="left" vertical="center"/>
    </xf>
    <xf numFmtId="1" fontId="21" fillId="0" borderId="11" xfId="0" applyFont="1" applyBorder="1" applyAlignment="1">
      <alignment horizontal="left" vertical="center"/>
    </xf>
    <xf numFmtId="1" fontId="22" fillId="0" borderId="13" xfId="0" applyFont="1" applyBorder="1" applyAlignment="1">
      <alignment horizontal="left" vertical="center"/>
    </xf>
    <xf numFmtId="1" fontId="22" fillId="0" borderId="34" xfId="0" applyFont="1" applyBorder="1" applyAlignment="1">
      <alignment horizontal="left" vertical="center"/>
    </xf>
    <xf numFmtId="0" fontId="22" fillId="0" borderId="34" xfId="0" applyNumberFormat="1" applyFont="1" applyBorder="1" applyAlignment="1">
      <alignment horizontal="left" vertical="center"/>
    </xf>
    <xf numFmtId="1" fontId="21" fillId="0" borderId="1" xfId="0" applyFont="1" applyBorder="1" applyAlignment="1">
      <alignment horizontal="left" vertical="center"/>
    </xf>
    <xf numFmtId="1" fontId="22" fillId="0" borderId="6" xfId="0" applyFont="1" applyBorder="1" applyAlignment="1">
      <alignment horizontal="left" vertical="center"/>
    </xf>
    <xf numFmtId="1" fontId="22" fillId="0" borderId="17" xfId="0" applyFont="1" applyBorder="1" applyAlignment="1">
      <alignment horizontal="left" vertical="center"/>
    </xf>
    <xf numFmtId="1" fontId="21" fillId="0" borderId="14" xfId="0" applyFont="1" applyBorder="1" applyAlignment="1">
      <alignment horizontal="left" vertical="center"/>
    </xf>
    <xf numFmtId="1" fontId="21" fillId="0" borderId="5" xfId="0" applyFont="1" applyBorder="1" applyAlignment="1">
      <alignment horizontal="left" vertical="center"/>
    </xf>
    <xf numFmtId="1" fontId="21" fillId="0" borderId="10" xfId="0" applyFont="1" applyBorder="1" applyAlignment="1">
      <alignment horizontal="left" vertical="center" wrapText="1"/>
    </xf>
    <xf numFmtId="1" fontId="21" fillId="0" borderId="18" xfId="0" applyFont="1" applyBorder="1" applyAlignment="1">
      <alignment horizontal="left" vertical="center" wrapText="1"/>
    </xf>
    <xf numFmtId="1" fontId="21" fillId="0" borderId="0" xfId="0" applyFont="1" applyAlignment="1">
      <alignment horizontal="left" wrapText="1"/>
    </xf>
    <xf numFmtId="0" fontId="21" fillId="0" borderId="0" xfId="0" applyNumberFormat="1" applyFont="1" applyAlignment="1">
      <alignment horizontal="left"/>
    </xf>
    <xf numFmtId="168" fontId="22" fillId="0" borderId="0" xfId="0" applyNumberFormat="1" applyFont="1" applyAlignment="1">
      <alignment horizontal="left"/>
    </xf>
    <xf numFmtId="49" fontId="23" fillId="0" borderId="11" xfId="0" applyNumberFormat="1" applyFont="1" applyBorder="1" applyAlignment="1">
      <alignment horizontal="left" vertical="center" wrapText="1"/>
    </xf>
    <xf numFmtId="1" fontId="22" fillId="7" borderId="17" xfId="2" applyNumberFormat="1" applyFont="1" applyFill="1" applyBorder="1" applyAlignment="1">
      <alignment horizontal="center" vertical="center"/>
    </xf>
    <xf numFmtId="1" fontId="22" fillId="7" borderId="12" xfId="2" applyNumberFormat="1" applyFont="1" applyFill="1" applyBorder="1" applyAlignment="1">
      <alignment horizontal="center" vertical="center"/>
    </xf>
    <xf numFmtId="1" fontId="22" fillId="7" borderId="14" xfId="2" applyNumberFormat="1" applyFont="1" applyFill="1" applyBorder="1" applyAlignment="1">
      <alignment horizontal="center" vertical="center"/>
    </xf>
    <xf numFmtId="1" fontId="21" fillId="7" borderId="12" xfId="2" applyNumberFormat="1" applyFont="1" applyFill="1" applyBorder="1" applyAlignment="1">
      <alignment horizontal="center" vertical="center"/>
    </xf>
    <xf numFmtId="1" fontId="21" fillId="7" borderId="11" xfId="2" applyNumberFormat="1" applyFont="1" applyFill="1" applyBorder="1" applyAlignment="1">
      <alignment horizontal="center" vertical="center"/>
    </xf>
    <xf numFmtId="1" fontId="21" fillId="7" borderId="1" xfId="2" applyNumberFormat="1" applyFont="1" applyFill="1" applyBorder="1" applyAlignment="1">
      <alignment horizontal="center" vertical="center"/>
    </xf>
    <xf numFmtId="1" fontId="21" fillId="7" borderId="8" xfId="2" applyNumberFormat="1" applyFont="1" applyFill="1" applyBorder="1" applyAlignment="1">
      <alignment horizontal="center" vertical="center"/>
    </xf>
    <xf numFmtId="1" fontId="22" fillId="7" borderId="11" xfId="2" applyNumberFormat="1" applyFont="1" applyFill="1" applyBorder="1" applyAlignment="1">
      <alignment horizontal="center" vertical="center"/>
    </xf>
    <xf numFmtId="1" fontId="22" fillId="7" borderId="13" xfId="2" applyNumberFormat="1" applyFont="1" applyFill="1" applyBorder="1" applyAlignment="1">
      <alignment horizontal="center" vertical="center"/>
    </xf>
    <xf numFmtId="1" fontId="21" fillId="7" borderId="13" xfId="2" applyNumberFormat="1" applyFont="1" applyFill="1" applyBorder="1" applyAlignment="1">
      <alignment horizontal="center" vertical="center"/>
    </xf>
    <xf numFmtId="1" fontId="22" fillId="7" borderId="34" xfId="0" applyFont="1" applyFill="1" applyBorder="1" applyAlignment="1">
      <alignment horizontal="center" vertical="center"/>
    </xf>
    <xf numFmtId="1" fontId="21" fillId="7" borderId="14" xfId="2" applyNumberFormat="1" applyFont="1" applyFill="1" applyBorder="1" applyAlignment="1">
      <alignment horizontal="center" vertical="center"/>
    </xf>
    <xf numFmtId="1" fontId="22" fillId="7" borderId="8" xfId="2" applyNumberFormat="1" applyFont="1" applyFill="1" applyBorder="1" applyAlignment="1">
      <alignment horizontal="center" vertical="center"/>
    </xf>
    <xf numFmtId="1" fontId="22" fillId="6" borderId="17" xfId="2" applyNumberFormat="1" applyFont="1" applyFill="1" applyBorder="1" applyAlignment="1">
      <alignment horizontal="center" vertical="center"/>
    </xf>
    <xf numFmtId="1" fontId="22" fillId="6" borderId="12" xfId="2" applyNumberFormat="1" applyFont="1" applyFill="1" applyBorder="1" applyAlignment="1">
      <alignment horizontal="center" vertical="center"/>
    </xf>
    <xf numFmtId="1" fontId="22" fillId="6" borderId="14" xfId="2" applyNumberFormat="1" applyFont="1" applyFill="1" applyBorder="1" applyAlignment="1">
      <alignment horizontal="center" vertical="center"/>
    </xf>
    <xf numFmtId="1" fontId="21" fillId="6" borderId="12" xfId="2" applyNumberFormat="1" applyFont="1" applyFill="1" applyBorder="1" applyAlignment="1">
      <alignment horizontal="center" vertical="center"/>
    </xf>
    <xf numFmtId="1" fontId="21" fillId="6" borderId="11" xfId="2" applyNumberFormat="1" applyFont="1" applyFill="1" applyBorder="1" applyAlignment="1">
      <alignment horizontal="center" vertical="center"/>
    </xf>
    <xf numFmtId="1" fontId="21" fillId="6" borderId="1" xfId="2" applyNumberFormat="1" applyFont="1" applyFill="1" applyBorder="1" applyAlignment="1">
      <alignment horizontal="center" vertical="center"/>
    </xf>
    <xf numFmtId="1" fontId="21" fillId="6" borderId="8" xfId="2" applyNumberFormat="1" applyFont="1" applyFill="1" applyBorder="1" applyAlignment="1">
      <alignment horizontal="center" vertical="center"/>
    </xf>
    <xf numFmtId="1" fontId="22" fillId="6" borderId="11" xfId="2" applyNumberFormat="1" applyFont="1" applyFill="1" applyBorder="1" applyAlignment="1">
      <alignment horizontal="center" vertical="center"/>
    </xf>
    <xf numFmtId="1" fontId="22" fillId="6" borderId="13" xfId="2" applyNumberFormat="1" applyFont="1" applyFill="1" applyBorder="1" applyAlignment="1">
      <alignment horizontal="center" vertical="center"/>
    </xf>
    <xf numFmtId="1" fontId="21" fillId="6" borderId="13" xfId="2" applyNumberFormat="1" applyFont="1" applyFill="1" applyBorder="1" applyAlignment="1">
      <alignment horizontal="center" vertical="center"/>
    </xf>
    <xf numFmtId="1" fontId="22" fillId="6" borderId="34" xfId="0" applyFont="1" applyFill="1" applyBorder="1" applyAlignment="1">
      <alignment horizontal="center" vertical="center"/>
    </xf>
    <xf numFmtId="1" fontId="21" fillId="6" borderId="14" xfId="2" applyNumberFormat="1" applyFont="1" applyFill="1" applyBorder="1" applyAlignment="1">
      <alignment horizontal="center" vertical="center"/>
    </xf>
    <xf numFmtId="1" fontId="22" fillId="6" borderId="8" xfId="2" applyNumberFormat="1" applyFont="1" applyFill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1" fontId="7" fillId="0" borderId="72" xfId="0" applyFont="1" applyBorder="1" applyAlignment="1">
      <alignment horizontal="left" vertical="center"/>
    </xf>
    <xf numFmtId="1" fontId="7" fillId="0" borderId="1" xfId="0" applyFont="1" applyBorder="1" applyAlignment="1">
      <alignment horizontal="left" vertical="center"/>
    </xf>
    <xf numFmtId="1" fontId="1" fillId="0" borderId="11" xfId="0" applyFont="1" applyBorder="1" applyAlignment="1">
      <alignment horizontal="left" vertical="center"/>
    </xf>
    <xf numFmtId="1" fontId="1" fillId="0" borderId="80" xfId="0" applyFont="1" applyBorder="1" applyAlignment="1">
      <alignment horizontal="left" vertical="center"/>
    </xf>
    <xf numFmtId="1" fontId="1" fillId="0" borderId="81" xfId="0" applyFont="1" applyBorder="1" applyAlignment="1">
      <alignment horizontal="left" vertical="center"/>
    </xf>
    <xf numFmtId="1" fontId="2" fillId="0" borderId="8" xfId="0" applyFont="1" applyBorder="1" applyAlignment="1">
      <alignment horizontal="left" vertical="center"/>
    </xf>
    <xf numFmtId="1" fontId="2" fillId="0" borderId="17" xfId="0" applyFont="1" applyBorder="1" applyAlignment="1">
      <alignment horizontal="left" vertical="center"/>
    </xf>
    <xf numFmtId="1" fontId="2" fillId="0" borderId="11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1" fontId="1" fillId="0" borderId="13" xfId="0" applyFont="1" applyBorder="1" applyAlignment="1">
      <alignment horizontal="left" vertical="center"/>
    </xf>
    <xf numFmtId="1" fontId="1" fillId="0" borderId="6" xfId="0" applyFont="1" applyBorder="1" applyAlignment="1">
      <alignment horizontal="left" vertical="center"/>
    </xf>
    <xf numFmtId="1" fontId="1" fillId="0" borderId="17" xfId="0" applyFont="1" applyBorder="1" applyAlignment="1">
      <alignment horizontal="left" vertical="center"/>
    </xf>
    <xf numFmtId="1" fontId="2" fillId="0" borderId="14" xfId="0" applyFont="1" applyBorder="1" applyAlignment="1">
      <alignment horizontal="left" vertical="center"/>
    </xf>
    <xf numFmtId="1" fontId="2" fillId="0" borderId="9" xfId="0" applyFont="1" applyBorder="1" applyAlignment="1">
      <alignment horizontal="left" vertical="center"/>
    </xf>
    <xf numFmtId="1" fontId="2" fillId="0" borderId="10" xfId="0" applyFont="1" applyBorder="1" applyAlignment="1">
      <alignment horizontal="left" vertical="center" wrapText="1"/>
    </xf>
    <xf numFmtId="1" fontId="2" fillId="0" borderId="18" xfId="0" applyFont="1" applyBorder="1" applyAlignment="1">
      <alignment horizontal="left" vertical="center" wrapText="1"/>
    </xf>
    <xf numFmtId="1" fontId="2" fillId="0" borderId="0" xfId="0" applyFont="1" applyAlignment="1">
      <alignment horizontal="left" wrapText="1"/>
    </xf>
    <xf numFmtId="1" fontId="2" fillId="0" borderId="0" xfId="0" applyFont="1" applyAlignment="1">
      <alignment horizontal="left"/>
    </xf>
    <xf numFmtId="0" fontId="28" fillId="0" borderId="0" xfId="0" applyNumberFormat="1" applyFont="1" applyAlignment="1">
      <alignment horizontal="left"/>
    </xf>
    <xf numFmtId="49" fontId="7" fillId="0" borderId="13" xfId="0" applyNumberFormat="1" applyFont="1" applyBorder="1" applyAlignment="1">
      <alignment horizontal="left" vertical="center" wrapText="1"/>
    </xf>
    <xf numFmtId="1" fontId="22" fillId="6" borderId="6" xfId="2" applyNumberFormat="1" applyFont="1" applyFill="1" applyBorder="1" applyAlignment="1">
      <alignment horizontal="center" vertical="center"/>
    </xf>
    <xf numFmtId="1" fontId="21" fillId="6" borderId="65" xfId="2" applyNumberFormat="1" applyFont="1" applyFill="1" applyBorder="1" applyAlignment="1">
      <alignment horizontal="center" vertical="center"/>
    </xf>
    <xf numFmtId="1" fontId="22" fillId="6" borderId="1" xfId="2" applyNumberFormat="1" applyFont="1" applyFill="1" applyBorder="1" applyAlignment="1">
      <alignment horizontal="center" vertical="center"/>
    </xf>
    <xf numFmtId="1" fontId="22" fillId="7" borderId="6" xfId="2" applyNumberFormat="1" applyFont="1" applyFill="1" applyBorder="1" applyAlignment="1">
      <alignment horizontal="center" vertical="center"/>
    </xf>
    <xf numFmtId="1" fontId="21" fillId="7" borderId="65" xfId="2" applyNumberFormat="1" applyFont="1" applyFill="1" applyBorder="1" applyAlignment="1">
      <alignment horizontal="center" vertical="center"/>
    </xf>
    <xf numFmtId="1" fontId="21" fillId="7" borderId="8" xfId="0" applyFont="1" applyFill="1" applyBorder="1" applyAlignment="1">
      <alignment horizontal="center" vertical="center"/>
    </xf>
    <xf numFmtId="1" fontId="22" fillId="7" borderId="1" xfId="2" applyNumberFormat="1" applyFont="1" applyFill="1" applyBorder="1" applyAlignment="1">
      <alignment horizontal="center" vertical="center"/>
    </xf>
    <xf numFmtId="1" fontId="22" fillId="0" borderId="1" xfId="0" applyFont="1" applyBorder="1" applyAlignment="1">
      <alignment horizontal="left" vertical="center"/>
    </xf>
    <xf numFmtId="49" fontId="21" fillId="0" borderId="60" xfId="0" applyNumberFormat="1" applyFont="1" applyBorder="1" applyAlignment="1">
      <alignment horizontal="left" vertical="center"/>
    </xf>
    <xf numFmtId="49" fontId="23" fillId="0" borderId="58" xfId="0" applyNumberFormat="1" applyFont="1" applyBorder="1" applyAlignment="1">
      <alignment horizontal="left" vertical="center"/>
    </xf>
    <xf numFmtId="49" fontId="23" fillId="0" borderId="52" xfId="0" applyNumberFormat="1" applyFont="1" applyBorder="1" applyAlignment="1">
      <alignment horizontal="left" vertical="center"/>
    </xf>
    <xf numFmtId="1" fontId="23" fillId="0" borderId="24" xfId="0" applyFont="1" applyBorder="1" applyAlignment="1">
      <alignment horizontal="left" vertical="center"/>
    </xf>
    <xf numFmtId="1" fontId="22" fillId="0" borderId="52" xfId="0" applyFont="1" applyBorder="1" applyAlignment="1">
      <alignment horizontal="left" vertical="center"/>
    </xf>
    <xf numFmtId="1" fontId="22" fillId="0" borderId="67" xfId="0" applyFont="1" applyBorder="1" applyAlignment="1">
      <alignment horizontal="left" vertical="center"/>
    </xf>
    <xf numFmtId="1" fontId="21" fillId="0" borderId="57" xfId="0" applyFont="1" applyBorder="1" applyAlignment="1">
      <alignment horizontal="left" vertical="center"/>
    </xf>
    <xf numFmtId="1" fontId="21" fillId="0" borderId="52" xfId="0" applyFont="1" applyBorder="1" applyAlignment="1">
      <alignment horizontal="left" vertical="center"/>
    </xf>
    <xf numFmtId="0" fontId="21" fillId="0" borderId="53" xfId="0" applyNumberFormat="1" applyFont="1" applyBorder="1" applyAlignment="1">
      <alignment horizontal="left" vertical="center"/>
    </xf>
    <xf numFmtId="1" fontId="22" fillId="0" borderId="98" xfId="0" applyFont="1" applyBorder="1" applyAlignment="1">
      <alignment horizontal="left" vertical="center"/>
    </xf>
    <xf numFmtId="1" fontId="22" fillId="0" borderId="23" xfId="0" applyFont="1" applyBorder="1" applyAlignment="1">
      <alignment horizontal="left" vertical="center"/>
    </xf>
    <xf numFmtId="1" fontId="21" fillId="0" borderId="101" xfId="0" applyFont="1" applyBorder="1" applyAlignment="1">
      <alignment horizontal="left" vertical="center"/>
    </xf>
    <xf numFmtId="1" fontId="22" fillId="0" borderId="57" xfId="0" applyFont="1" applyBorder="1" applyAlignment="1">
      <alignment horizontal="left" vertical="center"/>
    </xf>
    <xf numFmtId="1" fontId="21" fillId="0" borderId="102" xfId="0" applyFont="1" applyBorder="1" applyAlignment="1">
      <alignment horizontal="left" vertical="center"/>
    </xf>
    <xf numFmtId="1" fontId="21" fillId="0" borderId="103" xfId="0" applyFont="1" applyBorder="1" applyAlignment="1">
      <alignment horizontal="left" vertical="center" wrapText="1"/>
    </xf>
    <xf numFmtId="1" fontId="21" fillId="0" borderId="104" xfId="0" applyFont="1" applyBorder="1" applyAlignment="1">
      <alignment horizontal="left" vertical="center" wrapText="1"/>
    </xf>
    <xf numFmtId="1" fontId="21" fillId="0" borderId="0" xfId="0" applyFont="1" applyAlignment="1">
      <alignment horizontal="left" vertical="center" wrapText="1"/>
    </xf>
    <xf numFmtId="1" fontId="21" fillId="0" borderId="0" xfId="0" applyFont="1" applyAlignment="1">
      <alignment horizontal="left"/>
    </xf>
    <xf numFmtId="1" fontId="2" fillId="0" borderId="91" xfId="0" applyFont="1" applyBorder="1" applyAlignment="1">
      <alignment horizontal="left" vertical="center"/>
    </xf>
    <xf numFmtId="1" fontId="2" fillId="0" borderId="92" xfId="0" applyFont="1" applyBorder="1" applyAlignment="1">
      <alignment horizontal="left" vertical="center"/>
    </xf>
    <xf numFmtId="49" fontId="2" fillId="0" borderId="95" xfId="0" applyNumberFormat="1" applyFont="1" applyBorder="1" applyAlignment="1">
      <alignment horizontal="left" vertical="center"/>
    </xf>
    <xf numFmtId="49" fontId="7" fillId="0" borderId="96" xfId="0" applyNumberFormat="1" applyFont="1" applyBorder="1" applyAlignment="1">
      <alignment horizontal="left" vertical="center"/>
    </xf>
    <xf numFmtId="49" fontId="7" fillId="0" borderId="34" xfId="0" applyNumberFormat="1" applyFont="1" applyBorder="1" applyAlignment="1">
      <alignment horizontal="left" vertical="center"/>
    </xf>
    <xf numFmtId="1" fontId="7" fillId="0" borderId="94" xfId="0" applyFont="1" applyBorder="1" applyAlignment="1">
      <alignment horizontal="left" vertical="center"/>
    </xf>
    <xf numFmtId="1" fontId="7" fillId="0" borderId="92" xfId="0" applyFont="1" applyBorder="1" applyAlignment="1">
      <alignment horizontal="left" vertical="center"/>
    </xf>
    <xf numFmtId="1" fontId="2" fillId="0" borderId="97" xfId="0" applyFont="1" applyBorder="1" applyAlignment="1">
      <alignment horizontal="left" vertical="center"/>
    </xf>
    <xf numFmtId="1" fontId="2" fillId="0" borderId="96" xfId="0" applyFont="1" applyBorder="1" applyAlignment="1">
      <alignment horizontal="left" vertical="center"/>
    </xf>
    <xf numFmtId="1" fontId="2" fillId="0" borderId="34" xfId="0" applyFont="1" applyBorder="1" applyAlignment="1">
      <alignment horizontal="left" vertical="center"/>
    </xf>
    <xf numFmtId="1" fontId="2" fillId="0" borderId="15" xfId="0" applyFont="1" applyBorder="1" applyAlignment="1">
      <alignment horizontal="left" vertical="center"/>
    </xf>
    <xf numFmtId="1" fontId="2" fillId="0" borderId="16" xfId="0" applyFont="1" applyBorder="1" applyAlignment="1">
      <alignment horizontal="left" vertical="center"/>
    </xf>
    <xf numFmtId="1" fontId="1" fillId="0" borderId="82" xfId="0" applyFont="1" applyBorder="1" applyAlignment="1">
      <alignment vertical="center"/>
    </xf>
    <xf numFmtId="1" fontId="1" fillId="0" borderId="3" xfId="0" applyFont="1" applyBorder="1" applyAlignment="1">
      <alignment vertical="center"/>
    </xf>
    <xf numFmtId="1" fontId="1" fillId="0" borderId="22" xfId="0" applyFont="1" applyBorder="1" applyAlignment="1">
      <alignment vertical="center"/>
    </xf>
    <xf numFmtId="1" fontId="1" fillId="0" borderId="4" xfId="0" applyFont="1" applyBorder="1" applyAlignment="1">
      <alignment vertical="center"/>
    </xf>
    <xf numFmtId="1" fontId="1" fillId="0" borderId="25" xfId="0" applyFont="1" applyBorder="1"/>
    <xf numFmtId="1" fontId="1" fillId="0" borderId="61" xfId="0" applyFont="1" applyBorder="1" applyAlignment="1">
      <alignment vertical="center"/>
    </xf>
    <xf numFmtId="1" fontId="1" fillId="0" borderId="23" xfId="0" applyFont="1" applyBorder="1" applyAlignment="1">
      <alignment vertical="center"/>
    </xf>
    <xf numFmtId="1" fontId="1" fillId="0" borderId="7" xfId="0" applyFont="1" applyBorder="1" applyAlignment="1">
      <alignment vertical="center"/>
    </xf>
    <xf numFmtId="1" fontId="1" fillId="0" borderId="26" xfId="0" applyFont="1" applyBorder="1"/>
    <xf numFmtId="1" fontId="1" fillId="0" borderId="94" xfId="0" applyFont="1" applyBorder="1" applyAlignment="1">
      <alignment horizontal="left" vertical="center"/>
    </xf>
    <xf numFmtId="1" fontId="1" fillId="0" borderId="63" xfId="0" applyFont="1" applyBorder="1" applyAlignment="1">
      <alignment vertical="center"/>
    </xf>
    <xf numFmtId="1" fontId="1" fillId="0" borderId="1" xfId="0" applyFont="1" applyBorder="1" applyAlignment="1">
      <alignment vertical="center"/>
    </xf>
    <xf numFmtId="1" fontId="1" fillId="0" borderId="24" xfId="0" applyFont="1" applyBorder="1" applyAlignment="1">
      <alignment vertical="center"/>
    </xf>
    <xf numFmtId="1" fontId="1" fillId="0" borderId="20" xfId="0" applyFont="1" applyBorder="1" applyAlignment="1">
      <alignment vertical="center"/>
    </xf>
    <xf numFmtId="1" fontId="1" fillId="0" borderId="27" xfId="0" applyFont="1" applyBorder="1"/>
    <xf numFmtId="49" fontId="1" fillId="0" borderId="95" xfId="0" applyNumberFormat="1" applyFont="1" applyBorder="1" applyAlignment="1">
      <alignment horizontal="left" vertical="center"/>
    </xf>
    <xf numFmtId="1" fontId="1" fillId="0" borderId="83" xfId="0" applyFont="1" applyBorder="1" applyAlignment="1">
      <alignment vertical="center"/>
    </xf>
    <xf numFmtId="1" fontId="1" fillId="0" borderId="21" xfId="0" applyFont="1" applyBorder="1" applyAlignment="1">
      <alignment vertical="center"/>
    </xf>
    <xf numFmtId="169" fontId="1" fillId="0" borderId="21" xfId="0" applyNumberFormat="1" applyFont="1" applyBorder="1" applyAlignment="1">
      <alignment horizontal="center" vertical="center"/>
    </xf>
    <xf numFmtId="15" fontId="1" fillId="0" borderId="94" xfId="0" applyNumberFormat="1" applyFont="1" applyBorder="1" applyAlignment="1">
      <alignment horizontal="left" vertical="center"/>
    </xf>
    <xf numFmtId="169" fontId="1" fillId="0" borderId="1" xfId="0" applyNumberFormat="1" applyFont="1" applyBorder="1" applyAlignment="1">
      <alignment horizontal="center" vertical="center"/>
    </xf>
    <xf numFmtId="1" fontId="1" fillId="0" borderId="6" xfId="0" applyFont="1" applyBorder="1" applyAlignment="1">
      <alignment horizontal="right" vertical="center"/>
    </xf>
    <xf numFmtId="1" fontId="1" fillId="0" borderId="21" xfId="0" applyFont="1" applyBorder="1" applyAlignment="1">
      <alignment horizontal="right" vertical="center"/>
    </xf>
    <xf numFmtId="1" fontId="1" fillId="0" borderId="23" xfId="0" applyFont="1" applyBorder="1" applyAlignment="1">
      <alignment horizontal="right" vertical="center"/>
    </xf>
    <xf numFmtId="1" fontId="1" fillId="0" borderId="44" xfId="0" applyFont="1" applyBorder="1" applyAlignment="1">
      <alignment horizontal="right" vertical="center"/>
    </xf>
    <xf numFmtId="1" fontId="1" fillId="0" borderId="51" xfId="0" applyFont="1" applyBorder="1" applyAlignment="1">
      <alignment horizontal="right" vertical="center"/>
    </xf>
    <xf numFmtId="174" fontId="1" fillId="0" borderId="44" xfId="2" applyNumberFormat="1" applyFont="1" applyFill="1" applyBorder="1" applyAlignment="1">
      <alignment horizontal="right" vertical="center"/>
    </xf>
    <xf numFmtId="174" fontId="1" fillId="0" borderId="55" xfId="2" applyNumberFormat="1" applyFont="1" applyFill="1" applyBorder="1" applyAlignment="1">
      <alignment horizontal="right" vertical="center"/>
    </xf>
    <xf numFmtId="1" fontId="1" fillId="0" borderId="86" xfId="0" applyFont="1" applyBorder="1" applyAlignment="1">
      <alignment horizontal="right" vertical="center"/>
    </xf>
    <xf numFmtId="1" fontId="1" fillId="0" borderId="13" xfId="0" applyFont="1" applyBorder="1" applyAlignment="1">
      <alignment horizontal="right" vertical="center"/>
    </xf>
    <xf numFmtId="1" fontId="1" fillId="0" borderId="53" xfId="0" applyFont="1" applyBorder="1" applyAlignment="1">
      <alignment horizontal="right" vertical="center"/>
    </xf>
    <xf numFmtId="1" fontId="1" fillId="0" borderId="42" xfId="0" applyFont="1" applyBorder="1" applyAlignment="1">
      <alignment horizontal="right" vertical="center"/>
    </xf>
    <xf numFmtId="1" fontId="1" fillId="0" borderId="37" xfId="0" applyFont="1" applyBorder="1" applyAlignment="1">
      <alignment horizontal="right" vertical="center"/>
    </xf>
    <xf numFmtId="174" fontId="1" fillId="0" borderId="42" xfId="2" applyNumberFormat="1" applyFont="1" applyFill="1" applyBorder="1" applyAlignment="1">
      <alignment horizontal="right" vertical="center"/>
    </xf>
    <xf numFmtId="174" fontId="1" fillId="0" borderId="52" xfId="2" applyNumberFormat="1" applyFont="1" applyFill="1" applyBorder="1" applyAlignment="1">
      <alignment horizontal="right" vertical="center"/>
    </xf>
    <xf numFmtId="1" fontId="1" fillId="0" borderId="24" xfId="0" applyFont="1" applyBorder="1" applyAlignment="1">
      <alignment horizontal="center" vertical="center"/>
    </xf>
    <xf numFmtId="1" fontId="1" fillId="0" borderId="43" xfId="0" applyFont="1" applyBorder="1" applyAlignment="1">
      <alignment horizontal="center" vertical="center"/>
    </xf>
    <xf numFmtId="1" fontId="1" fillId="0" borderId="50" xfId="0" applyFont="1" applyBorder="1" applyAlignment="1">
      <alignment horizontal="center" vertical="center"/>
    </xf>
    <xf numFmtId="174" fontId="1" fillId="0" borderId="43" xfId="2" applyNumberFormat="1" applyFont="1" applyFill="1" applyBorder="1" applyAlignment="1">
      <alignment horizontal="center" vertical="center"/>
    </xf>
    <xf numFmtId="174" fontId="1" fillId="0" borderId="57" xfId="2" applyNumberFormat="1" applyFont="1" applyFill="1" applyBorder="1" applyAlignment="1">
      <alignment horizontal="center" vertical="center"/>
    </xf>
    <xf numFmtId="167" fontId="1" fillId="0" borderId="12" xfId="0" applyNumberFormat="1" applyFont="1" applyBorder="1" applyAlignment="1">
      <alignment horizontal="right" vertical="center"/>
    </xf>
    <xf numFmtId="167" fontId="1" fillId="0" borderId="17" xfId="0" applyNumberFormat="1" applyFont="1" applyBorder="1" applyAlignment="1">
      <alignment horizontal="right" vertical="center"/>
    </xf>
    <xf numFmtId="1" fontId="1" fillId="0" borderId="55" xfId="0" applyFont="1" applyBorder="1" applyAlignment="1">
      <alignment horizontal="right" vertical="center"/>
    </xf>
    <xf numFmtId="1" fontId="1" fillId="0" borderId="34" xfId="0" applyFont="1" applyBorder="1" applyAlignment="1">
      <alignment horizontal="left" vertical="center"/>
    </xf>
    <xf numFmtId="166" fontId="1" fillId="0" borderId="52" xfId="0" applyNumberFormat="1" applyFont="1" applyBorder="1" applyAlignment="1">
      <alignment horizontal="right" vertical="center"/>
    </xf>
    <xf numFmtId="166" fontId="1" fillId="0" borderId="42" xfId="0" applyNumberFormat="1" applyFont="1" applyBorder="1" applyAlignment="1">
      <alignment horizontal="right" vertical="center"/>
    </xf>
    <xf numFmtId="166" fontId="1" fillId="0" borderId="37" xfId="0" applyNumberFormat="1" applyFont="1" applyBorder="1" applyAlignment="1">
      <alignment horizontal="right" vertical="center"/>
    </xf>
    <xf numFmtId="1" fontId="1" fillId="0" borderId="91" xfId="0" applyFont="1" applyBorder="1" applyAlignment="1">
      <alignment horizontal="left" vertical="center"/>
    </xf>
    <xf numFmtId="166" fontId="1" fillId="0" borderId="53" xfId="0" applyNumberFormat="1" applyFont="1" applyBorder="1" applyAlignment="1">
      <alignment horizontal="right" vertical="center"/>
    </xf>
    <xf numFmtId="166" fontId="1" fillId="0" borderId="47" xfId="0" applyNumberFormat="1" applyFont="1" applyBorder="1" applyAlignment="1">
      <alignment horizontal="right" vertical="center"/>
    </xf>
    <xf numFmtId="166" fontId="1" fillId="0" borderId="56" xfId="0" applyNumberFormat="1" applyFont="1" applyBorder="1" applyAlignment="1">
      <alignment horizontal="right" vertical="center"/>
    </xf>
    <xf numFmtId="174" fontId="1" fillId="0" borderId="47" xfId="2" applyNumberFormat="1" applyFont="1" applyFill="1" applyBorder="1" applyAlignment="1">
      <alignment horizontal="right" vertical="center"/>
    </xf>
    <xf numFmtId="174" fontId="1" fillId="0" borderId="53" xfId="2" applyNumberFormat="1" applyFont="1" applyFill="1" applyBorder="1" applyAlignment="1">
      <alignment horizontal="right" vertical="center"/>
    </xf>
    <xf numFmtId="166" fontId="1" fillId="0" borderId="45" xfId="0" applyNumberFormat="1" applyFont="1" applyBorder="1" applyAlignment="1">
      <alignment horizontal="right" vertical="center"/>
    </xf>
    <xf numFmtId="166" fontId="1" fillId="0" borderId="54" xfId="0" applyNumberFormat="1" applyFont="1" applyBorder="1" applyAlignment="1">
      <alignment horizontal="right" vertical="center"/>
    </xf>
    <xf numFmtId="174" fontId="1" fillId="0" borderId="45" xfId="2" applyNumberFormat="1" applyFont="1" applyFill="1" applyBorder="1" applyAlignment="1">
      <alignment horizontal="right" vertical="center"/>
    </xf>
    <xf numFmtId="174" fontId="1" fillId="0" borderId="67" xfId="2" applyNumberFormat="1" applyFont="1" applyFill="1" applyBorder="1" applyAlignment="1">
      <alignment horizontal="right" vertical="center"/>
    </xf>
    <xf numFmtId="166" fontId="1" fillId="0" borderId="52" xfId="0" applyNumberFormat="1" applyFont="1" applyBorder="1" applyAlignment="1">
      <alignment vertical="center"/>
    </xf>
    <xf numFmtId="166" fontId="1" fillId="0" borderId="42" xfId="0" applyNumberFormat="1" applyFont="1" applyBorder="1" applyAlignment="1">
      <alignment vertical="center"/>
    </xf>
    <xf numFmtId="166" fontId="1" fillId="0" borderId="37" xfId="0" applyNumberFormat="1" applyFont="1" applyBorder="1" applyAlignment="1">
      <alignment vertical="center"/>
    </xf>
    <xf numFmtId="174" fontId="1" fillId="0" borderId="42" xfId="2" applyNumberFormat="1" applyFont="1" applyFill="1" applyBorder="1" applyAlignment="1">
      <alignment vertical="center"/>
    </xf>
    <xf numFmtId="174" fontId="1" fillId="0" borderId="52" xfId="2" applyNumberFormat="1" applyFont="1" applyFill="1" applyBorder="1" applyAlignment="1">
      <alignment vertical="center"/>
    </xf>
    <xf numFmtId="1" fontId="1" fillId="0" borderId="92" xfId="0" applyFont="1" applyBorder="1" applyAlignment="1">
      <alignment horizontal="left"/>
    </xf>
    <xf numFmtId="174" fontId="1" fillId="0" borderId="34" xfId="2" applyNumberFormat="1" applyFont="1" applyFill="1" applyBorder="1" applyAlignment="1">
      <alignment horizontal="right" vertical="center"/>
    </xf>
    <xf numFmtId="174" fontId="1" fillId="0" borderId="74" xfId="2" applyNumberFormat="1" applyFont="1" applyFill="1" applyBorder="1" applyAlignment="1">
      <alignment horizontal="right" vertical="center"/>
    </xf>
    <xf numFmtId="0" fontId="1" fillId="0" borderId="34" xfId="0" applyNumberFormat="1" applyFont="1" applyBorder="1" applyAlignment="1">
      <alignment horizontal="left" vertical="center"/>
    </xf>
    <xf numFmtId="1" fontId="1" fillId="0" borderId="5" xfId="0" applyFont="1" applyBorder="1" applyAlignment="1">
      <alignment horizontal="left" vertical="center"/>
    </xf>
    <xf numFmtId="166" fontId="1" fillId="0" borderId="23" xfId="0" applyNumberFormat="1" applyFont="1" applyBorder="1" applyAlignment="1">
      <alignment horizontal="right" vertical="center"/>
    </xf>
    <xf numFmtId="166" fontId="1" fillId="0" borderId="20" xfId="0" applyNumberFormat="1" applyFont="1" applyBorder="1" applyAlignment="1">
      <alignment horizontal="right" vertical="center"/>
    </xf>
    <xf numFmtId="166" fontId="1" fillId="0" borderId="100" xfId="0" applyNumberFormat="1" applyFont="1" applyBorder="1" applyAlignment="1">
      <alignment horizontal="right" vertical="center"/>
    </xf>
    <xf numFmtId="174" fontId="1" fillId="0" borderId="20" xfId="2" applyNumberFormat="1" applyFont="1" applyFill="1" applyBorder="1" applyAlignment="1">
      <alignment horizontal="right" vertical="center"/>
    </xf>
    <xf numFmtId="174" fontId="1" fillId="0" borderId="24" xfId="2" applyNumberFormat="1" applyFont="1" applyFill="1" applyBorder="1" applyAlignment="1">
      <alignment horizontal="right" vertical="center"/>
    </xf>
    <xf numFmtId="1" fontId="1" fillId="0" borderId="9" xfId="0" applyFont="1" applyBorder="1" applyAlignment="1">
      <alignment horizontal="left" vertical="center"/>
    </xf>
    <xf numFmtId="166" fontId="1" fillId="0" borderId="58" xfId="0" applyNumberFormat="1" applyFont="1" applyBorder="1" applyAlignment="1">
      <alignment horizontal="right" vertical="center"/>
    </xf>
    <xf numFmtId="166" fontId="1" fillId="0" borderId="46" xfId="0" applyNumberFormat="1" applyFont="1" applyBorder="1" applyAlignment="1">
      <alignment horizontal="right" vertical="center"/>
    </xf>
    <xf numFmtId="166" fontId="1" fillId="0" borderId="59" xfId="0" applyNumberFormat="1" applyFont="1" applyBorder="1" applyAlignment="1">
      <alignment horizontal="right" vertical="center"/>
    </xf>
    <xf numFmtId="174" fontId="1" fillId="0" borderId="46" xfId="2" applyNumberFormat="1" applyFont="1" applyFill="1" applyBorder="1" applyAlignment="1">
      <alignment horizontal="right" vertical="center"/>
    </xf>
    <xf numFmtId="174" fontId="1" fillId="0" borderId="58" xfId="2" applyNumberFormat="1" applyFont="1" applyFill="1" applyBorder="1" applyAlignment="1">
      <alignment horizontal="right" vertical="center"/>
    </xf>
    <xf numFmtId="1" fontId="1" fillId="0" borderId="10" xfId="0" applyFont="1" applyBorder="1" applyAlignment="1">
      <alignment horizontal="left" vertical="center"/>
    </xf>
    <xf numFmtId="1" fontId="1" fillId="0" borderId="14" xfId="0" applyFont="1" applyBorder="1" applyAlignment="1">
      <alignment horizontal="right" vertical="center"/>
    </xf>
    <xf numFmtId="1" fontId="1" fillId="0" borderId="45" xfId="0" applyFont="1" applyBorder="1" applyAlignment="1">
      <alignment horizontal="right" vertical="center"/>
    </xf>
    <xf numFmtId="1" fontId="1" fillId="0" borderId="54" xfId="0" applyFont="1" applyBorder="1" applyAlignment="1">
      <alignment horizontal="right" vertical="center"/>
    </xf>
    <xf numFmtId="166" fontId="1" fillId="0" borderId="23" xfId="0" applyNumberFormat="1" applyFont="1" applyBorder="1" applyAlignment="1">
      <alignment vertical="center"/>
    </xf>
    <xf numFmtId="166" fontId="1" fillId="0" borderId="7" xfId="0" applyNumberFormat="1" applyFont="1" applyBorder="1" applyAlignment="1">
      <alignment vertical="center"/>
    </xf>
    <xf numFmtId="171" fontId="1" fillId="0" borderId="42" xfId="5" applyNumberFormat="1" applyFont="1" applyFill="1" applyBorder="1" applyAlignment="1">
      <alignment vertical="center"/>
    </xf>
    <xf numFmtId="171" fontId="1" fillId="0" borderId="37" xfId="5" applyNumberFormat="1" applyFont="1" applyFill="1" applyBorder="1" applyAlignment="1">
      <alignment vertical="center"/>
    </xf>
    <xf numFmtId="171" fontId="1" fillId="0" borderId="52" xfId="5" applyNumberFormat="1" applyFont="1" applyFill="1" applyBorder="1" applyAlignment="1">
      <alignment vertical="center"/>
    </xf>
    <xf numFmtId="171" fontId="1" fillId="0" borderId="48" xfId="5" applyNumberFormat="1" applyFont="1" applyFill="1" applyBorder="1" applyAlignment="1">
      <alignment vertical="center"/>
    </xf>
    <xf numFmtId="171" fontId="1" fillId="0" borderId="38" xfId="5" applyNumberFormat="1" applyFont="1" applyFill="1" applyBorder="1" applyAlignment="1">
      <alignment vertical="center"/>
    </xf>
    <xf numFmtId="171" fontId="1" fillId="0" borderId="68" xfId="5" applyNumberFormat="1" applyFont="1" applyFill="1" applyBorder="1" applyAlignment="1">
      <alignment vertical="center"/>
    </xf>
    <xf numFmtId="171" fontId="1" fillId="0" borderId="2" xfId="5" applyNumberFormat="1" applyFont="1" applyFill="1" applyBorder="1"/>
    <xf numFmtId="171" fontId="1" fillId="5" borderId="0" xfId="5" applyNumberFormat="1" applyFont="1" applyFill="1" applyBorder="1"/>
    <xf numFmtId="166" fontId="1" fillId="0" borderId="0" xfId="0" applyNumberFormat="1" applyFont="1"/>
    <xf numFmtId="1" fontId="1" fillId="0" borderId="0" xfId="0" applyFont="1" applyAlignment="1">
      <alignment vertical="center" wrapText="1"/>
    </xf>
    <xf numFmtId="166" fontId="1" fillId="0" borderId="6" xfId="0" applyNumberFormat="1" applyFont="1" applyBorder="1" applyAlignment="1">
      <alignment horizontal="center" vertical="center"/>
    </xf>
    <xf numFmtId="171" fontId="1" fillId="0" borderId="11" xfId="5" applyNumberFormat="1" applyFont="1" applyFill="1" applyBorder="1" applyAlignment="1">
      <alignment horizontal="center" vertical="center"/>
    </xf>
    <xf numFmtId="171" fontId="1" fillId="0" borderId="14" xfId="5" applyNumberFormat="1" applyFont="1" applyFill="1" applyBorder="1" applyAlignment="1">
      <alignment horizontal="center" vertical="center"/>
    </xf>
    <xf numFmtId="1" fontId="1" fillId="0" borderId="60" xfId="0" applyFont="1" applyBorder="1" applyAlignment="1">
      <alignment horizontal="center" vertical="center"/>
    </xf>
    <xf numFmtId="1" fontId="1" fillId="0" borderId="23" xfId="0" applyFont="1" applyBorder="1" applyAlignment="1">
      <alignment horizontal="center" vertical="center"/>
    </xf>
    <xf numFmtId="166" fontId="1" fillId="6" borderId="6" xfId="0" applyNumberFormat="1" applyFont="1" applyFill="1" applyBorder="1" applyAlignment="1">
      <alignment horizontal="center" vertical="center"/>
    </xf>
    <xf numFmtId="171" fontId="1" fillId="6" borderId="11" xfId="5" applyNumberFormat="1" applyFont="1" applyFill="1" applyBorder="1" applyAlignment="1">
      <alignment horizontal="center" vertical="center"/>
    </xf>
    <xf numFmtId="171" fontId="1" fillId="6" borderId="14" xfId="5" applyNumberFormat="1" applyFont="1" applyFill="1" applyBorder="1" applyAlignment="1">
      <alignment horizontal="center" vertical="center"/>
    </xf>
    <xf numFmtId="1" fontId="1" fillId="0" borderId="12" xfId="2" applyNumberFormat="1" applyFont="1" applyFill="1" applyBorder="1" applyAlignment="1">
      <alignment horizontal="center" vertical="center"/>
    </xf>
    <xf numFmtId="1" fontId="7" fillId="0" borderId="11" xfId="0" applyFont="1" applyBorder="1" applyAlignment="1">
      <alignment horizontal="center" vertical="center"/>
    </xf>
    <xf numFmtId="1" fontId="1" fillId="0" borderId="11" xfId="2" applyNumberFormat="1" applyFont="1" applyFill="1" applyBorder="1" applyAlignment="1">
      <alignment horizontal="center" vertical="center"/>
    </xf>
    <xf numFmtId="1" fontId="7" fillId="0" borderId="11" xfId="2" applyNumberFormat="1" applyFont="1" applyFill="1" applyBorder="1" applyAlignment="1">
      <alignment horizontal="center" vertical="center"/>
    </xf>
    <xf numFmtId="1" fontId="2" fillId="0" borderId="14" xfId="2" applyNumberFormat="1" applyFont="1" applyFill="1" applyBorder="1" applyAlignment="1">
      <alignment horizontal="center" vertical="center"/>
    </xf>
    <xf numFmtId="1" fontId="1" fillId="0" borderId="8" xfId="2" applyNumberFormat="1" applyFont="1" applyFill="1" applyBorder="1" applyAlignment="1">
      <alignment horizontal="center" vertical="center"/>
    </xf>
    <xf numFmtId="1" fontId="1" fillId="0" borderId="13" xfId="2" applyNumberFormat="1" applyFont="1" applyFill="1" applyBorder="1" applyAlignment="1">
      <alignment horizontal="center" vertical="center"/>
    </xf>
    <xf numFmtId="1" fontId="1" fillId="0" borderId="14" xfId="2" applyNumberFormat="1" applyFont="1" applyFill="1" applyBorder="1" applyAlignment="1">
      <alignment horizontal="center" vertical="center"/>
    </xf>
    <xf numFmtId="1" fontId="2" fillId="0" borderId="8" xfId="2" applyNumberFormat="1" applyFont="1" applyFill="1" applyBorder="1" applyAlignment="1">
      <alignment horizontal="center" vertical="center"/>
    </xf>
    <xf numFmtId="1" fontId="2" fillId="0" borderId="12" xfId="2" applyNumberFormat="1" applyFont="1" applyFill="1" applyBorder="1" applyAlignment="1">
      <alignment horizontal="center" vertical="center"/>
    </xf>
    <xf numFmtId="1" fontId="2" fillId="0" borderId="11" xfId="2" applyNumberFormat="1" applyFont="1" applyFill="1" applyBorder="1" applyAlignment="1">
      <alignment horizontal="center" vertical="center"/>
    </xf>
    <xf numFmtId="1" fontId="1" fillId="0" borderId="1" xfId="2" applyNumberFormat="1" applyFont="1" applyFill="1" applyBorder="1" applyAlignment="1">
      <alignment horizontal="center" vertical="center"/>
    </xf>
    <xf numFmtId="1" fontId="1" fillId="0" borderId="17" xfId="2" applyNumberFormat="1" applyFont="1" applyFill="1" applyBorder="1" applyAlignment="1">
      <alignment horizontal="center" vertical="center"/>
    </xf>
    <xf numFmtId="1" fontId="1" fillId="6" borderId="12" xfId="2" applyNumberFormat="1" applyFont="1" applyFill="1" applyBorder="1" applyAlignment="1">
      <alignment horizontal="center" vertical="center"/>
    </xf>
    <xf numFmtId="1" fontId="7" fillId="6" borderId="11" xfId="0" applyFont="1" applyFill="1" applyBorder="1" applyAlignment="1">
      <alignment horizontal="center" vertical="center"/>
    </xf>
    <xf numFmtId="1" fontId="1" fillId="6" borderId="11" xfId="2" applyNumberFormat="1" applyFont="1" applyFill="1" applyBorder="1" applyAlignment="1">
      <alignment horizontal="center" vertical="center"/>
    </xf>
    <xf numFmtId="1" fontId="7" fillId="6" borderId="11" xfId="2" applyNumberFormat="1" applyFont="1" applyFill="1" applyBorder="1" applyAlignment="1">
      <alignment horizontal="center" vertical="center"/>
    </xf>
    <xf numFmtId="1" fontId="2" fillId="6" borderId="14" xfId="2" applyNumberFormat="1" applyFont="1" applyFill="1" applyBorder="1" applyAlignment="1">
      <alignment horizontal="center" vertical="center"/>
    </xf>
    <xf numFmtId="1" fontId="1" fillId="6" borderId="8" xfId="2" applyNumberFormat="1" applyFont="1" applyFill="1" applyBorder="1" applyAlignment="1">
      <alignment horizontal="center" vertical="center"/>
    </xf>
    <xf numFmtId="1" fontId="1" fillId="6" borderId="13" xfId="2" applyNumberFormat="1" applyFont="1" applyFill="1" applyBorder="1" applyAlignment="1">
      <alignment horizontal="center" vertical="center"/>
    </xf>
    <xf numFmtId="1" fontId="1" fillId="6" borderId="14" xfId="2" applyNumberFormat="1" applyFont="1" applyFill="1" applyBorder="1" applyAlignment="1">
      <alignment horizontal="center" vertical="center"/>
    </xf>
    <xf numFmtId="1" fontId="2" fillId="6" borderId="8" xfId="2" applyNumberFormat="1" applyFont="1" applyFill="1" applyBorder="1" applyAlignment="1">
      <alignment horizontal="center" vertical="center"/>
    </xf>
    <xf numFmtId="1" fontId="2" fillId="6" borderId="12" xfId="2" applyNumberFormat="1" applyFont="1" applyFill="1" applyBorder="1" applyAlignment="1">
      <alignment horizontal="center" vertical="center"/>
    </xf>
    <xf numFmtId="1" fontId="2" fillId="6" borderId="11" xfId="2" applyNumberFormat="1" applyFont="1" applyFill="1" applyBorder="1" applyAlignment="1">
      <alignment horizontal="center" vertical="center"/>
    </xf>
    <xf numFmtId="1" fontId="1" fillId="6" borderId="1" xfId="2" applyNumberFormat="1" applyFont="1" applyFill="1" applyBorder="1" applyAlignment="1">
      <alignment horizontal="center" vertical="center"/>
    </xf>
    <xf numFmtId="1" fontId="1" fillId="6" borderId="17" xfId="2" applyNumberFormat="1" applyFont="1" applyFill="1" applyBorder="1" applyAlignment="1">
      <alignment horizontal="center" vertical="center"/>
    </xf>
    <xf numFmtId="49" fontId="1" fillId="0" borderId="0" xfId="0" applyNumberFormat="1" applyFont="1"/>
    <xf numFmtId="15" fontId="1" fillId="0" borderId="0" xfId="0" applyNumberFormat="1" applyFont="1" applyAlignment="1">
      <alignment horizontal="left"/>
    </xf>
    <xf numFmtId="1" fontId="1" fillId="0" borderId="36" xfId="0" applyFont="1" applyBorder="1"/>
    <xf numFmtId="1" fontId="1" fillId="0" borderId="37" xfId="0" applyFont="1" applyBorder="1"/>
    <xf numFmtId="1" fontId="1" fillId="0" borderId="38" xfId="0" applyFont="1" applyBorder="1"/>
    <xf numFmtId="174" fontId="1" fillId="0" borderId="0" xfId="2" applyNumberFormat="1" applyFont="1"/>
    <xf numFmtId="2" fontId="22" fillId="7" borderId="12" xfId="2" applyNumberFormat="1" applyFont="1" applyFill="1" applyBorder="1" applyAlignment="1">
      <alignment horizontal="center" vertical="center"/>
    </xf>
    <xf numFmtId="1" fontId="0" fillId="0" borderId="23" xfId="0" applyBorder="1"/>
    <xf numFmtId="1" fontId="0" fillId="0" borderId="61" xfId="0" applyBorder="1"/>
    <xf numFmtId="168" fontId="22" fillId="0" borderId="0" xfId="0" applyNumberFormat="1" applyFont="1" applyAlignment="1">
      <alignment horizontal="left" vertical="center"/>
    </xf>
    <xf numFmtId="0" fontId="22" fillId="0" borderId="0" xfId="0" applyNumberFormat="1" applyFont="1" applyAlignment="1">
      <alignment horizontal="left" vertical="center"/>
    </xf>
    <xf numFmtId="0" fontId="22" fillId="0" borderId="0" xfId="0" applyNumberFormat="1" applyFont="1" applyAlignment="1">
      <alignment horizontal="left" vertical="center" wrapText="1"/>
    </xf>
    <xf numFmtId="0" fontId="21" fillId="0" borderId="0" xfId="0" applyNumberFormat="1" applyFont="1" applyAlignment="1">
      <alignment horizontal="left" vertical="center"/>
    </xf>
    <xf numFmtId="1" fontId="2" fillId="0" borderId="36" xfId="0" applyFont="1" applyBorder="1" applyAlignment="1">
      <alignment horizontal="center" vertical="center" wrapText="1"/>
    </xf>
    <xf numFmtId="1" fontId="2" fillId="0" borderId="37" xfId="0" applyFont="1" applyBorder="1" applyAlignment="1">
      <alignment horizontal="center" vertical="center" wrapText="1"/>
    </xf>
    <xf numFmtId="1" fontId="2" fillId="0" borderId="38" xfId="0" applyFont="1" applyBorder="1" applyAlignment="1">
      <alignment horizontal="center" vertical="center" wrapText="1"/>
    </xf>
    <xf numFmtId="1" fontId="2" fillId="0" borderId="75" xfId="0" applyFont="1" applyBorder="1" applyAlignment="1">
      <alignment horizontal="center"/>
    </xf>
    <xf numFmtId="1" fontId="2" fillId="0" borderId="76" xfId="0" applyFont="1" applyBorder="1" applyAlignment="1">
      <alignment horizontal="center"/>
    </xf>
    <xf numFmtId="1" fontId="2" fillId="0" borderId="77" xfId="0" applyFont="1" applyBorder="1" applyAlignment="1">
      <alignment horizontal="center"/>
    </xf>
    <xf numFmtId="1" fontId="2" fillId="0" borderId="21" xfId="0" applyFont="1" applyBorder="1" applyAlignment="1">
      <alignment horizontal="center" vertical="center" textRotation="45"/>
    </xf>
    <xf numFmtId="1" fontId="2" fillId="0" borderId="6" xfId="0" applyFont="1" applyBorder="1" applyAlignment="1">
      <alignment horizontal="center" vertical="center" textRotation="45"/>
    </xf>
    <xf numFmtId="1" fontId="2" fillId="0" borderId="1" xfId="0" applyFont="1" applyBorder="1" applyAlignment="1">
      <alignment horizontal="center" vertical="center" textRotation="45"/>
    </xf>
    <xf numFmtId="1" fontId="2" fillId="0" borderId="57" xfId="0" applyFont="1" applyBorder="1" applyAlignment="1">
      <alignment horizontal="center"/>
    </xf>
    <xf numFmtId="1" fontId="2" fillId="0" borderId="69" xfId="0" applyFont="1" applyBorder="1" applyAlignment="1">
      <alignment horizontal="center"/>
    </xf>
    <xf numFmtId="1" fontId="2" fillId="0" borderId="66" xfId="0" applyFont="1" applyBorder="1" applyAlignment="1">
      <alignment horizontal="center"/>
    </xf>
    <xf numFmtId="1" fontId="27" fillId="0" borderId="60" xfId="0" applyFont="1" applyBorder="1" applyAlignment="1">
      <alignment horizontal="center"/>
    </xf>
    <xf numFmtId="1" fontId="27" fillId="0" borderId="83" xfId="0" applyFont="1" applyBorder="1" applyAlignment="1">
      <alignment horizontal="center"/>
    </xf>
    <xf numFmtId="1" fontId="27" fillId="0" borderId="23" xfId="0" applyFont="1" applyBorder="1" applyAlignment="1">
      <alignment horizontal="center"/>
    </xf>
    <xf numFmtId="1" fontId="27" fillId="0" borderId="61" xfId="0" applyFont="1" applyBorder="1" applyAlignment="1">
      <alignment horizontal="center"/>
    </xf>
    <xf numFmtId="1" fontId="27" fillId="0" borderId="24" xfId="0" applyFont="1" applyBorder="1" applyAlignment="1">
      <alignment horizontal="center"/>
    </xf>
    <xf numFmtId="1" fontId="27" fillId="0" borderId="63" xfId="0" applyFont="1" applyBorder="1" applyAlignment="1">
      <alignment horizontal="center"/>
    </xf>
    <xf numFmtId="1" fontId="0" fillId="0" borderId="70" xfId="0" applyBorder="1" applyAlignment="1">
      <alignment horizontal="center"/>
    </xf>
    <xf numFmtId="1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" fontId="1" fillId="0" borderId="0" xfId="0" applyFont="1" applyAlignment="1">
      <alignment horizontal="left" vertical="center" wrapText="1"/>
    </xf>
    <xf numFmtId="1" fontId="1" fillId="0" borderId="0" xfId="0" applyFont="1" applyAlignment="1">
      <alignment horizontal="left"/>
    </xf>
    <xf numFmtId="1" fontId="1" fillId="0" borderId="70" xfId="0" applyFont="1" applyBorder="1" applyAlignment="1">
      <alignment horizontal="center"/>
    </xf>
  </cellXfs>
  <cellStyles count="6">
    <cellStyle name="Bad" xfId="1" builtinId="27"/>
    <cellStyle name="Comma" xfId="2" builtinId="3"/>
    <cellStyle name="Good" xfId="3" builtinId="26"/>
    <cellStyle name="Neutral" xfId="4" builtinId="28"/>
    <cellStyle name="Normal" xfId="0" builtinId="0"/>
    <cellStyle name="Percent" xfId="5" builtinId="5"/>
  </cellStyles>
  <dxfs count="49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5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color rgb="FF9C0006"/>
      </font>
    </dxf>
    <dxf>
      <font>
        <strike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theme="5"/>
        </patternFill>
      </fill>
    </dxf>
    <dxf>
      <font>
        <b/>
        <i val="0"/>
        <color theme="1"/>
      </font>
      <fill>
        <patternFill>
          <bgColor rgb="FFF97059"/>
        </patternFill>
      </fill>
    </dxf>
    <dxf>
      <font>
        <b/>
        <i val="0"/>
        <color theme="1"/>
      </font>
      <fill>
        <patternFill>
          <bgColor rgb="FF15E14F"/>
        </patternFill>
      </fill>
    </dxf>
    <dxf>
      <font>
        <b/>
        <i val="0"/>
      </font>
      <fill>
        <patternFill>
          <bgColor rgb="FF41F552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4.xml"/><Relationship Id="rId17" Type="http://schemas.openxmlformats.org/officeDocument/2006/relationships/chartsheet" Target="chartsheets/sheet9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7.xml"/><Relationship Id="rId23" Type="http://schemas.openxmlformats.org/officeDocument/2006/relationships/customXml" Target="../customXml/item2.xml"/><Relationship Id="rId10" Type="http://schemas.openxmlformats.org/officeDocument/2006/relationships/chartsheet" Target="chartsheets/sheet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chartsheet" Target="chartsheets/sheet6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Groundnut Production and Yield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'DATA-Grondbone - Groundnuts'!$A$6</c:f>
              <c:strCache>
                <c:ptCount val="1"/>
                <c:pt idx="0">
                  <c:v>NOK produksie skatting/CEC crop estimate (ha)</c:v>
                </c:pt>
              </c:strCache>
            </c:strRef>
          </c:tx>
          <c:invertIfNegative val="0"/>
          <c:cat>
            <c:multiLvlStrRef>
              <c:f>'DATA-Grondbone - Groundnuts'!$B$3:$T$3</c:f>
            </c:multiLvlStrRef>
          </c:cat>
          <c:val>
            <c:numRef>
              <c:f>'DATA-Grondbone - Groundnuts'!$B$6:$T$6</c:f>
            </c:numRef>
          </c:val>
          <c:extLst>
            <c:ext xmlns:c16="http://schemas.microsoft.com/office/drawing/2014/chart" uri="{C3380CC4-5D6E-409C-BE32-E72D297353CC}">
              <c16:uniqueId val="{00000000-8681-461E-B919-594C01E8A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94056992"/>
        <c:axId val="1"/>
      </c:barChart>
      <c:lineChart>
        <c:grouping val="standard"/>
        <c:varyColors val="0"/>
        <c:ser>
          <c:idx val="1"/>
          <c:order val="0"/>
          <c:tx>
            <c:strRef>
              <c:f>'DATA-Grondbone - Groundnuts'!$A$5</c:f>
              <c:strCache>
                <c:ptCount val="1"/>
                <c:pt idx="0">
                  <c:v>Opbrengs/Yield (ton/ha)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val>
            <c:numRef>
              <c:f>'DATA-Grondbone - Groundnuts'!$B$5:$T$5</c:f>
            </c:numRef>
          </c:val>
          <c:smooth val="0"/>
          <c:extLst>
            <c:ext xmlns:c16="http://schemas.microsoft.com/office/drawing/2014/chart" uri="{C3380CC4-5D6E-409C-BE32-E72D297353CC}">
              <c16:uniqueId val="{00000001-8681-461E-B919-594C01E8A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405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000 ton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4056992"/>
        <c:crosses val="max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autoZero"/>
        <c:crossBetween val="between"/>
        <c:majorUnit val="0.25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6675190781008502"/>
          <c:y val="0.98825831905081274"/>
          <c:w val="0.96675190781008502"/>
          <c:h val="1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Groundnut Imports and Exports
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'DATA-Grondbone - Groundnuts'!$A$16</c:f>
              <c:strCache>
                <c:ptCount val="1"/>
                <c:pt idx="0">
                  <c:v>Invoere / Imports</c:v>
                </c:pt>
              </c:strCache>
            </c:strRef>
          </c:tx>
          <c:invertIfNegative val="0"/>
          <c:cat>
            <c:multiLvlStrRef>
              <c:f>'DATA-Grondbone - Groundnuts'!$B$3:$T$3</c:f>
            </c:multiLvlStrRef>
          </c:cat>
          <c:val>
            <c:numRef>
              <c:f>'DATA-Grondbone - Groundnuts'!$B$16:$T$16</c:f>
            </c:numRef>
          </c:val>
          <c:extLst>
            <c:ext xmlns:c16="http://schemas.microsoft.com/office/drawing/2014/chart" uri="{C3380CC4-5D6E-409C-BE32-E72D297353CC}">
              <c16:uniqueId val="{00000000-008B-49F9-8BAB-3881BF9793BD}"/>
            </c:ext>
          </c:extLst>
        </c:ser>
        <c:ser>
          <c:idx val="0"/>
          <c:order val="1"/>
          <c:tx>
            <c:strRef>
              <c:f>'DATA-Grondbone - Groundnuts'!$A$34</c:f>
              <c:strCache>
                <c:ptCount val="1"/>
                <c:pt idx="0">
                  <c:v>   Uitvoere / Exports </c:v>
                </c:pt>
              </c:strCache>
            </c:strRef>
          </c:tx>
          <c:invertIfNegative val="0"/>
          <c:cat>
            <c:multiLvlStrRef>
              <c:f>'DATA-Grondbone - Groundnuts'!$B$3:$T$3</c:f>
            </c:multiLvlStrRef>
          </c:cat>
          <c:val>
            <c:numRef>
              <c:f>'DATA-Grondbone - Groundnuts'!$B$34:$T$34</c:f>
            </c:numRef>
          </c:val>
          <c:extLst>
            <c:ext xmlns:c16="http://schemas.microsoft.com/office/drawing/2014/chart" uri="{C3380CC4-5D6E-409C-BE32-E72D297353CC}">
              <c16:uniqueId val="{00000001-008B-49F9-8BAB-3881BF979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94080280"/>
        <c:axId val="1"/>
      </c:barChart>
      <c:catAx>
        <c:axId val="59408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000 ton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4080280"/>
        <c:crosses val="max"/>
        <c:crossBetween val="between"/>
        <c:majorUnit val="5"/>
      </c:valAx>
      <c:spPr>
        <a:ln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Soyabean Imports and Exports
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'DATA-Sojabone - Soybean'!$A$18</c:f>
              <c:strCache>
                <c:ptCount val="1"/>
                <c:pt idx="0">
                  <c:v>Invoere / Imports</c:v>
                </c:pt>
              </c:strCache>
            </c:strRef>
          </c:tx>
          <c:invertIfNegative val="0"/>
          <c:cat>
            <c:multiLvlStrRef>
              <c:f>'DATA-Sojabone - Soybean'!$B$5:$V$5</c:f>
            </c:multiLvlStrRef>
          </c:cat>
          <c:val>
            <c:numRef>
              <c:f>'DATA-Sojabone - Soybean'!$B$18:$V$18</c:f>
            </c:numRef>
          </c:val>
          <c:extLst>
            <c:ext xmlns:c16="http://schemas.microsoft.com/office/drawing/2014/chart" uri="{C3380CC4-5D6E-409C-BE32-E72D297353CC}">
              <c16:uniqueId val="{00000000-3DE2-4C36-8859-6713CED6D7B7}"/>
            </c:ext>
          </c:extLst>
        </c:ser>
        <c:ser>
          <c:idx val="0"/>
          <c:order val="1"/>
          <c:tx>
            <c:strRef>
              <c:f>'DATA-Sojabone - Soybean'!$A$36</c:f>
              <c:strCache>
                <c:ptCount val="1"/>
                <c:pt idx="0">
                  <c:v>   Uitvoere / Exports </c:v>
                </c:pt>
              </c:strCache>
            </c:strRef>
          </c:tx>
          <c:invertIfNegative val="0"/>
          <c:cat>
            <c:multiLvlStrRef>
              <c:f>'DATA-Sojabone - Soybean'!$B$5:$V$5</c:f>
            </c:multiLvlStrRef>
          </c:cat>
          <c:val>
            <c:numRef>
              <c:f>'DATA-Sojabone - Soybean'!$B$36:$V$36</c:f>
            </c:numRef>
          </c:val>
          <c:extLst>
            <c:ext xmlns:c16="http://schemas.microsoft.com/office/drawing/2014/chart" uri="{C3380CC4-5D6E-409C-BE32-E72D297353CC}">
              <c16:uniqueId val="{00000001-3DE2-4C36-8859-6713CED6D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94068800"/>
        <c:axId val="1"/>
      </c:barChart>
      <c:catAx>
        <c:axId val="59406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000 ton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4068800"/>
        <c:crosses val="max"/>
        <c:crossBetween val="between"/>
        <c:maj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074882553872194"/>
          <c:y val="0.78115493844026596"/>
          <c:w val="0.79074882553872194"/>
          <c:h val="0.79331308941271927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Sunflowerseed Imports and Exports
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'DATA-S blom-S Seeds'!$A$33</c:f>
              <c:strCache>
                <c:ptCount val="1"/>
                <c:pt idx="0">
                  <c:v>   Uitvoere / Exports </c:v>
                </c:pt>
              </c:strCache>
            </c:strRef>
          </c:tx>
          <c:invertIfNegative val="0"/>
          <c:cat>
            <c:multiLvlStrRef>
              <c:f>'DATA-Sojabone - Soybean'!$B$5:$V$5</c:f>
            </c:multiLvlStrRef>
          </c:cat>
          <c:val>
            <c:numRef>
              <c:f>'DATA-S blom-S Seeds'!$B$33:$V$33</c:f>
            </c:numRef>
          </c:val>
          <c:extLst>
            <c:ext xmlns:c16="http://schemas.microsoft.com/office/drawing/2014/chart" uri="{C3380CC4-5D6E-409C-BE32-E72D297353CC}">
              <c16:uniqueId val="{00000000-DDA4-4223-900F-5BA1161494E0}"/>
            </c:ext>
          </c:extLst>
        </c:ser>
        <c:ser>
          <c:idx val="0"/>
          <c:order val="1"/>
          <c:tx>
            <c:strRef>
              <c:f>'DATA-S blom-S Seeds'!$A$16</c:f>
              <c:strCache>
                <c:ptCount val="1"/>
                <c:pt idx="0">
                  <c:v>*Invoere / Imports</c:v>
                </c:pt>
              </c:strCache>
            </c:strRef>
          </c:tx>
          <c:invertIfNegative val="0"/>
          <c:cat>
            <c:multiLvlStrRef>
              <c:f>'DATA-Sojabone - Soybean'!$B$5:$V$5</c:f>
            </c:multiLvlStrRef>
          </c:cat>
          <c:val>
            <c:numRef>
              <c:f>'DATA-S blom-S Seeds'!$B$16:$V$16</c:f>
            </c:numRef>
          </c:val>
          <c:extLst>
            <c:ext xmlns:c16="http://schemas.microsoft.com/office/drawing/2014/chart" uri="{C3380CC4-5D6E-409C-BE32-E72D297353CC}">
              <c16:uniqueId val="{00000001-DDA4-4223-900F-5BA116149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62856032"/>
        <c:axId val="1"/>
      </c:barChart>
      <c:catAx>
        <c:axId val="86285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000 ton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2856032"/>
        <c:crosses val="max"/>
        <c:crossBetween val="between"/>
        <c:majorUnit val="5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955952288142207"/>
          <c:y val="0.78115493844026596"/>
          <c:w val="0.79955952288142207"/>
          <c:h val="0.79331308941271927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Sunflowerseed Production and Yield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'DATA-S blom-S Seeds'!$A$6</c:f>
              <c:strCache>
                <c:ptCount val="1"/>
                <c:pt idx="0">
                  <c:v>NOK produksie skatting/CEC crop estimate ('000ton)</c:v>
                </c:pt>
              </c:strCache>
            </c:strRef>
          </c:tx>
          <c:invertIfNegative val="0"/>
          <c:cat>
            <c:multiLvlStrRef>
              <c:f>'DATA-Sojabone - Soybean'!$B$5:$V$5</c:f>
            </c:multiLvlStrRef>
          </c:cat>
          <c:val>
            <c:numRef>
              <c:f>'DATA-S blom-S Seeds'!$B$6:$V$6</c:f>
            </c:numRef>
          </c:val>
          <c:extLst>
            <c:ext xmlns:c16="http://schemas.microsoft.com/office/drawing/2014/chart" uri="{C3380CC4-5D6E-409C-BE32-E72D297353CC}">
              <c16:uniqueId val="{00000000-77BF-4020-897D-CE32DD4BA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62857672"/>
        <c:axId val="1"/>
      </c:barChart>
      <c:lineChart>
        <c:grouping val="standard"/>
        <c:varyColors val="0"/>
        <c:ser>
          <c:idx val="1"/>
          <c:order val="0"/>
          <c:tx>
            <c:strRef>
              <c:f>'DATA-S blom-S Seeds'!$A$5</c:f>
              <c:strCache>
                <c:ptCount val="1"/>
                <c:pt idx="0">
                  <c:v>Opbrengs/Yield (ton/ha)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val>
            <c:numRef>
              <c:f>'DATA-Sojabone - Soybean'!$B$7:$V$7</c:f>
            </c:numRef>
          </c:val>
          <c:smooth val="0"/>
          <c:extLst>
            <c:ext xmlns:c16="http://schemas.microsoft.com/office/drawing/2014/chart" uri="{C3380CC4-5D6E-409C-BE32-E72D297353CC}">
              <c16:uniqueId val="{00000001-77BF-4020-897D-CE32DD4BA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285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000 ton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2857672"/>
        <c:crosses val="max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autoZero"/>
        <c:crossBetween val="between"/>
        <c:majorUnit val="0.25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0527648565382"/>
          <c:y val="0.78419463142816925"/>
          <c:w val="0.7940527648565382"/>
          <c:h val="0.79635278240062257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'DATA-S blom-S Seeds'!$A$6</c:f>
              <c:strCache>
                <c:ptCount val="1"/>
                <c:pt idx="0">
                  <c:v>NOK produksie skatting/CEC crop estimate ('000ton)</c:v>
                </c:pt>
              </c:strCache>
            </c:strRef>
          </c:tx>
          <c:invertIfNegative val="0"/>
          <c:cat>
            <c:multiLvlStrRef>
              <c:f>'DATA-S blom-S Seeds'!$B$3:$W$3</c:f>
            </c:multiLvlStrRef>
          </c:cat>
          <c:val>
            <c:numRef>
              <c:f>'DATA-S blom-S Seeds'!$B$6:$W$6</c:f>
            </c:numRef>
          </c:val>
          <c:extLst>
            <c:ext xmlns:c16="http://schemas.microsoft.com/office/drawing/2014/chart" uri="{C3380CC4-5D6E-409C-BE32-E72D297353CC}">
              <c16:uniqueId val="{00000000-46D9-4C10-BD7A-57CF6CF5642C}"/>
            </c:ext>
          </c:extLst>
        </c:ser>
        <c:ser>
          <c:idx val="1"/>
          <c:order val="1"/>
          <c:tx>
            <c:strRef>
              <c:f>'DATA-S blom-S Seeds'!$A$32</c:f>
              <c:strCache>
                <c:ptCount val="1"/>
                <c:pt idx="0">
                  <c:v>Totaal RSA sonneblomsaadverbruik / Total RSA sunflowerseed demand</c:v>
                </c:pt>
              </c:strCache>
            </c:strRef>
          </c:tx>
          <c:invertIfNegative val="0"/>
          <c:cat>
            <c:multiLvlStrRef>
              <c:f>'DATA-S blom-S Seeds'!$B$3:$W$3</c:f>
            </c:multiLvlStrRef>
          </c:cat>
          <c:val>
            <c:numRef>
              <c:f>'DATA-S blom-S Seeds'!$B$32:$W$32</c:f>
            </c:numRef>
          </c:val>
          <c:extLst>
            <c:ext xmlns:c16="http://schemas.microsoft.com/office/drawing/2014/chart" uri="{C3380CC4-5D6E-409C-BE32-E72D297353CC}">
              <c16:uniqueId val="{00000001-46D9-4C10-BD7A-57CF6CF56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860624"/>
        <c:axId val="1"/>
      </c:barChart>
      <c:catAx>
        <c:axId val="86286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2860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'DATA-Sojabone - Soybean'!$A$8</c:f>
              <c:strCache>
                <c:ptCount val="1"/>
                <c:pt idx="0">
                  <c:v>NOK produksie skatting/CEC crop estimate ('000ton)</c:v>
                </c:pt>
              </c:strCache>
            </c:strRef>
          </c:tx>
          <c:invertIfNegative val="0"/>
          <c:cat>
            <c:multiLvlStrRef>
              <c:f>'DATA-Sojabone - Soybean'!$B$5:$W$5</c:f>
            </c:multiLvlStrRef>
          </c:cat>
          <c:val>
            <c:numRef>
              <c:f>'DATA-Sojabone - Soybean'!$B$8:$W$8</c:f>
            </c:numRef>
          </c:val>
          <c:extLst>
            <c:ext xmlns:c16="http://schemas.microsoft.com/office/drawing/2014/chart" uri="{C3380CC4-5D6E-409C-BE32-E72D297353CC}">
              <c16:uniqueId val="{00000000-1C50-43AA-B55D-CC6DCE929B7A}"/>
            </c:ext>
          </c:extLst>
        </c:ser>
        <c:ser>
          <c:idx val="1"/>
          <c:order val="1"/>
          <c:tx>
            <c:strRef>
              <c:f>'DATA-Sojabone - Soybean'!$A$35</c:f>
              <c:strCache>
                <c:ptCount val="1"/>
                <c:pt idx="0">
                  <c:v>Totaal RSA sojaboon verbruik / Total RSA soybean demand</c:v>
                </c:pt>
              </c:strCache>
            </c:strRef>
          </c:tx>
          <c:invertIfNegative val="0"/>
          <c:cat>
            <c:multiLvlStrRef>
              <c:f>'DATA-Sojabone - Soybean'!$B$5:$W$5</c:f>
            </c:multiLvlStrRef>
          </c:cat>
          <c:val>
            <c:numRef>
              <c:f>'DATA-Sojabone - Soybean'!$B$35:$W$35</c:f>
            </c:numRef>
          </c:val>
          <c:extLst>
            <c:ext xmlns:c16="http://schemas.microsoft.com/office/drawing/2014/chart" uri="{C3380CC4-5D6E-409C-BE32-E72D297353CC}">
              <c16:uniqueId val="{00000001-1C50-43AA-B55D-CC6DCE929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65192"/>
        <c:axId val="1"/>
      </c:barChart>
      <c:catAx>
        <c:axId val="594065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4065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4669606068218375"/>
          <c:y val="0.47720364804557158"/>
          <c:w val="0.79955952288142207"/>
          <c:h val="0.50607897198969998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Soybean Production and Yield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'DATA-Sojabone - Soybean'!$A$8</c:f>
              <c:strCache>
                <c:ptCount val="1"/>
                <c:pt idx="0">
                  <c:v>NOK produksie skatting/CEC crop estimate ('000ton)</c:v>
                </c:pt>
              </c:strCache>
            </c:strRef>
          </c:tx>
          <c:invertIfNegative val="0"/>
          <c:cat>
            <c:multiLvlStrRef>
              <c:f>'DATA-Sojabone - Soybean'!$B$5:$V$5</c:f>
            </c:multiLvlStrRef>
          </c:cat>
          <c:val>
            <c:numRef>
              <c:f>'DATA-Sojabone - Soybean'!$B$8:$V$8</c:f>
            </c:numRef>
          </c:val>
          <c:extLst>
            <c:ext xmlns:c16="http://schemas.microsoft.com/office/drawing/2014/chart" uri="{C3380CC4-5D6E-409C-BE32-E72D297353CC}">
              <c16:uniqueId val="{00000000-D12B-4DC4-B0E5-7D914F41A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94057976"/>
        <c:axId val="1"/>
      </c:barChart>
      <c:lineChart>
        <c:grouping val="standard"/>
        <c:varyColors val="0"/>
        <c:ser>
          <c:idx val="1"/>
          <c:order val="0"/>
          <c:tx>
            <c:strRef>
              <c:f>'DATA-Sojabone - Soybean'!$A$7</c:f>
              <c:strCache>
                <c:ptCount val="1"/>
                <c:pt idx="0">
                  <c:v>Opbrengs/Yield (ton/ha)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val>
            <c:numRef>
              <c:f>'DATA-Sojabone - Soybean'!$B$7:$V$7</c:f>
            </c:numRef>
          </c:val>
          <c:smooth val="0"/>
          <c:extLst>
            <c:ext xmlns:c16="http://schemas.microsoft.com/office/drawing/2014/chart" uri="{C3380CC4-5D6E-409C-BE32-E72D297353CC}">
              <c16:uniqueId val="{00000001-D12B-4DC4-B0E5-7D914F41A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405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000 ton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4057976"/>
        <c:crosses val="max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autoZero"/>
        <c:crossBetween val="between"/>
        <c:majorUnit val="0.25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744503059229809"/>
          <c:y val="0.78419463142816925"/>
          <c:w val="0.78744503059229809"/>
          <c:h val="0.79635278240062257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Soybean and Sunflowerseed Consumption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'DATA-Sojabone - Soybean'!$A$35</c:f>
              <c:strCache>
                <c:ptCount val="1"/>
                <c:pt idx="0">
                  <c:v>Totaal RSA sojaboon verbruik / Total RSA soybean demand</c:v>
                </c:pt>
              </c:strCache>
            </c:strRef>
          </c:tx>
          <c:invertIfNegative val="0"/>
          <c:cat>
            <c:multiLvlStrRef>
              <c:f>'DATA-Sojabone - Soybean'!$B$5:$V$5</c:f>
            </c:multiLvlStrRef>
          </c:cat>
          <c:val>
            <c:numRef>
              <c:f>'DATA-Sojabone - Soybean'!$B$35:$V$35</c:f>
            </c:numRef>
          </c:val>
          <c:extLst>
            <c:ext xmlns:c16="http://schemas.microsoft.com/office/drawing/2014/chart" uri="{C3380CC4-5D6E-409C-BE32-E72D297353CC}">
              <c16:uniqueId val="{00000000-D07C-4F3A-BDE7-127BA1AFD4C0}"/>
            </c:ext>
          </c:extLst>
        </c:ser>
        <c:ser>
          <c:idx val="0"/>
          <c:order val="1"/>
          <c:tx>
            <c:strRef>
              <c:f>'DATA-S blom-S Seeds'!$A$32</c:f>
              <c:strCache>
                <c:ptCount val="1"/>
                <c:pt idx="0">
                  <c:v>Totaal RSA sonneblomsaadverbruik / Total RSA sunflowerseed demand</c:v>
                </c:pt>
              </c:strCache>
            </c:strRef>
          </c:tx>
          <c:invertIfNegative val="0"/>
          <c:cat>
            <c:multiLvlStrRef>
              <c:f>'DATA-Sojabone - Soybean'!$B$5:$V$5</c:f>
            </c:multiLvlStrRef>
          </c:cat>
          <c:val>
            <c:numRef>
              <c:f>'DATA-S blom-S Seeds'!$B$32:$V$32</c:f>
            </c:numRef>
          </c:val>
          <c:extLst>
            <c:ext xmlns:c16="http://schemas.microsoft.com/office/drawing/2014/chart" uri="{C3380CC4-5D6E-409C-BE32-E72D297353CC}">
              <c16:uniqueId val="{00000001-D07C-4F3A-BDE7-127BA1AFD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94052728"/>
        <c:axId val="1"/>
      </c:barChart>
      <c:catAx>
        <c:axId val="59405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000 ton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4052728"/>
        <c:crosses val="max"/>
        <c:crossBetween val="between"/>
        <c:majorUnit val="5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955952288142207"/>
          <c:y val="0.78419463142816925"/>
          <c:w val="0.79955952288142207"/>
          <c:h val="0.79635278240062257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2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2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82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86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6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82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1744135</xdr:colOff>
      <xdr:row>7</xdr:row>
      <xdr:rowOff>118533</xdr:rowOff>
    </xdr:from>
    <xdr:to>
      <xdr:col>2</xdr:col>
      <xdr:colOff>5427152</xdr:colOff>
      <xdr:row>28</xdr:row>
      <xdr:rowOff>135466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BF55D7-ED78-709A-EDFF-031879631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802" y="1727200"/>
          <a:ext cx="3673492" cy="32342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6926580" cy="4831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84E199-F075-941B-5E4F-98C7C32567A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414260" cy="4831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F11FEE-02D4-FE3C-13CC-0C136BBD0D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926580" cy="4831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DD64C9-4C0A-F1A2-6CA2-6FD832C3A0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926580" cy="4831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6E0009-9D5B-28B2-FFA1-6B5824C53D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926580" cy="4831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70F599-3912-1AF3-6767-F9821D6C73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6926580" cy="4831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4A11BA-C97A-4A04-EAE6-4FEC71CDCA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6926580" cy="4831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892195-3EC3-B470-2328-109F14400D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6926580" cy="4831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C67AE1-E456-09E8-7B24-528A27EBFE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926580" cy="4831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6587D0-E035-A0E8-C507-1A4F6A12A2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C522"/>
  <sheetViews>
    <sheetView tabSelected="1" topLeftCell="B1" zoomScale="90" workbookViewId="0">
      <selection activeCell="I20" sqref="I20"/>
    </sheetView>
  </sheetViews>
  <sheetFormatPr defaultRowHeight="12" customHeight="1" x14ac:dyDescent="0.25"/>
  <cols>
    <col min="1" max="1" width="45.109375" customWidth="1"/>
    <col min="2" max="2" width="2.44140625" customWidth="1"/>
    <col min="3" max="3" width="112.33203125" customWidth="1"/>
    <col min="6" max="6" width="15.6640625" bestFit="1" customWidth="1"/>
    <col min="27" max="30" width="13.77734375" customWidth="1"/>
  </cols>
  <sheetData>
    <row r="1" spans="3:3" s="4" customFormat="1" ht="20.100000000000001" customHeight="1" x14ac:dyDescent="0.4">
      <c r="C1" s="259"/>
    </row>
    <row r="2" spans="3:3" s="4" customFormat="1" ht="20.100000000000001" customHeight="1" x14ac:dyDescent="0.4">
      <c r="C2" s="259" t="s">
        <v>0</v>
      </c>
    </row>
    <row r="3" spans="3:3" s="4" customFormat="1" ht="27" customHeight="1" x14ac:dyDescent="0.4">
      <c r="C3" s="259"/>
    </row>
    <row r="4" spans="3:3" s="3" customFormat="1" ht="12" customHeight="1" x14ac:dyDescent="0.25">
      <c r="C4" s="825" t="s">
        <v>1</v>
      </c>
    </row>
    <row r="5" spans="3:3" s="3" customFormat="1" ht="12" customHeight="1" x14ac:dyDescent="0.25">
      <c r="C5" s="826">
        <v>45322</v>
      </c>
    </row>
    <row r="6" spans="3:3" s="3" customFormat="1" ht="12" customHeight="1" x14ac:dyDescent="0.25">
      <c r="C6"/>
    </row>
    <row r="7" spans="3:3" s="3" customFormat="1" ht="15.75" customHeight="1" x14ac:dyDescent="0.25">
      <c r="C7" s="260" t="s">
        <v>201</v>
      </c>
    </row>
    <row r="8" spans="3:3" s="3" customFormat="1" ht="12" customHeight="1" x14ac:dyDescent="0.3">
      <c r="C8" s="261"/>
    </row>
    <row r="9" spans="3:3" s="3" customFormat="1" ht="12" customHeight="1" x14ac:dyDescent="0.25">
      <c r="C9" s="262"/>
    </row>
    <row r="10" spans="3:3" s="3" customFormat="1" ht="12" customHeight="1" x14ac:dyDescent="0.25">
      <c r="C10" s="262"/>
    </row>
    <row r="11" spans="3:3" s="3" customFormat="1" ht="12" customHeight="1" x14ac:dyDescent="0.25">
      <c r="C11" s="262"/>
    </row>
    <row r="12" spans="3:3" s="3" customFormat="1" ht="12" customHeight="1" x14ac:dyDescent="0.25">
      <c r="C12" s="262"/>
    </row>
    <row r="13" spans="3:3" s="3" customFormat="1" ht="12" customHeight="1" x14ac:dyDescent="0.25">
      <c r="C13" s="262"/>
    </row>
    <row r="14" spans="3:3" s="3" customFormat="1" ht="12" customHeight="1" x14ac:dyDescent="0.25">
      <c r="C14" s="260"/>
    </row>
    <row r="15" spans="3:3" s="3" customFormat="1" ht="12" customHeight="1" x14ac:dyDescent="0.25">
      <c r="C15" s="260"/>
    </row>
    <row r="16" spans="3:3" s="3" customFormat="1" ht="12" customHeight="1" x14ac:dyDescent="0.25">
      <c r="C16" s="260"/>
    </row>
    <row r="17" spans="3:3" s="3" customFormat="1" ht="12" customHeight="1" x14ac:dyDescent="0.25">
      <c r="C17" s="260"/>
    </row>
    <row r="18" spans="3:3" s="3" customFormat="1" ht="12" customHeight="1" x14ac:dyDescent="0.25">
      <c r="C18" s="260"/>
    </row>
    <row r="19" spans="3:3" s="3" customFormat="1" ht="12" customHeight="1" x14ac:dyDescent="0.25">
      <c r="C19" s="260"/>
    </row>
    <row r="20" spans="3:3" s="3" customFormat="1" ht="12" customHeight="1" x14ac:dyDescent="0.25">
      <c r="C20" s="263"/>
    </row>
    <row r="21" spans="3:3" s="3" customFormat="1" ht="12" customHeight="1" x14ac:dyDescent="0.25">
      <c r="C21" s="264"/>
    </row>
    <row r="22" spans="3:3" s="3" customFormat="1" ht="12" customHeight="1" x14ac:dyDescent="0.25">
      <c r="C22" s="263"/>
    </row>
    <row r="23" spans="3:3" s="3" customFormat="1" ht="12" customHeight="1" x14ac:dyDescent="0.25">
      <c r="C23" s="263"/>
    </row>
    <row r="24" spans="3:3" s="3" customFormat="1" ht="13.2" x14ac:dyDescent="0.25">
      <c r="C24" s="260"/>
    </row>
    <row r="25" spans="3:3" s="3" customFormat="1" ht="12" customHeight="1" x14ac:dyDescent="0.25">
      <c r="C25" s="260"/>
    </row>
    <row r="26" spans="3:3" s="3" customFormat="1" ht="12" customHeight="1" x14ac:dyDescent="0.25">
      <c r="C26" s="260"/>
    </row>
    <row r="27" spans="3:3" s="3" customFormat="1" ht="12" customHeight="1" x14ac:dyDescent="0.25">
      <c r="C27" s="260"/>
    </row>
    <row r="28" spans="3:3" s="3" customFormat="1" ht="12" customHeight="1" x14ac:dyDescent="0.25">
      <c r="C28" s="260"/>
    </row>
    <row r="29" spans="3:3" s="3" customFormat="1" ht="12" customHeight="1" x14ac:dyDescent="0.25">
      <c r="C29" s="260"/>
    </row>
    <row r="30" spans="3:3" s="3" customFormat="1" ht="12" customHeight="1" x14ac:dyDescent="0.25">
      <c r="C30" s="260"/>
    </row>
    <row r="31" spans="3:3" s="3" customFormat="1" ht="12" customHeight="1" x14ac:dyDescent="0.3">
      <c r="C31" s="265" t="s">
        <v>2</v>
      </c>
    </row>
    <row r="32" spans="3:3" s="3" customFormat="1" ht="12" customHeight="1" x14ac:dyDescent="0.25">
      <c r="C32" s="260"/>
    </row>
    <row r="33" s="3" customFormat="1" ht="12" customHeight="1" x14ac:dyDescent="0.25"/>
    <row r="34" s="3" customFormat="1" ht="12" customHeight="1" x14ac:dyDescent="0.25"/>
    <row r="35" s="3" customFormat="1" ht="12" customHeight="1" x14ac:dyDescent="0.25"/>
    <row r="36" s="3" customFormat="1" ht="12" customHeight="1" x14ac:dyDescent="0.25"/>
    <row r="37" s="3" customFormat="1" ht="12" customHeight="1" x14ac:dyDescent="0.25"/>
    <row r="38" s="3" customFormat="1" ht="12" customHeight="1" x14ac:dyDescent="0.25"/>
    <row r="39" s="3" customFormat="1" ht="12" customHeight="1" x14ac:dyDescent="0.25"/>
    <row r="40" s="3" customFormat="1" ht="12" customHeight="1" x14ac:dyDescent="0.25"/>
    <row r="41" s="3" customFormat="1" ht="12" customHeight="1" x14ac:dyDescent="0.25"/>
    <row r="42" s="3" customFormat="1" ht="12" customHeight="1" x14ac:dyDescent="0.25"/>
    <row r="43" s="3" customFormat="1" ht="12" customHeight="1" x14ac:dyDescent="0.25"/>
    <row r="44" s="3" customFormat="1" ht="12" customHeight="1" x14ac:dyDescent="0.25"/>
    <row r="45" s="3" customFormat="1" ht="12" customHeight="1" x14ac:dyDescent="0.25"/>
    <row r="46" s="3" customFormat="1" ht="12" customHeight="1" x14ac:dyDescent="0.25"/>
    <row r="47" s="3" customFormat="1" ht="12" customHeight="1" x14ac:dyDescent="0.25"/>
    <row r="48" s="3" customFormat="1" ht="12" customHeight="1" x14ac:dyDescent="0.25"/>
    <row r="49" s="3" customFormat="1" ht="12" customHeight="1" x14ac:dyDescent="0.25"/>
    <row r="50" s="3" customFormat="1" ht="12" customHeight="1" x14ac:dyDescent="0.25"/>
    <row r="51" s="3" customFormat="1" ht="12" customHeight="1" x14ac:dyDescent="0.25"/>
    <row r="52" s="3" customFormat="1" ht="12" customHeight="1" x14ac:dyDescent="0.25"/>
    <row r="53" s="3" customFormat="1" ht="12" customHeight="1" x14ac:dyDescent="0.25"/>
    <row r="54" s="3" customFormat="1" ht="12" customHeight="1" x14ac:dyDescent="0.25"/>
    <row r="55" s="3" customFormat="1" ht="12" customHeight="1" x14ac:dyDescent="0.25"/>
    <row r="56" s="3" customFormat="1" ht="12" customHeight="1" x14ac:dyDescent="0.25"/>
    <row r="57" s="3" customFormat="1" ht="12" customHeight="1" x14ac:dyDescent="0.25"/>
    <row r="58" s="3" customFormat="1" ht="12" customHeight="1" x14ac:dyDescent="0.25"/>
    <row r="59" s="3" customFormat="1" ht="12" customHeight="1" x14ac:dyDescent="0.25"/>
    <row r="60" s="3" customFormat="1" ht="12" customHeight="1" x14ac:dyDescent="0.25"/>
    <row r="61" s="3" customFormat="1" ht="12" customHeight="1" x14ac:dyDescent="0.25"/>
    <row r="62" s="3" customFormat="1" ht="12" customHeight="1" x14ac:dyDescent="0.25"/>
    <row r="63" s="3" customFormat="1" ht="12" customHeight="1" x14ac:dyDescent="0.25"/>
    <row r="64" s="3" customFormat="1" ht="12" customHeight="1" x14ac:dyDescent="0.25"/>
    <row r="65" s="3" customFormat="1" ht="12" customHeight="1" x14ac:dyDescent="0.25"/>
    <row r="66" s="3" customFormat="1" ht="12" customHeight="1" x14ac:dyDescent="0.25"/>
    <row r="67" s="3" customFormat="1" ht="12" customHeight="1" x14ac:dyDescent="0.25"/>
    <row r="68" s="3" customFormat="1" ht="12" customHeight="1" x14ac:dyDescent="0.25"/>
    <row r="69" s="3" customFormat="1" ht="12" customHeight="1" x14ac:dyDescent="0.25"/>
    <row r="70" s="3" customFormat="1" ht="12" customHeight="1" x14ac:dyDescent="0.25"/>
    <row r="71" s="3" customFormat="1" ht="12" customHeight="1" x14ac:dyDescent="0.25"/>
    <row r="72" s="3" customFormat="1" ht="12" customHeight="1" x14ac:dyDescent="0.25"/>
    <row r="73" s="3" customFormat="1" ht="12" customHeight="1" x14ac:dyDescent="0.25"/>
    <row r="74" s="3" customFormat="1" ht="12" customHeight="1" x14ac:dyDescent="0.25"/>
    <row r="75" s="3" customFormat="1" ht="12" customHeight="1" x14ac:dyDescent="0.25"/>
    <row r="76" s="3" customFormat="1" ht="12" customHeight="1" x14ac:dyDescent="0.25"/>
    <row r="77" s="3" customFormat="1" ht="12" customHeight="1" x14ac:dyDescent="0.25"/>
    <row r="78" s="3" customFormat="1" ht="12" customHeight="1" x14ac:dyDescent="0.25"/>
    <row r="79" s="3" customFormat="1" ht="12" customHeight="1" x14ac:dyDescent="0.25"/>
    <row r="80" s="3" customFormat="1" ht="12" customHeight="1" x14ac:dyDescent="0.25"/>
    <row r="81" s="3" customFormat="1" ht="12" customHeight="1" x14ac:dyDescent="0.25"/>
    <row r="82" s="3" customFormat="1" ht="12" customHeight="1" x14ac:dyDescent="0.25"/>
    <row r="83" s="3" customFormat="1" ht="12" customHeight="1" x14ac:dyDescent="0.25"/>
    <row r="84" s="3" customFormat="1" ht="12" customHeight="1" x14ac:dyDescent="0.25"/>
    <row r="85" s="3" customFormat="1" ht="12" customHeight="1" x14ac:dyDescent="0.25"/>
    <row r="86" s="3" customFormat="1" ht="12" customHeight="1" x14ac:dyDescent="0.25"/>
    <row r="87" s="3" customFormat="1" ht="12" customHeight="1" x14ac:dyDescent="0.25"/>
    <row r="88" s="3" customFormat="1" ht="12" customHeight="1" x14ac:dyDescent="0.25"/>
    <row r="89" s="3" customFormat="1" ht="12" customHeight="1" x14ac:dyDescent="0.25"/>
    <row r="90" s="3" customFormat="1" ht="12" customHeight="1" x14ac:dyDescent="0.25"/>
    <row r="91" s="3" customFormat="1" ht="12" customHeight="1" x14ac:dyDescent="0.25"/>
    <row r="92" s="3" customFormat="1" ht="12" customHeight="1" x14ac:dyDescent="0.25"/>
    <row r="93" s="3" customFormat="1" ht="12" customHeight="1" x14ac:dyDescent="0.25"/>
    <row r="94" s="3" customFormat="1" ht="12" customHeight="1" x14ac:dyDescent="0.25"/>
    <row r="95" s="3" customFormat="1" ht="12" customHeight="1" x14ac:dyDescent="0.25"/>
    <row r="96" s="3" customFormat="1" ht="12" customHeight="1" x14ac:dyDescent="0.25"/>
    <row r="97" s="3" customFormat="1" ht="12" customHeight="1" x14ac:dyDescent="0.25"/>
    <row r="98" s="3" customFormat="1" ht="12" customHeight="1" x14ac:dyDescent="0.25"/>
    <row r="99" s="3" customFormat="1" ht="12" customHeight="1" x14ac:dyDescent="0.25"/>
    <row r="100" s="3" customFormat="1" ht="12" customHeight="1" x14ac:dyDescent="0.25"/>
    <row r="101" s="3" customFormat="1" ht="12" customHeight="1" x14ac:dyDescent="0.25"/>
    <row r="102" s="3" customFormat="1" ht="12" customHeight="1" x14ac:dyDescent="0.25"/>
    <row r="103" s="3" customFormat="1" ht="12" customHeight="1" x14ac:dyDescent="0.25"/>
    <row r="104" s="3" customFormat="1" ht="12" customHeight="1" x14ac:dyDescent="0.25"/>
    <row r="105" s="3" customFormat="1" ht="12" customHeight="1" x14ac:dyDescent="0.25"/>
    <row r="106" s="3" customFormat="1" ht="12" customHeight="1" x14ac:dyDescent="0.25"/>
    <row r="107" s="3" customFormat="1" ht="12" customHeight="1" x14ac:dyDescent="0.25"/>
    <row r="108" s="3" customFormat="1" ht="12" customHeight="1" x14ac:dyDescent="0.25"/>
    <row r="109" s="3" customFormat="1" ht="12" customHeight="1" x14ac:dyDescent="0.25"/>
    <row r="110" s="3" customFormat="1" ht="12" customHeight="1" x14ac:dyDescent="0.25"/>
    <row r="111" s="3" customFormat="1" ht="12" customHeight="1" x14ac:dyDescent="0.25"/>
    <row r="112" s="3" customFormat="1" ht="12" customHeight="1" x14ac:dyDescent="0.25"/>
    <row r="113" s="3" customFormat="1" ht="12" customHeight="1" x14ac:dyDescent="0.25"/>
    <row r="114" s="3" customFormat="1" ht="12" customHeight="1" x14ac:dyDescent="0.25"/>
    <row r="115" s="3" customFormat="1" ht="12" customHeight="1" x14ac:dyDescent="0.25"/>
    <row r="116" s="3" customFormat="1" ht="12" customHeight="1" x14ac:dyDescent="0.25"/>
    <row r="117" s="3" customFormat="1" ht="12" customHeight="1" x14ac:dyDescent="0.25"/>
    <row r="118" s="3" customFormat="1" ht="12" customHeight="1" x14ac:dyDescent="0.25"/>
    <row r="119" s="3" customFormat="1" ht="12" customHeight="1" x14ac:dyDescent="0.25"/>
    <row r="120" s="3" customFormat="1" ht="12" customHeight="1" x14ac:dyDescent="0.25"/>
    <row r="121" s="3" customFormat="1" ht="12" customHeight="1" x14ac:dyDescent="0.25"/>
    <row r="122" s="3" customFormat="1" ht="12" customHeight="1" x14ac:dyDescent="0.25"/>
    <row r="123" s="3" customFormat="1" ht="12" customHeight="1" x14ac:dyDescent="0.25"/>
    <row r="124" s="3" customFormat="1" ht="12" customHeight="1" x14ac:dyDescent="0.25"/>
    <row r="125" s="3" customFormat="1" ht="12" customHeight="1" x14ac:dyDescent="0.25"/>
    <row r="126" s="3" customFormat="1" ht="12" customHeight="1" x14ac:dyDescent="0.25"/>
    <row r="127" s="3" customFormat="1" ht="12" customHeight="1" x14ac:dyDescent="0.25"/>
    <row r="128" s="3" customFormat="1" ht="12" customHeight="1" x14ac:dyDescent="0.25"/>
    <row r="129" s="3" customFormat="1" ht="12" customHeight="1" x14ac:dyDescent="0.25"/>
    <row r="130" s="3" customFormat="1" ht="12" customHeight="1" x14ac:dyDescent="0.25"/>
    <row r="131" s="3" customFormat="1" ht="12" customHeight="1" x14ac:dyDescent="0.25"/>
    <row r="132" s="3" customFormat="1" ht="12" customHeight="1" x14ac:dyDescent="0.25"/>
    <row r="133" s="3" customFormat="1" ht="12" customHeight="1" x14ac:dyDescent="0.25"/>
    <row r="134" s="3" customFormat="1" ht="12" customHeight="1" x14ac:dyDescent="0.25"/>
    <row r="135" s="3" customFormat="1" ht="12" customHeight="1" x14ac:dyDescent="0.25"/>
    <row r="136" s="3" customFormat="1" ht="12" customHeight="1" x14ac:dyDescent="0.25"/>
    <row r="137" s="3" customFormat="1" ht="12" customHeight="1" x14ac:dyDescent="0.25"/>
    <row r="138" s="3" customFormat="1" ht="12" customHeight="1" x14ac:dyDescent="0.25"/>
    <row r="139" s="3" customFormat="1" ht="12" customHeight="1" x14ac:dyDescent="0.25"/>
    <row r="140" s="3" customFormat="1" ht="12" customHeight="1" x14ac:dyDescent="0.25"/>
    <row r="141" s="3" customFormat="1" ht="12" customHeight="1" x14ac:dyDescent="0.25"/>
    <row r="142" s="3" customFormat="1" ht="12" customHeight="1" x14ac:dyDescent="0.25"/>
    <row r="143" s="3" customFormat="1" ht="12" customHeight="1" x14ac:dyDescent="0.25"/>
    <row r="144" s="3" customFormat="1" ht="12" customHeight="1" x14ac:dyDescent="0.25"/>
    <row r="145" s="3" customFormat="1" ht="12" customHeight="1" x14ac:dyDescent="0.25"/>
    <row r="146" s="3" customFormat="1" ht="12" customHeight="1" x14ac:dyDescent="0.25"/>
    <row r="147" s="3" customFormat="1" ht="12" customHeight="1" x14ac:dyDescent="0.25"/>
    <row r="148" s="3" customFormat="1" ht="12" customHeight="1" x14ac:dyDescent="0.25"/>
    <row r="149" s="3" customFormat="1" ht="12" customHeight="1" x14ac:dyDescent="0.25"/>
    <row r="150" s="3" customFormat="1" ht="12" customHeight="1" x14ac:dyDescent="0.25"/>
    <row r="151" s="3" customFormat="1" ht="12" customHeight="1" x14ac:dyDescent="0.25"/>
    <row r="152" s="3" customFormat="1" ht="12" customHeight="1" x14ac:dyDescent="0.25"/>
    <row r="153" s="3" customFormat="1" ht="12" customHeight="1" x14ac:dyDescent="0.25"/>
    <row r="154" s="3" customFormat="1" ht="12" customHeight="1" x14ac:dyDescent="0.25"/>
    <row r="155" s="3" customFormat="1" ht="12" customHeight="1" x14ac:dyDescent="0.25"/>
    <row r="156" s="3" customFormat="1" ht="12" customHeight="1" x14ac:dyDescent="0.25"/>
    <row r="157" s="3" customFormat="1" ht="12" customHeight="1" x14ac:dyDescent="0.25"/>
    <row r="158" s="3" customFormat="1" ht="12" customHeight="1" x14ac:dyDescent="0.25"/>
    <row r="159" s="3" customFormat="1" ht="12" customHeight="1" x14ac:dyDescent="0.25"/>
    <row r="160" s="3" customFormat="1" ht="12" customHeight="1" x14ac:dyDescent="0.25"/>
    <row r="161" s="3" customFormat="1" ht="12" customHeight="1" x14ac:dyDescent="0.25"/>
    <row r="162" s="3" customFormat="1" ht="12" customHeight="1" x14ac:dyDescent="0.25"/>
    <row r="163" s="3" customFormat="1" ht="12" customHeight="1" x14ac:dyDescent="0.25"/>
    <row r="164" s="3" customFormat="1" ht="12" customHeight="1" x14ac:dyDescent="0.25"/>
    <row r="165" s="3" customFormat="1" ht="12" customHeight="1" x14ac:dyDescent="0.25"/>
    <row r="166" s="3" customFormat="1" ht="12" customHeight="1" x14ac:dyDescent="0.25"/>
    <row r="167" s="3" customFormat="1" ht="12" customHeight="1" x14ac:dyDescent="0.25"/>
    <row r="168" s="3" customFormat="1" ht="12" customHeight="1" x14ac:dyDescent="0.25"/>
    <row r="169" s="3" customFormat="1" ht="12" customHeight="1" x14ac:dyDescent="0.25"/>
    <row r="170" s="3" customFormat="1" ht="12" customHeight="1" x14ac:dyDescent="0.25"/>
    <row r="171" s="3" customFormat="1" ht="12" customHeight="1" x14ac:dyDescent="0.25"/>
    <row r="172" s="3" customFormat="1" ht="12" customHeight="1" x14ac:dyDescent="0.25"/>
    <row r="173" s="3" customFormat="1" ht="12" customHeight="1" x14ac:dyDescent="0.25"/>
    <row r="174" s="3" customFormat="1" ht="12" customHeight="1" x14ac:dyDescent="0.25"/>
    <row r="175" s="3" customFormat="1" ht="12" customHeight="1" x14ac:dyDescent="0.25"/>
    <row r="176" s="3" customFormat="1" ht="12" customHeight="1" x14ac:dyDescent="0.25"/>
    <row r="177" s="3" customFormat="1" ht="12" customHeight="1" x14ac:dyDescent="0.25"/>
    <row r="178" s="3" customFormat="1" ht="12" customHeight="1" x14ac:dyDescent="0.25"/>
    <row r="179" s="3" customFormat="1" ht="12" customHeight="1" x14ac:dyDescent="0.25"/>
    <row r="180" s="3" customFormat="1" ht="12" customHeight="1" x14ac:dyDescent="0.25"/>
    <row r="181" s="3" customFormat="1" ht="12" customHeight="1" x14ac:dyDescent="0.25"/>
    <row r="182" s="3" customFormat="1" ht="12" customHeight="1" x14ac:dyDescent="0.25"/>
    <row r="183" s="3" customFormat="1" ht="12" customHeight="1" x14ac:dyDescent="0.25"/>
    <row r="184" s="3" customFormat="1" ht="12" customHeight="1" x14ac:dyDescent="0.25"/>
    <row r="185" s="3" customFormat="1" ht="12" customHeight="1" x14ac:dyDescent="0.25"/>
    <row r="186" s="3" customFormat="1" ht="12" customHeight="1" x14ac:dyDescent="0.25"/>
    <row r="187" s="3" customFormat="1" ht="12" customHeight="1" x14ac:dyDescent="0.25"/>
    <row r="188" s="3" customFormat="1" ht="12" customHeight="1" x14ac:dyDescent="0.25"/>
    <row r="189" s="3" customFormat="1" ht="12" customHeight="1" x14ac:dyDescent="0.25"/>
    <row r="190" s="3" customFormat="1" ht="12" customHeight="1" x14ac:dyDescent="0.25"/>
    <row r="191" s="3" customFormat="1" ht="12" customHeight="1" x14ac:dyDescent="0.25"/>
    <row r="192" s="3" customFormat="1" ht="12" customHeight="1" x14ac:dyDescent="0.25"/>
    <row r="193" s="3" customFormat="1" ht="12" customHeight="1" x14ac:dyDescent="0.25"/>
    <row r="194" s="3" customFormat="1" ht="12" customHeight="1" x14ac:dyDescent="0.25"/>
    <row r="195" s="3" customFormat="1" ht="12" customHeight="1" x14ac:dyDescent="0.25"/>
    <row r="196" s="3" customFormat="1" ht="12" customHeight="1" x14ac:dyDescent="0.25"/>
    <row r="197" s="3" customFormat="1" ht="12" customHeight="1" x14ac:dyDescent="0.25"/>
    <row r="198" s="3" customFormat="1" ht="12" customHeight="1" x14ac:dyDescent="0.25"/>
    <row r="199" s="3" customFormat="1" ht="12" customHeight="1" x14ac:dyDescent="0.25"/>
    <row r="200" s="3" customFormat="1" ht="12" customHeight="1" x14ac:dyDescent="0.25"/>
    <row r="201" s="3" customFormat="1" ht="12" customHeight="1" x14ac:dyDescent="0.25"/>
    <row r="202" s="3" customFormat="1" ht="12" customHeight="1" x14ac:dyDescent="0.25"/>
    <row r="203" s="3" customFormat="1" ht="12" customHeight="1" x14ac:dyDescent="0.25"/>
    <row r="204" s="3" customFormat="1" ht="12" customHeight="1" x14ac:dyDescent="0.25"/>
    <row r="205" s="3" customFormat="1" ht="12" customHeight="1" x14ac:dyDescent="0.25"/>
    <row r="206" s="3" customFormat="1" ht="12" customHeight="1" x14ac:dyDescent="0.25"/>
    <row r="207" s="3" customFormat="1" ht="12" customHeight="1" x14ac:dyDescent="0.25"/>
    <row r="208" s="3" customFormat="1" ht="12" customHeight="1" x14ac:dyDescent="0.25"/>
    <row r="209" s="3" customFormat="1" ht="12" customHeight="1" x14ac:dyDescent="0.25"/>
    <row r="210" s="3" customFormat="1" ht="12" customHeight="1" x14ac:dyDescent="0.25"/>
    <row r="211" s="3" customFormat="1" ht="12" customHeight="1" x14ac:dyDescent="0.25"/>
    <row r="212" s="3" customFormat="1" ht="12" customHeight="1" x14ac:dyDescent="0.25"/>
    <row r="213" s="3" customFormat="1" ht="12" customHeight="1" x14ac:dyDescent="0.25"/>
    <row r="214" s="3" customFormat="1" ht="12" customHeight="1" x14ac:dyDescent="0.25"/>
    <row r="215" s="3" customFormat="1" ht="12" customHeight="1" x14ac:dyDescent="0.25"/>
    <row r="216" s="3" customFormat="1" ht="12" customHeight="1" x14ac:dyDescent="0.25"/>
    <row r="217" s="3" customFormat="1" ht="12" customHeight="1" x14ac:dyDescent="0.25"/>
    <row r="218" s="3" customFormat="1" ht="12" customHeight="1" x14ac:dyDescent="0.25"/>
    <row r="219" s="3" customFormat="1" ht="12" customHeight="1" x14ac:dyDescent="0.25"/>
    <row r="220" s="3" customFormat="1" ht="12" customHeight="1" x14ac:dyDescent="0.25"/>
    <row r="221" s="3" customFormat="1" ht="12" customHeight="1" x14ac:dyDescent="0.25"/>
    <row r="222" s="3" customFormat="1" ht="12" customHeight="1" x14ac:dyDescent="0.25"/>
    <row r="223" s="3" customFormat="1" ht="12" customHeight="1" x14ac:dyDescent="0.25"/>
    <row r="224" s="3" customFormat="1" ht="12" customHeight="1" x14ac:dyDescent="0.25"/>
    <row r="225" s="3" customFormat="1" ht="12" customHeight="1" x14ac:dyDescent="0.25"/>
    <row r="226" s="3" customFormat="1" ht="12" customHeight="1" x14ac:dyDescent="0.25"/>
    <row r="227" s="3" customFormat="1" ht="12" customHeight="1" x14ac:dyDescent="0.25"/>
    <row r="228" s="3" customFormat="1" ht="12" customHeight="1" x14ac:dyDescent="0.25"/>
    <row r="229" s="3" customFormat="1" ht="12" customHeight="1" x14ac:dyDescent="0.25"/>
    <row r="230" s="3" customFormat="1" ht="12" customHeight="1" x14ac:dyDescent="0.25"/>
    <row r="231" s="3" customFormat="1" ht="12" customHeight="1" x14ac:dyDescent="0.25"/>
    <row r="232" s="3" customFormat="1" ht="12" customHeight="1" x14ac:dyDescent="0.25"/>
    <row r="233" s="3" customFormat="1" ht="12" customHeight="1" x14ac:dyDescent="0.25"/>
    <row r="234" s="3" customFormat="1" ht="12" customHeight="1" x14ac:dyDescent="0.25"/>
    <row r="235" s="3" customFormat="1" ht="12" customHeight="1" x14ac:dyDescent="0.25"/>
    <row r="236" s="3" customFormat="1" ht="12" customHeight="1" x14ac:dyDescent="0.25"/>
    <row r="237" s="3" customFormat="1" ht="12" customHeight="1" x14ac:dyDescent="0.25"/>
    <row r="238" s="3" customFormat="1" ht="12" customHeight="1" x14ac:dyDescent="0.25"/>
    <row r="239" s="3" customFormat="1" ht="12" customHeight="1" x14ac:dyDescent="0.25"/>
    <row r="240" s="3" customFormat="1" ht="12" customHeight="1" x14ac:dyDescent="0.25"/>
    <row r="241" s="3" customFormat="1" ht="12" customHeight="1" x14ac:dyDescent="0.25"/>
    <row r="242" s="3" customFormat="1" ht="12" customHeight="1" x14ac:dyDescent="0.25"/>
    <row r="243" s="3" customFormat="1" ht="12" customHeight="1" x14ac:dyDescent="0.25"/>
    <row r="244" s="3" customFormat="1" ht="12" customHeight="1" x14ac:dyDescent="0.25"/>
    <row r="245" s="3" customFormat="1" ht="12" customHeight="1" x14ac:dyDescent="0.25"/>
    <row r="246" s="3" customFormat="1" ht="12" customHeight="1" x14ac:dyDescent="0.25"/>
    <row r="247" s="3" customFormat="1" ht="12" customHeight="1" x14ac:dyDescent="0.25"/>
    <row r="248" s="3" customFormat="1" ht="12" customHeight="1" x14ac:dyDescent="0.25"/>
    <row r="249" s="3" customFormat="1" ht="12" customHeight="1" x14ac:dyDescent="0.25"/>
    <row r="250" s="3" customFormat="1" ht="12" customHeight="1" x14ac:dyDescent="0.25"/>
    <row r="251" s="3" customFormat="1" ht="12" customHeight="1" x14ac:dyDescent="0.25"/>
    <row r="252" s="3" customFormat="1" ht="12" customHeight="1" x14ac:dyDescent="0.25"/>
    <row r="253" s="3" customFormat="1" ht="12" customHeight="1" x14ac:dyDescent="0.25"/>
    <row r="254" s="3" customFormat="1" ht="12" customHeight="1" x14ac:dyDescent="0.25"/>
    <row r="255" s="3" customFormat="1" ht="12" customHeight="1" x14ac:dyDescent="0.25"/>
    <row r="256" s="3" customFormat="1" ht="12" customHeight="1" x14ac:dyDescent="0.25"/>
    <row r="257" s="3" customFormat="1" ht="12" customHeight="1" x14ac:dyDescent="0.25"/>
    <row r="258" s="3" customFormat="1" ht="12" customHeight="1" x14ac:dyDescent="0.25"/>
    <row r="259" s="3" customFormat="1" ht="12" customHeight="1" x14ac:dyDescent="0.25"/>
    <row r="260" s="3" customFormat="1" ht="12" customHeight="1" x14ac:dyDescent="0.25"/>
    <row r="261" s="3" customFormat="1" ht="12" customHeight="1" x14ac:dyDescent="0.25"/>
    <row r="262" s="3" customFormat="1" ht="12" customHeight="1" x14ac:dyDescent="0.25"/>
    <row r="263" s="3" customFormat="1" ht="12" customHeight="1" x14ac:dyDescent="0.25"/>
    <row r="264" s="3" customFormat="1" ht="12" customHeight="1" x14ac:dyDescent="0.25"/>
    <row r="265" s="3" customFormat="1" ht="12" customHeight="1" x14ac:dyDescent="0.25"/>
    <row r="266" s="3" customFormat="1" ht="12" customHeight="1" x14ac:dyDescent="0.25"/>
    <row r="267" s="3" customFormat="1" ht="12" customHeight="1" x14ac:dyDescent="0.25"/>
    <row r="268" s="3" customFormat="1" ht="12" customHeight="1" x14ac:dyDescent="0.25"/>
    <row r="269" s="3" customFormat="1" ht="12" customHeight="1" x14ac:dyDescent="0.25"/>
    <row r="270" s="3" customFormat="1" ht="12" customHeight="1" x14ac:dyDescent="0.25"/>
    <row r="271" s="3" customFormat="1" ht="12" customHeight="1" x14ac:dyDescent="0.25"/>
    <row r="272" s="3" customFormat="1" ht="12" customHeight="1" x14ac:dyDescent="0.25"/>
    <row r="273" s="3" customFormat="1" ht="12" customHeight="1" x14ac:dyDescent="0.25"/>
    <row r="274" s="3" customFormat="1" ht="12" customHeight="1" x14ac:dyDescent="0.25"/>
    <row r="275" s="3" customFormat="1" ht="12" customHeight="1" x14ac:dyDescent="0.25"/>
    <row r="276" s="3" customFormat="1" ht="12" customHeight="1" x14ac:dyDescent="0.25"/>
    <row r="277" s="3" customFormat="1" ht="12" customHeight="1" x14ac:dyDescent="0.25"/>
    <row r="278" s="3" customFormat="1" ht="12" customHeight="1" x14ac:dyDescent="0.25"/>
    <row r="279" s="3" customFormat="1" ht="12" customHeight="1" x14ac:dyDescent="0.25"/>
    <row r="280" s="3" customFormat="1" ht="12" customHeight="1" x14ac:dyDescent="0.25"/>
    <row r="281" s="3" customFormat="1" ht="12" customHeight="1" x14ac:dyDescent="0.25"/>
    <row r="282" s="3" customFormat="1" ht="12" customHeight="1" x14ac:dyDescent="0.25"/>
    <row r="283" s="3" customFormat="1" ht="12" customHeight="1" x14ac:dyDescent="0.25"/>
    <row r="284" s="3" customFormat="1" ht="12" customHeight="1" x14ac:dyDescent="0.25"/>
    <row r="285" s="3" customFormat="1" ht="12" customHeight="1" x14ac:dyDescent="0.25"/>
    <row r="286" s="3" customFormat="1" ht="12" customHeight="1" x14ac:dyDescent="0.25"/>
    <row r="287" s="3" customFormat="1" ht="12" customHeight="1" x14ac:dyDescent="0.25"/>
    <row r="288" s="3" customFormat="1" ht="12" customHeight="1" x14ac:dyDescent="0.25"/>
    <row r="289" s="3" customFormat="1" ht="12" customHeight="1" x14ac:dyDescent="0.25"/>
    <row r="290" s="3" customFormat="1" ht="12" customHeight="1" x14ac:dyDescent="0.25"/>
    <row r="291" s="3" customFormat="1" ht="12" customHeight="1" x14ac:dyDescent="0.25"/>
    <row r="292" s="3" customFormat="1" ht="12" customHeight="1" x14ac:dyDescent="0.25"/>
    <row r="293" s="3" customFormat="1" ht="12" customHeight="1" x14ac:dyDescent="0.25"/>
    <row r="294" s="3" customFormat="1" ht="12" customHeight="1" x14ac:dyDescent="0.25"/>
    <row r="295" s="3" customFormat="1" ht="12" customHeight="1" x14ac:dyDescent="0.25"/>
    <row r="296" s="3" customFormat="1" ht="12" customHeight="1" x14ac:dyDescent="0.25"/>
    <row r="297" s="3" customFormat="1" ht="12" customHeight="1" x14ac:dyDescent="0.25"/>
    <row r="298" s="3" customFormat="1" ht="12" customHeight="1" x14ac:dyDescent="0.25"/>
    <row r="299" s="3" customFormat="1" ht="12" customHeight="1" x14ac:dyDescent="0.25"/>
    <row r="300" s="3" customFormat="1" ht="12" customHeight="1" x14ac:dyDescent="0.25"/>
    <row r="301" s="3" customFormat="1" ht="12" customHeight="1" x14ac:dyDescent="0.25"/>
    <row r="302" s="3" customFormat="1" ht="12" customHeight="1" x14ac:dyDescent="0.25"/>
    <row r="303" s="3" customFormat="1" ht="12" customHeight="1" x14ac:dyDescent="0.25"/>
    <row r="304" s="3" customFormat="1" ht="12" customHeight="1" x14ac:dyDescent="0.25"/>
    <row r="305" s="3" customFormat="1" ht="12" customHeight="1" x14ac:dyDescent="0.25"/>
    <row r="306" s="3" customFormat="1" ht="12" customHeight="1" x14ac:dyDescent="0.25"/>
    <row r="307" s="3" customFormat="1" ht="12" customHeight="1" x14ac:dyDescent="0.25"/>
    <row r="308" s="3" customFormat="1" ht="12" customHeight="1" x14ac:dyDescent="0.25"/>
    <row r="309" s="3" customFormat="1" ht="12" customHeight="1" x14ac:dyDescent="0.25"/>
    <row r="310" s="3" customFormat="1" ht="12" customHeight="1" x14ac:dyDescent="0.25"/>
    <row r="311" s="3" customFormat="1" ht="12" customHeight="1" x14ac:dyDescent="0.25"/>
    <row r="312" s="3" customFormat="1" ht="12" customHeight="1" x14ac:dyDescent="0.25"/>
    <row r="313" s="3" customFormat="1" ht="12" customHeight="1" x14ac:dyDescent="0.25"/>
    <row r="314" s="3" customFormat="1" ht="12" customHeight="1" x14ac:dyDescent="0.25"/>
    <row r="315" s="3" customFormat="1" ht="12" customHeight="1" x14ac:dyDescent="0.25"/>
    <row r="316" s="3" customFormat="1" ht="12" customHeight="1" x14ac:dyDescent="0.25"/>
    <row r="317" s="3" customFormat="1" ht="12" customHeight="1" x14ac:dyDescent="0.25"/>
    <row r="318" s="3" customFormat="1" ht="12" customHeight="1" x14ac:dyDescent="0.25"/>
    <row r="319" s="3" customFormat="1" ht="12" customHeight="1" x14ac:dyDescent="0.25"/>
    <row r="320" s="3" customFormat="1" ht="12" customHeight="1" x14ac:dyDescent="0.25"/>
    <row r="321" s="3" customFormat="1" ht="12" customHeight="1" x14ac:dyDescent="0.25"/>
    <row r="322" s="3" customFormat="1" ht="12" customHeight="1" x14ac:dyDescent="0.25"/>
    <row r="323" s="3" customFormat="1" ht="12" customHeight="1" x14ac:dyDescent="0.25"/>
    <row r="324" s="3" customFormat="1" ht="12" customHeight="1" x14ac:dyDescent="0.25"/>
    <row r="325" s="3" customFormat="1" ht="12" customHeight="1" x14ac:dyDescent="0.25"/>
    <row r="326" s="3" customFormat="1" ht="12" customHeight="1" x14ac:dyDescent="0.25"/>
    <row r="327" s="3" customFormat="1" ht="12" customHeight="1" x14ac:dyDescent="0.25"/>
    <row r="328" s="3" customFormat="1" ht="12" customHeight="1" x14ac:dyDescent="0.25"/>
    <row r="329" s="3" customFormat="1" ht="12" customHeight="1" x14ac:dyDescent="0.25"/>
    <row r="330" s="3" customFormat="1" ht="12" customHeight="1" x14ac:dyDescent="0.25"/>
    <row r="331" s="3" customFormat="1" ht="12" customHeight="1" x14ac:dyDescent="0.25"/>
    <row r="332" s="3" customFormat="1" ht="12" customHeight="1" x14ac:dyDescent="0.25"/>
    <row r="333" s="3" customFormat="1" ht="12" customHeight="1" x14ac:dyDescent="0.25"/>
    <row r="334" s="3" customFormat="1" ht="12" customHeight="1" x14ac:dyDescent="0.25"/>
    <row r="335" s="3" customFormat="1" ht="12" customHeight="1" x14ac:dyDescent="0.25"/>
    <row r="336" s="3" customFormat="1" ht="12" customHeight="1" x14ac:dyDescent="0.25"/>
    <row r="337" s="3" customFormat="1" ht="12" customHeight="1" x14ac:dyDescent="0.25"/>
    <row r="338" s="3" customFormat="1" ht="12" customHeight="1" x14ac:dyDescent="0.25"/>
    <row r="339" s="3" customFormat="1" ht="12" customHeight="1" x14ac:dyDescent="0.25"/>
    <row r="340" s="3" customFormat="1" ht="12" customHeight="1" x14ac:dyDescent="0.25"/>
    <row r="341" s="3" customFormat="1" ht="12" customHeight="1" x14ac:dyDescent="0.25"/>
    <row r="342" s="3" customFormat="1" ht="12" customHeight="1" x14ac:dyDescent="0.25"/>
    <row r="343" s="3" customFormat="1" ht="12" customHeight="1" x14ac:dyDescent="0.25"/>
    <row r="344" s="3" customFormat="1" ht="12" customHeight="1" x14ac:dyDescent="0.25"/>
    <row r="345" s="3" customFormat="1" ht="12" customHeight="1" x14ac:dyDescent="0.25"/>
    <row r="346" s="3" customFormat="1" ht="12" customHeight="1" x14ac:dyDescent="0.25"/>
    <row r="347" s="3" customFormat="1" ht="12" customHeight="1" x14ac:dyDescent="0.25"/>
    <row r="348" s="3" customFormat="1" ht="12" customHeight="1" x14ac:dyDescent="0.25"/>
    <row r="349" s="3" customFormat="1" ht="12" customHeight="1" x14ac:dyDescent="0.25"/>
    <row r="350" s="3" customFormat="1" ht="12" customHeight="1" x14ac:dyDescent="0.25"/>
    <row r="351" s="3" customFormat="1" ht="12" customHeight="1" x14ac:dyDescent="0.25"/>
    <row r="352" s="3" customFormat="1" ht="12" customHeight="1" x14ac:dyDescent="0.25"/>
    <row r="353" s="3" customFormat="1" ht="12" customHeight="1" x14ac:dyDescent="0.25"/>
    <row r="354" s="3" customFormat="1" ht="12" customHeight="1" x14ac:dyDescent="0.25"/>
    <row r="355" s="3" customFormat="1" ht="12" customHeight="1" x14ac:dyDescent="0.25"/>
    <row r="356" s="3" customFormat="1" ht="12" customHeight="1" x14ac:dyDescent="0.25"/>
    <row r="357" s="3" customFormat="1" ht="12" customHeight="1" x14ac:dyDescent="0.25"/>
    <row r="358" s="3" customFormat="1" ht="12" customHeight="1" x14ac:dyDescent="0.25"/>
    <row r="359" s="3" customFormat="1" ht="12" customHeight="1" x14ac:dyDescent="0.25"/>
    <row r="360" s="3" customFormat="1" ht="12" customHeight="1" x14ac:dyDescent="0.25"/>
    <row r="361" s="3" customFormat="1" ht="12" customHeight="1" x14ac:dyDescent="0.25"/>
    <row r="362" s="3" customFormat="1" ht="12" customHeight="1" x14ac:dyDescent="0.25"/>
    <row r="363" s="3" customFormat="1" ht="12" customHeight="1" x14ac:dyDescent="0.25"/>
    <row r="364" s="3" customFormat="1" ht="12" customHeight="1" x14ac:dyDescent="0.25"/>
    <row r="365" s="3" customFormat="1" ht="12" customHeight="1" x14ac:dyDescent="0.25"/>
    <row r="366" s="3" customFormat="1" ht="12" customHeight="1" x14ac:dyDescent="0.25"/>
    <row r="367" s="3" customFormat="1" ht="12" customHeight="1" x14ac:dyDescent="0.25"/>
    <row r="368" s="3" customFormat="1" ht="12" customHeight="1" x14ac:dyDescent="0.25"/>
    <row r="369" s="3" customFormat="1" ht="12" customHeight="1" x14ac:dyDescent="0.25"/>
    <row r="370" s="3" customFormat="1" ht="12" customHeight="1" x14ac:dyDescent="0.25"/>
    <row r="371" s="3" customFormat="1" ht="12" customHeight="1" x14ac:dyDescent="0.25"/>
    <row r="372" s="3" customFormat="1" ht="12" customHeight="1" x14ac:dyDescent="0.25"/>
    <row r="373" s="3" customFormat="1" ht="12" customHeight="1" x14ac:dyDescent="0.25"/>
    <row r="374" s="3" customFormat="1" ht="12" customHeight="1" x14ac:dyDescent="0.25"/>
    <row r="375" s="3" customFormat="1" ht="12" customHeight="1" x14ac:dyDescent="0.25"/>
    <row r="376" s="3" customFormat="1" ht="12" customHeight="1" x14ac:dyDescent="0.25"/>
    <row r="377" s="3" customFormat="1" ht="12" customHeight="1" x14ac:dyDescent="0.25"/>
    <row r="378" s="3" customFormat="1" ht="12" customHeight="1" x14ac:dyDescent="0.25"/>
    <row r="379" s="3" customFormat="1" ht="12" customHeight="1" x14ac:dyDescent="0.25"/>
    <row r="380" s="3" customFormat="1" ht="12" customHeight="1" x14ac:dyDescent="0.25"/>
    <row r="381" s="3" customFormat="1" ht="12" customHeight="1" x14ac:dyDescent="0.25"/>
    <row r="382" s="3" customFormat="1" ht="12" customHeight="1" x14ac:dyDescent="0.25"/>
    <row r="383" s="3" customFormat="1" ht="12" customHeight="1" x14ac:dyDescent="0.25"/>
    <row r="384" s="3" customFormat="1" ht="12" customHeight="1" x14ac:dyDescent="0.25"/>
    <row r="385" s="3" customFormat="1" ht="12" customHeight="1" x14ac:dyDescent="0.25"/>
    <row r="386" s="3" customFormat="1" ht="12" customHeight="1" x14ac:dyDescent="0.25"/>
    <row r="387" s="3" customFormat="1" ht="12" customHeight="1" x14ac:dyDescent="0.25"/>
    <row r="388" s="3" customFormat="1" ht="12" customHeight="1" x14ac:dyDescent="0.25"/>
    <row r="389" s="3" customFormat="1" ht="12" customHeight="1" x14ac:dyDescent="0.25"/>
    <row r="390" s="3" customFormat="1" ht="12" customHeight="1" x14ac:dyDescent="0.25"/>
    <row r="391" s="3" customFormat="1" ht="12" customHeight="1" x14ac:dyDescent="0.25"/>
    <row r="392" s="3" customFormat="1" ht="12" customHeight="1" x14ac:dyDescent="0.25"/>
    <row r="393" s="3" customFormat="1" ht="12" customHeight="1" x14ac:dyDescent="0.25"/>
    <row r="394" s="3" customFormat="1" ht="12" customHeight="1" x14ac:dyDescent="0.25"/>
    <row r="395" s="3" customFormat="1" ht="12" customHeight="1" x14ac:dyDescent="0.25"/>
    <row r="396" s="3" customFormat="1" ht="12" customHeight="1" x14ac:dyDescent="0.25"/>
    <row r="397" s="3" customFormat="1" ht="12" customHeight="1" x14ac:dyDescent="0.25"/>
    <row r="398" s="3" customFormat="1" ht="12" customHeight="1" x14ac:dyDescent="0.25"/>
    <row r="399" s="3" customFormat="1" ht="12" customHeight="1" x14ac:dyDescent="0.25"/>
    <row r="400" s="3" customFormat="1" ht="12" customHeight="1" x14ac:dyDescent="0.25"/>
    <row r="401" s="3" customFormat="1" ht="12" customHeight="1" x14ac:dyDescent="0.25"/>
    <row r="402" s="3" customFormat="1" ht="12" customHeight="1" x14ac:dyDescent="0.25"/>
    <row r="403" s="3" customFormat="1" ht="12" customHeight="1" x14ac:dyDescent="0.25"/>
    <row r="404" s="3" customFormat="1" ht="12" customHeight="1" x14ac:dyDescent="0.25"/>
    <row r="405" s="3" customFormat="1" ht="12" customHeight="1" x14ac:dyDescent="0.25"/>
    <row r="406" s="3" customFormat="1" ht="12" customHeight="1" x14ac:dyDescent="0.25"/>
    <row r="407" s="3" customFormat="1" ht="12" customHeight="1" x14ac:dyDescent="0.25"/>
    <row r="408" s="3" customFormat="1" ht="12" customHeight="1" x14ac:dyDescent="0.25"/>
    <row r="409" s="3" customFormat="1" ht="12" customHeight="1" x14ac:dyDescent="0.25"/>
    <row r="410" s="3" customFormat="1" ht="12" customHeight="1" x14ac:dyDescent="0.25"/>
    <row r="411" s="3" customFormat="1" ht="12" customHeight="1" x14ac:dyDescent="0.25"/>
    <row r="412" s="3" customFormat="1" ht="12" customHeight="1" x14ac:dyDescent="0.25"/>
    <row r="413" s="3" customFormat="1" ht="12" customHeight="1" x14ac:dyDescent="0.25"/>
    <row r="414" s="3" customFormat="1" ht="12" customHeight="1" x14ac:dyDescent="0.25"/>
    <row r="415" s="3" customFormat="1" ht="12" customHeight="1" x14ac:dyDescent="0.25"/>
    <row r="416" s="3" customFormat="1" ht="12" customHeight="1" x14ac:dyDescent="0.25"/>
    <row r="417" s="3" customFormat="1" ht="12" customHeight="1" x14ac:dyDescent="0.25"/>
    <row r="418" s="3" customFormat="1" ht="12" customHeight="1" x14ac:dyDescent="0.25"/>
    <row r="419" s="3" customFormat="1" ht="12" customHeight="1" x14ac:dyDescent="0.25"/>
    <row r="420" s="3" customFormat="1" ht="12" customHeight="1" x14ac:dyDescent="0.25"/>
    <row r="421" s="3" customFormat="1" ht="12" customHeight="1" x14ac:dyDescent="0.25"/>
    <row r="422" s="3" customFormat="1" ht="12" customHeight="1" x14ac:dyDescent="0.25"/>
    <row r="423" s="3" customFormat="1" ht="12" customHeight="1" x14ac:dyDescent="0.25"/>
    <row r="424" s="3" customFormat="1" ht="12" customHeight="1" x14ac:dyDescent="0.25"/>
    <row r="425" s="3" customFormat="1" ht="12" customHeight="1" x14ac:dyDescent="0.25"/>
    <row r="426" s="3" customFormat="1" ht="12" customHeight="1" x14ac:dyDescent="0.25"/>
    <row r="427" s="3" customFormat="1" ht="12" customHeight="1" x14ac:dyDescent="0.25"/>
    <row r="428" s="3" customFormat="1" ht="12" customHeight="1" x14ac:dyDescent="0.25"/>
    <row r="429" s="3" customFormat="1" ht="12" customHeight="1" x14ac:dyDescent="0.25"/>
    <row r="430" s="3" customFormat="1" ht="12" customHeight="1" x14ac:dyDescent="0.25"/>
    <row r="431" s="3" customFormat="1" ht="12" customHeight="1" x14ac:dyDescent="0.25"/>
    <row r="432" s="3" customFormat="1" ht="12" customHeight="1" x14ac:dyDescent="0.25"/>
    <row r="433" s="3" customFormat="1" ht="12" customHeight="1" x14ac:dyDescent="0.25"/>
    <row r="434" s="3" customFormat="1" ht="12" customHeight="1" x14ac:dyDescent="0.25"/>
    <row r="435" s="3" customFormat="1" ht="12" customHeight="1" x14ac:dyDescent="0.25"/>
    <row r="436" s="3" customFormat="1" ht="12" customHeight="1" x14ac:dyDescent="0.25"/>
    <row r="437" s="3" customFormat="1" ht="12" customHeight="1" x14ac:dyDescent="0.25"/>
    <row r="438" s="3" customFormat="1" ht="12" customHeight="1" x14ac:dyDescent="0.25"/>
    <row r="439" s="3" customFormat="1" ht="12" customHeight="1" x14ac:dyDescent="0.25"/>
    <row r="440" s="3" customFormat="1" ht="12" customHeight="1" x14ac:dyDescent="0.25"/>
    <row r="441" s="3" customFormat="1" ht="12" customHeight="1" x14ac:dyDescent="0.25"/>
    <row r="442" s="3" customFormat="1" ht="12" customHeight="1" x14ac:dyDescent="0.25"/>
    <row r="443" s="3" customFormat="1" ht="12" customHeight="1" x14ac:dyDescent="0.25"/>
    <row r="444" s="3" customFormat="1" ht="12" customHeight="1" x14ac:dyDescent="0.25"/>
    <row r="445" s="3" customFormat="1" ht="12" customHeight="1" x14ac:dyDescent="0.25"/>
    <row r="446" s="3" customFormat="1" ht="12" customHeight="1" x14ac:dyDescent="0.25"/>
    <row r="447" s="3" customFormat="1" ht="12" customHeight="1" x14ac:dyDescent="0.25"/>
    <row r="448" s="3" customFormat="1" ht="12" customHeight="1" x14ac:dyDescent="0.25"/>
    <row r="449" s="3" customFormat="1" ht="12" customHeight="1" x14ac:dyDescent="0.25"/>
    <row r="450" s="3" customFormat="1" ht="12" customHeight="1" x14ac:dyDescent="0.25"/>
    <row r="451" s="3" customFormat="1" ht="12" customHeight="1" x14ac:dyDescent="0.25"/>
    <row r="452" s="3" customFormat="1" ht="12" customHeight="1" x14ac:dyDescent="0.25"/>
    <row r="453" s="3" customFormat="1" ht="12" customHeight="1" x14ac:dyDescent="0.25"/>
    <row r="454" s="3" customFormat="1" ht="12" customHeight="1" x14ac:dyDescent="0.25"/>
    <row r="455" s="3" customFormat="1" ht="12" customHeight="1" x14ac:dyDescent="0.25"/>
    <row r="456" s="3" customFormat="1" ht="12" customHeight="1" x14ac:dyDescent="0.25"/>
    <row r="457" s="3" customFormat="1" ht="12" customHeight="1" x14ac:dyDescent="0.25"/>
    <row r="458" s="3" customFormat="1" ht="12" customHeight="1" x14ac:dyDescent="0.25"/>
    <row r="459" s="3" customFormat="1" ht="12" customHeight="1" x14ac:dyDescent="0.25"/>
    <row r="460" s="3" customFormat="1" ht="12" customHeight="1" x14ac:dyDescent="0.25"/>
    <row r="461" s="3" customFormat="1" ht="12" customHeight="1" x14ac:dyDescent="0.25"/>
    <row r="462" s="3" customFormat="1" ht="12" customHeight="1" x14ac:dyDescent="0.25"/>
    <row r="463" s="3" customFormat="1" ht="12" customHeight="1" x14ac:dyDescent="0.25"/>
    <row r="464" s="3" customFormat="1" ht="12" customHeight="1" x14ac:dyDescent="0.25"/>
    <row r="465" s="3" customFormat="1" ht="12" customHeight="1" x14ac:dyDescent="0.25"/>
    <row r="466" s="3" customFormat="1" ht="12" customHeight="1" x14ac:dyDescent="0.25"/>
    <row r="467" s="3" customFormat="1" ht="12" customHeight="1" x14ac:dyDescent="0.25"/>
    <row r="468" s="3" customFormat="1" ht="12" customHeight="1" x14ac:dyDescent="0.25"/>
    <row r="469" s="3" customFormat="1" ht="12" customHeight="1" x14ac:dyDescent="0.25"/>
    <row r="470" s="3" customFormat="1" ht="12" customHeight="1" x14ac:dyDescent="0.25"/>
    <row r="471" s="3" customFormat="1" ht="12" customHeight="1" x14ac:dyDescent="0.25"/>
    <row r="472" s="3" customFormat="1" ht="12" customHeight="1" x14ac:dyDescent="0.25"/>
    <row r="473" s="3" customFormat="1" ht="12" customHeight="1" x14ac:dyDescent="0.25"/>
    <row r="474" s="3" customFormat="1" ht="12" customHeight="1" x14ac:dyDescent="0.25"/>
    <row r="475" s="3" customFormat="1" ht="12" customHeight="1" x14ac:dyDescent="0.25"/>
    <row r="476" s="3" customFormat="1" ht="12" customHeight="1" x14ac:dyDescent="0.25"/>
    <row r="477" s="3" customFormat="1" ht="12" customHeight="1" x14ac:dyDescent="0.25"/>
    <row r="478" s="3" customFormat="1" ht="12" customHeight="1" x14ac:dyDescent="0.25"/>
    <row r="479" s="3" customFormat="1" ht="12" customHeight="1" x14ac:dyDescent="0.25"/>
    <row r="480" s="3" customFormat="1" ht="12" customHeight="1" x14ac:dyDescent="0.25"/>
    <row r="481" s="3" customFormat="1" ht="12" customHeight="1" x14ac:dyDescent="0.25"/>
    <row r="482" s="3" customFormat="1" ht="12" customHeight="1" x14ac:dyDescent="0.25"/>
    <row r="483" s="3" customFormat="1" ht="12" customHeight="1" x14ac:dyDescent="0.25"/>
    <row r="484" s="3" customFormat="1" ht="12" customHeight="1" x14ac:dyDescent="0.25"/>
    <row r="485" s="3" customFormat="1" ht="12" customHeight="1" x14ac:dyDescent="0.25"/>
    <row r="486" s="3" customFormat="1" ht="12" customHeight="1" x14ac:dyDescent="0.25"/>
    <row r="487" s="3" customFormat="1" ht="12" customHeight="1" x14ac:dyDescent="0.25"/>
    <row r="488" s="3" customFormat="1" ht="12" customHeight="1" x14ac:dyDescent="0.25"/>
    <row r="489" s="3" customFormat="1" ht="12" customHeight="1" x14ac:dyDescent="0.25"/>
    <row r="490" s="3" customFormat="1" ht="12" customHeight="1" x14ac:dyDescent="0.25"/>
    <row r="491" s="3" customFormat="1" ht="12" customHeight="1" x14ac:dyDescent="0.25"/>
    <row r="492" s="3" customFormat="1" ht="12" customHeight="1" x14ac:dyDescent="0.25"/>
    <row r="493" s="3" customFormat="1" ht="12" customHeight="1" x14ac:dyDescent="0.25"/>
    <row r="494" s="3" customFormat="1" ht="12" customHeight="1" x14ac:dyDescent="0.25"/>
    <row r="495" s="3" customFormat="1" ht="12" customHeight="1" x14ac:dyDescent="0.25"/>
    <row r="496" s="3" customFormat="1" ht="12" customHeight="1" x14ac:dyDescent="0.25"/>
    <row r="497" s="3" customFormat="1" ht="12" customHeight="1" x14ac:dyDescent="0.25"/>
    <row r="498" s="3" customFormat="1" ht="12" customHeight="1" x14ac:dyDescent="0.25"/>
    <row r="499" s="3" customFormat="1" ht="12" customHeight="1" x14ac:dyDescent="0.25"/>
    <row r="500" s="3" customFormat="1" ht="12" customHeight="1" x14ac:dyDescent="0.25"/>
    <row r="501" s="3" customFormat="1" ht="12" customHeight="1" x14ac:dyDescent="0.25"/>
    <row r="502" s="3" customFormat="1" ht="12" customHeight="1" x14ac:dyDescent="0.25"/>
    <row r="503" s="3" customFormat="1" ht="12" customHeight="1" x14ac:dyDescent="0.25"/>
    <row r="504" s="3" customFormat="1" ht="12" customHeight="1" x14ac:dyDescent="0.25"/>
    <row r="505" s="3" customFormat="1" ht="12" customHeight="1" x14ac:dyDescent="0.25"/>
    <row r="506" s="3" customFormat="1" ht="12" customHeight="1" x14ac:dyDescent="0.25"/>
    <row r="507" s="3" customFormat="1" ht="12" customHeight="1" x14ac:dyDescent="0.25"/>
    <row r="508" s="3" customFormat="1" ht="12" customHeight="1" x14ac:dyDescent="0.25"/>
    <row r="509" s="3" customFormat="1" ht="12" customHeight="1" x14ac:dyDescent="0.25"/>
    <row r="510" s="3" customFormat="1" ht="12" customHeight="1" x14ac:dyDescent="0.25"/>
    <row r="511" s="3" customFormat="1" ht="12" customHeight="1" x14ac:dyDescent="0.25"/>
    <row r="512" s="3" customFormat="1" ht="12" customHeight="1" x14ac:dyDescent="0.25"/>
    <row r="513" s="3" customFormat="1" ht="12" customHeight="1" x14ac:dyDescent="0.25"/>
    <row r="514" s="3" customFormat="1" ht="12" customHeight="1" x14ac:dyDescent="0.25"/>
    <row r="515" s="3" customFormat="1" ht="12" customHeight="1" x14ac:dyDescent="0.25"/>
    <row r="516" s="3" customFormat="1" ht="12" customHeight="1" x14ac:dyDescent="0.25"/>
    <row r="517" s="3" customFormat="1" ht="12" customHeight="1" x14ac:dyDescent="0.25"/>
    <row r="518" s="3" customFormat="1" ht="12" customHeight="1" x14ac:dyDescent="0.25"/>
    <row r="519" s="3" customFormat="1" ht="12" customHeight="1" x14ac:dyDescent="0.25"/>
    <row r="520" s="3" customFormat="1" ht="12" customHeight="1" x14ac:dyDescent="0.25"/>
    <row r="521" s="3" customFormat="1" ht="12" customHeight="1" x14ac:dyDescent="0.25"/>
    <row r="522" s="3" customFormat="1" ht="12" customHeight="1" x14ac:dyDescent="0.25"/>
  </sheetData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98"/>
  <sheetViews>
    <sheetView showGridLines="0" zoomScaleNormal="100" workbookViewId="0">
      <pane xSplit="1" topLeftCell="AC1" activePane="topRight" state="frozen"/>
      <selection sqref="A1:I1"/>
      <selection pane="topRight" sqref="A1:I1"/>
    </sheetView>
  </sheetViews>
  <sheetFormatPr defaultColWidth="8.88671875" defaultRowHeight="13.2" x14ac:dyDescent="0.25"/>
  <cols>
    <col min="1" max="1" width="45.109375" style="545" customWidth="1"/>
    <col min="2" max="19" width="9.5546875" style="103" hidden="1" customWidth="1"/>
    <col min="20" max="26" width="9.6640625" style="103" hidden="1" customWidth="1"/>
    <col min="27" max="27" width="13.77734375" style="104" hidden="1" customWidth="1"/>
    <col min="28" max="28" width="13.77734375" style="103" hidden="1" customWidth="1"/>
    <col min="29" max="30" width="13.77734375" style="386" customWidth="1"/>
    <col min="31" max="31" width="16.33203125" style="386" customWidth="1"/>
    <col min="32" max="32" width="16.88671875" style="386" customWidth="1"/>
    <col min="33" max="33" width="8.109375" style="103" customWidth="1"/>
    <col min="34" max="34" width="8.88671875" style="103"/>
    <col min="35" max="35" width="12.88671875" style="103" bestFit="1" customWidth="1"/>
    <col min="36" max="16384" width="8.88671875" style="103"/>
  </cols>
  <sheetData>
    <row r="1" spans="1:35" ht="13.8" thickBot="1" x14ac:dyDescent="0.3">
      <c r="B1" s="246"/>
    </row>
    <row r="2" spans="1:35" ht="13.8" hidden="1" thickBot="1" x14ac:dyDescent="0.3">
      <c r="A2" s="666"/>
      <c r="B2" s="320"/>
      <c r="C2" s="106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6"/>
      <c r="AC2" s="223"/>
    </row>
    <row r="3" spans="1:35" ht="40.799999999999997" thickTop="1" thickBot="1" x14ac:dyDescent="0.3">
      <c r="A3" s="314" t="s">
        <v>3</v>
      </c>
      <c r="B3" s="321" t="s">
        <v>4</v>
      </c>
      <c r="C3" s="322" t="s">
        <v>4</v>
      </c>
      <c r="D3" s="323" t="s">
        <v>4</v>
      </c>
      <c r="E3" s="323" t="s">
        <v>4</v>
      </c>
      <c r="F3" s="323" t="s">
        <v>4</v>
      </c>
      <c r="G3" s="323" t="s">
        <v>4</v>
      </c>
      <c r="H3" s="323" t="s">
        <v>4</v>
      </c>
      <c r="I3" s="323" t="s">
        <v>4</v>
      </c>
      <c r="J3" s="323" t="s">
        <v>4</v>
      </c>
      <c r="K3" s="323" t="s">
        <v>4</v>
      </c>
      <c r="L3" s="323" t="s">
        <v>4</v>
      </c>
      <c r="M3" s="323" t="s">
        <v>4</v>
      </c>
      <c r="N3" s="323" t="s">
        <v>4</v>
      </c>
      <c r="O3" s="323" t="s">
        <v>4</v>
      </c>
      <c r="P3" s="323" t="s">
        <v>4</v>
      </c>
      <c r="Q3" s="323" t="s">
        <v>4</v>
      </c>
      <c r="R3" s="323" t="s">
        <v>4</v>
      </c>
      <c r="S3" s="323" t="s">
        <v>4</v>
      </c>
      <c r="T3" s="323" t="s">
        <v>4</v>
      </c>
      <c r="U3" s="323" t="s">
        <v>4</v>
      </c>
      <c r="V3" s="323" t="s">
        <v>4</v>
      </c>
      <c r="W3" s="323" t="s">
        <v>4</v>
      </c>
      <c r="X3" s="323" t="s">
        <v>4</v>
      </c>
      <c r="Y3" s="323" t="s">
        <v>4</v>
      </c>
      <c r="Z3" s="323" t="s">
        <v>4</v>
      </c>
      <c r="AA3" s="323" t="s">
        <v>4</v>
      </c>
      <c r="AB3" s="324" t="s">
        <v>4</v>
      </c>
      <c r="AC3" s="317" t="s">
        <v>5</v>
      </c>
      <c r="AD3" s="388" t="s">
        <v>6</v>
      </c>
      <c r="AE3" s="388" t="s">
        <v>6</v>
      </c>
      <c r="AF3" s="388" t="s">
        <v>6</v>
      </c>
    </row>
    <row r="4" spans="1:35" ht="13.8" thickBot="1" x14ac:dyDescent="0.3">
      <c r="A4" s="315">
        <f>'Voorblad-Front'!C5</f>
        <v>45322</v>
      </c>
      <c r="B4" s="325"/>
      <c r="C4" s="216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352"/>
      <c r="AC4" s="353" t="s">
        <v>4</v>
      </c>
      <c r="AD4" s="389" t="s">
        <v>7</v>
      </c>
      <c r="AE4" s="389" t="s">
        <v>8</v>
      </c>
      <c r="AF4" s="389" t="s">
        <v>9</v>
      </c>
    </row>
    <row r="5" spans="1:35" s="109" customFormat="1" ht="13.95" customHeight="1" thickBot="1" x14ac:dyDescent="0.3">
      <c r="A5" s="667" t="s">
        <v>10</v>
      </c>
      <c r="B5" s="326" t="s">
        <v>11</v>
      </c>
      <c r="C5" s="217" t="s">
        <v>12</v>
      </c>
      <c r="D5" s="108" t="s">
        <v>13</v>
      </c>
      <c r="E5" s="108" t="s">
        <v>14</v>
      </c>
      <c r="F5" s="108" t="s">
        <v>15</v>
      </c>
      <c r="G5" s="108" t="s">
        <v>16</v>
      </c>
      <c r="H5" s="108" t="s">
        <v>17</v>
      </c>
      <c r="I5" s="108" t="s">
        <v>18</v>
      </c>
      <c r="J5" s="108" t="s">
        <v>19</v>
      </c>
      <c r="K5" s="108" t="s">
        <v>20</v>
      </c>
      <c r="L5" s="108" t="s">
        <v>21</v>
      </c>
      <c r="M5" s="108" t="s">
        <v>22</v>
      </c>
      <c r="N5" s="108" t="s">
        <v>23</v>
      </c>
      <c r="O5" s="108" t="s">
        <v>24</v>
      </c>
      <c r="P5" s="108" t="s">
        <v>25</v>
      </c>
      <c r="Q5" s="108" t="s">
        <v>26</v>
      </c>
      <c r="R5" s="108" t="s">
        <v>27</v>
      </c>
      <c r="S5" s="108" t="s">
        <v>28</v>
      </c>
      <c r="T5" s="108" t="s">
        <v>29</v>
      </c>
      <c r="U5" s="108" t="s">
        <v>30</v>
      </c>
      <c r="V5" s="108" t="s">
        <v>31</v>
      </c>
      <c r="W5" s="108" t="str">
        <f>'DATA-S blom-S Seeds'!W3</f>
        <v>2017/18</v>
      </c>
      <c r="X5" s="108" t="s">
        <v>32</v>
      </c>
      <c r="Y5" s="312" t="s">
        <v>4</v>
      </c>
      <c r="Z5" s="108" t="s">
        <v>33</v>
      </c>
      <c r="AA5" s="108" t="s">
        <v>34</v>
      </c>
      <c r="AB5" s="354" t="s">
        <v>35</v>
      </c>
      <c r="AC5" s="353" t="s">
        <v>36</v>
      </c>
      <c r="AD5" s="390" t="s">
        <v>37</v>
      </c>
      <c r="AE5" s="390" t="s">
        <v>37</v>
      </c>
      <c r="AF5" s="390" t="s">
        <v>37</v>
      </c>
    </row>
    <row r="6" spans="1:35" x14ac:dyDescent="0.25">
      <c r="A6" s="668" t="s">
        <v>38</v>
      </c>
      <c r="B6" s="327">
        <v>71</v>
      </c>
      <c r="C6" s="218">
        <v>124.99999999999999</v>
      </c>
      <c r="D6" s="110">
        <v>130.5</v>
      </c>
      <c r="E6" s="110">
        <v>93.79</v>
      </c>
      <c r="F6" s="110">
        <v>134.042</v>
      </c>
      <c r="G6" s="110">
        <v>124.06</v>
      </c>
      <c r="H6" s="110">
        <v>100.13</v>
      </c>
      <c r="I6" s="110">
        <v>135</v>
      </c>
      <c r="J6" s="110">
        <v>150</v>
      </c>
      <c r="K6" s="110">
        <v>240.57</v>
      </c>
      <c r="L6" s="110">
        <v>183</v>
      </c>
      <c r="M6" s="110">
        <v>165.4</v>
      </c>
      <c r="N6" s="110">
        <v>237.75</v>
      </c>
      <c r="O6" s="110">
        <v>311.45</v>
      </c>
      <c r="P6" s="110">
        <v>418</v>
      </c>
      <c r="Q6" s="110">
        <v>472</v>
      </c>
      <c r="R6" s="110">
        <v>516.5</v>
      </c>
      <c r="S6" s="110">
        <v>516.5</v>
      </c>
      <c r="T6" s="110">
        <v>502.9</v>
      </c>
      <c r="U6" s="110">
        <v>687.3</v>
      </c>
      <c r="V6" s="110">
        <v>502.8</v>
      </c>
      <c r="W6" s="110">
        <v>573.95000000000005</v>
      </c>
      <c r="X6" s="110">
        <v>787.2</v>
      </c>
      <c r="Y6" s="110">
        <v>730.5</v>
      </c>
      <c r="Z6" s="110">
        <v>705</v>
      </c>
      <c r="AA6" s="110">
        <v>827.1</v>
      </c>
      <c r="AB6" s="290">
        <v>925.3</v>
      </c>
      <c r="AC6" s="366">
        <v>1148.3</v>
      </c>
      <c r="AD6" s="391">
        <v>1068.2</v>
      </c>
      <c r="AE6" s="391">
        <f>AD6</f>
        <v>1068.2</v>
      </c>
      <c r="AF6" s="391">
        <f>AE6</f>
        <v>1068.2</v>
      </c>
    </row>
    <row r="7" spans="1:35" ht="19.95" customHeight="1" x14ac:dyDescent="0.25">
      <c r="A7" s="669" t="s">
        <v>39</v>
      </c>
      <c r="B7" s="328">
        <f>B8/B6</f>
        <v>1.3802816901408448</v>
      </c>
      <c r="C7" s="219">
        <f t="shared" ref="C7:Q7" si="0">C8/C6</f>
        <v>1.6072000000000002</v>
      </c>
      <c r="D7" s="111">
        <f t="shared" si="0"/>
        <v>1.3394636015325672</v>
      </c>
      <c r="E7" s="111">
        <f t="shared" si="0"/>
        <v>1.5854568717347264</v>
      </c>
      <c r="F7" s="111">
        <f t="shared" si="0"/>
        <v>1.5644350278270989</v>
      </c>
      <c r="G7" s="111">
        <f t="shared" si="0"/>
        <v>1.6314686442044173</v>
      </c>
      <c r="H7" s="111">
        <f t="shared" si="0"/>
        <v>1.3632278038549885</v>
      </c>
      <c r="I7" s="111">
        <f t="shared" si="0"/>
        <v>1.6296296296296295</v>
      </c>
      <c r="J7" s="111">
        <f t="shared" si="0"/>
        <v>1.8166666666666667</v>
      </c>
      <c r="K7" s="111">
        <f t="shared" si="0"/>
        <v>1.7624807748264539</v>
      </c>
      <c r="L7" s="111">
        <f t="shared" si="0"/>
        <v>1.1202185792349726</v>
      </c>
      <c r="M7" s="111">
        <f t="shared" si="0"/>
        <v>1.7049576783555018</v>
      </c>
      <c r="N7" s="111">
        <f t="shared" si="0"/>
        <v>2.170347003154574</v>
      </c>
      <c r="O7" s="111">
        <f t="shared" si="0"/>
        <v>1.8173061486594959</v>
      </c>
      <c r="P7" s="111">
        <f t="shared" si="0"/>
        <v>1.6985645933014355</v>
      </c>
      <c r="Q7" s="111">
        <f t="shared" si="0"/>
        <v>1.3771186440677967</v>
      </c>
      <c r="R7" s="111">
        <f>R8/R6</f>
        <v>1.5188770571151984</v>
      </c>
      <c r="S7" s="111">
        <f>S8/S6</f>
        <v>1.5188770571151984</v>
      </c>
      <c r="T7" s="111">
        <f>T8/T6</f>
        <v>1.8850666136408829</v>
      </c>
      <c r="U7" s="111">
        <v>1.5134700000000001</v>
      </c>
      <c r="V7" s="111">
        <f t="shared" ref="V7:AA7" si="1">V8/V6</f>
        <v>1.4757358790771677</v>
      </c>
      <c r="W7" s="111">
        <f t="shared" si="1"/>
        <v>2.2935273107413532</v>
      </c>
      <c r="X7" s="111">
        <f t="shared" si="1"/>
        <v>1.9700203252032518</v>
      </c>
      <c r="Y7" s="111">
        <f t="shared" si="1"/>
        <v>1.6021149897330595</v>
      </c>
      <c r="Z7" s="111">
        <f t="shared" si="1"/>
        <v>1.7666666666666666</v>
      </c>
      <c r="AA7" s="111">
        <f t="shared" si="1"/>
        <v>2.6611050658928788</v>
      </c>
      <c r="AB7" s="11">
        <f>AB8/AB6</f>
        <v>2.4100291797254947</v>
      </c>
      <c r="AC7" s="367">
        <f>AC8/AC6</f>
        <v>2.3994600714099104</v>
      </c>
      <c r="AD7" s="392">
        <f>AVERAGE(V7,Y7,U7,Z7,X7)</f>
        <v>1.6656015721360291</v>
      </c>
      <c r="AE7" s="392">
        <f>AVERAGE(Y7:AC7)</f>
        <v>2.1678751946856023</v>
      </c>
      <c r="AF7" s="392">
        <f>AVERAGE(AC7,AB7,AA7,W7,X7)</f>
        <v>2.3468283905945775</v>
      </c>
    </row>
    <row r="8" spans="1:35" x14ac:dyDescent="0.25">
      <c r="A8" s="669" t="s">
        <v>40</v>
      </c>
      <c r="B8" s="329">
        <v>97.999999999999986</v>
      </c>
      <c r="C8" s="220">
        <v>200.9</v>
      </c>
      <c r="D8" s="112">
        <v>174.8</v>
      </c>
      <c r="E8" s="112">
        <v>148.69999999999999</v>
      </c>
      <c r="F8" s="112">
        <v>209.7</v>
      </c>
      <c r="G8" s="112">
        <v>202.4</v>
      </c>
      <c r="H8" s="112">
        <v>136.5</v>
      </c>
      <c r="I8" s="112">
        <v>220</v>
      </c>
      <c r="J8" s="112">
        <v>272.5</v>
      </c>
      <c r="K8" s="112">
        <v>424</v>
      </c>
      <c r="L8" s="112">
        <v>205</v>
      </c>
      <c r="M8" s="112">
        <v>282</v>
      </c>
      <c r="N8" s="112">
        <v>516</v>
      </c>
      <c r="O8" s="112">
        <v>566</v>
      </c>
      <c r="P8" s="112">
        <v>710</v>
      </c>
      <c r="Q8" s="112">
        <v>650</v>
      </c>
      <c r="R8" s="112">
        <v>784.5</v>
      </c>
      <c r="S8" s="112">
        <v>784.5</v>
      </c>
      <c r="T8" s="112">
        <v>948</v>
      </c>
      <c r="U8" s="112">
        <v>1059.8499999999999</v>
      </c>
      <c r="V8" s="112">
        <v>742</v>
      </c>
      <c r="W8" s="112">
        <v>1316.37</v>
      </c>
      <c r="X8" s="112">
        <v>1550.8</v>
      </c>
      <c r="Y8" s="112">
        <v>1170.345</v>
      </c>
      <c r="Z8" s="112">
        <v>1245.5</v>
      </c>
      <c r="AA8" s="141">
        <v>2201</v>
      </c>
      <c r="AB8" s="330">
        <v>2230</v>
      </c>
      <c r="AC8" s="368">
        <v>2755.3</v>
      </c>
      <c r="AD8" s="393">
        <f>AD7*AD6</f>
        <v>1779.1955993557065</v>
      </c>
      <c r="AE8" s="393">
        <f t="shared" ref="AE8:AF8" si="2">AE7*AE6</f>
        <v>2315.7242829631605</v>
      </c>
      <c r="AF8" s="393">
        <f t="shared" si="2"/>
        <v>2506.8820868331277</v>
      </c>
    </row>
    <row r="9" spans="1:35" hidden="1" x14ac:dyDescent="0.25">
      <c r="A9" s="669" t="s">
        <v>41</v>
      </c>
      <c r="B9" s="331"/>
      <c r="C9" s="221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>
        <v>30</v>
      </c>
      <c r="S9" s="113">
        <v>30</v>
      </c>
      <c r="T9" s="113">
        <v>30</v>
      </c>
      <c r="U9" s="113">
        <v>30</v>
      </c>
      <c r="V9" s="113">
        <v>28.805</v>
      </c>
      <c r="W9" s="113"/>
      <c r="X9" s="113">
        <v>30</v>
      </c>
      <c r="Y9" s="113">
        <v>30</v>
      </c>
      <c r="Z9" s="113">
        <v>30</v>
      </c>
      <c r="AA9" s="113">
        <v>30</v>
      </c>
      <c r="AB9" s="12">
        <v>44.075000000000003</v>
      </c>
      <c r="AC9" s="368">
        <v>30</v>
      </c>
      <c r="AD9" s="394">
        <v>30</v>
      </c>
      <c r="AE9" s="394">
        <v>30</v>
      </c>
      <c r="AF9" s="394">
        <v>30</v>
      </c>
      <c r="AI9" s="114"/>
    </row>
    <row r="10" spans="1:35" hidden="1" x14ac:dyDescent="0.25">
      <c r="A10" s="669" t="s">
        <v>42</v>
      </c>
      <c r="B10" s="331"/>
      <c r="C10" s="221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2"/>
      <c r="AC10" s="368"/>
      <c r="AD10" s="394"/>
      <c r="AE10" s="394"/>
      <c r="AF10" s="394"/>
      <c r="AI10" s="114"/>
    </row>
    <row r="11" spans="1:35" hidden="1" x14ac:dyDescent="0.25">
      <c r="A11" s="669" t="s">
        <v>43</v>
      </c>
      <c r="B11" s="331"/>
      <c r="C11" s="221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2"/>
      <c r="AC11" s="368"/>
      <c r="AD11" s="394"/>
      <c r="AE11" s="394"/>
      <c r="AF11" s="394"/>
      <c r="AI11" s="114"/>
    </row>
    <row r="12" spans="1:35" x14ac:dyDescent="0.25">
      <c r="A12" s="669" t="s">
        <v>44</v>
      </c>
      <c r="B12" s="331">
        <f>B8-B9-B10+B11</f>
        <v>97.999999999999986</v>
      </c>
      <c r="C12" s="221">
        <f t="shared" ref="C12:S12" si="3">C8-C9-C10+C11</f>
        <v>200.9</v>
      </c>
      <c r="D12" s="113">
        <f t="shared" si="3"/>
        <v>174.8</v>
      </c>
      <c r="E12" s="113">
        <f t="shared" si="3"/>
        <v>148.69999999999999</v>
      </c>
      <c r="F12" s="113">
        <f t="shared" si="3"/>
        <v>209.7</v>
      </c>
      <c r="G12" s="113">
        <f t="shared" si="3"/>
        <v>202.4</v>
      </c>
      <c r="H12" s="113">
        <f t="shared" si="3"/>
        <v>136.5</v>
      </c>
      <c r="I12" s="113">
        <f t="shared" si="3"/>
        <v>220</v>
      </c>
      <c r="J12" s="113">
        <f t="shared" si="3"/>
        <v>272.5</v>
      </c>
      <c r="K12" s="113">
        <f t="shared" si="3"/>
        <v>424</v>
      </c>
      <c r="L12" s="113">
        <f t="shared" si="3"/>
        <v>205</v>
      </c>
      <c r="M12" s="113">
        <f t="shared" si="3"/>
        <v>282</v>
      </c>
      <c r="N12" s="113">
        <f t="shared" si="3"/>
        <v>516</v>
      </c>
      <c r="O12" s="113">
        <f t="shared" si="3"/>
        <v>566</v>
      </c>
      <c r="P12" s="113">
        <f t="shared" si="3"/>
        <v>710</v>
      </c>
      <c r="Q12" s="113">
        <f t="shared" si="3"/>
        <v>650</v>
      </c>
      <c r="R12" s="113">
        <f t="shared" si="3"/>
        <v>754.5</v>
      </c>
      <c r="S12" s="113">
        <f t="shared" si="3"/>
        <v>754.5</v>
      </c>
      <c r="T12" s="113">
        <f>T8-T9-T10+T11</f>
        <v>918</v>
      </c>
      <c r="U12" s="113">
        <f>U8-U9-U10+U11</f>
        <v>1029.8499999999999</v>
      </c>
      <c r="V12" s="113">
        <f>V8-V9-V10+V11</f>
        <v>713.19500000000005</v>
      </c>
      <c r="W12" s="113">
        <v>1290.8610000000001</v>
      </c>
      <c r="X12" s="113">
        <f t="shared" ref="X12:AC12" si="4">X8-X9-X10+X11</f>
        <v>1520.8</v>
      </c>
      <c r="Y12" s="113">
        <f t="shared" si="4"/>
        <v>1140.345</v>
      </c>
      <c r="Z12" s="113">
        <f t="shared" si="4"/>
        <v>1215.5</v>
      </c>
      <c r="AA12" s="113">
        <f t="shared" si="4"/>
        <v>2171</v>
      </c>
      <c r="AB12" s="12">
        <f t="shared" si="4"/>
        <v>2185.9250000000002</v>
      </c>
      <c r="AC12" s="368">
        <f t="shared" si="4"/>
        <v>2725.3</v>
      </c>
      <c r="AD12" s="394">
        <f t="shared" ref="AD12:AF12" si="5">AD8-AD9-AD10+AD11</f>
        <v>1749.1955993557065</v>
      </c>
      <c r="AE12" s="394">
        <f t="shared" si="5"/>
        <v>2285.7242829631605</v>
      </c>
      <c r="AF12" s="394">
        <f t="shared" si="5"/>
        <v>2476.8820868331277</v>
      </c>
      <c r="AI12" s="114"/>
    </row>
    <row r="13" spans="1:35" ht="13.8" thickBot="1" x14ac:dyDescent="0.3">
      <c r="A13" s="670"/>
      <c r="B13" s="332" t="s">
        <v>4</v>
      </c>
      <c r="C13" s="222" t="s">
        <v>4</v>
      </c>
      <c r="D13" s="115" t="s">
        <v>4</v>
      </c>
      <c r="E13" s="115" t="s">
        <v>4</v>
      </c>
      <c r="F13" s="115" t="s">
        <v>4</v>
      </c>
      <c r="G13" s="115" t="s">
        <v>4</v>
      </c>
      <c r="H13" s="115" t="s">
        <v>4</v>
      </c>
      <c r="I13" s="115" t="s">
        <v>4</v>
      </c>
      <c r="J13" s="115" t="s">
        <v>4</v>
      </c>
      <c r="K13" s="115" t="s">
        <v>4</v>
      </c>
      <c r="L13" s="115" t="s">
        <v>4</v>
      </c>
      <c r="M13" s="115" t="s">
        <v>4</v>
      </c>
      <c r="N13" s="115" t="s">
        <v>4</v>
      </c>
      <c r="O13" s="115" t="s">
        <v>4</v>
      </c>
      <c r="P13" s="115" t="s">
        <v>4</v>
      </c>
      <c r="Q13" s="115" t="s">
        <v>4</v>
      </c>
      <c r="R13" s="115" t="s">
        <v>4</v>
      </c>
      <c r="S13" s="115" t="s">
        <v>4</v>
      </c>
      <c r="T13" s="115" t="s">
        <v>4</v>
      </c>
      <c r="U13" s="115" t="s">
        <v>4</v>
      </c>
      <c r="V13" s="115" t="s">
        <v>4</v>
      </c>
      <c r="W13" s="115" t="s">
        <v>45</v>
      </c>
      <c r="X13" s="115" t="s">
        <v>45</v>
      </c>
      <c r="Y13" s="115" t="s">
        <v>45</v>
      </c>
      <c r="Z13" s="115" t="s">
        <v>46</v>
      </c>
      <c r="AA13" s="115" t="s">
        <v>46</v>
      </c>
      <c r="AB13" s="10" t="s">
        <v>45</v>
      </c>
      <c r="AC13" s="318" t="s">
        <v>45</v>
      </c>
      <c r="AD13" s="395" t="s">
        <v>45</v>
      </c>
      <c r="AE13" s="395" t="s">
        <v>45</v>
      </c>
      <c r="AF13" s="395" t="s">
        <v>45</v>
      </c>
      <c r="AI13" s="114"/>
    </row>
    <row r="14" spans="1:35" ht="13.8" thickBot="1" x14ac:dyDescent="0.3">
      <c r="A14" s="670"/>
      <c r="B14" s="333" t="s">
        <v>47</v>
      </c>
      <c r="C14" s="223" t="s">
        <v>47</v>
      </c>
      <c r="D14" s="116" t="s">
        <v>47</v>
      </c>
      <c r="E14" s="116" t="s">
        <v>47</v>
      </c>
      <c r="F14" s="116" t="s">
        <v>47</v>
      </c>
      <c r="G14" s="116" t="s">
        <v>47</v>
      </c>
      <c r="H14" s="116" t="s">
        <v>47</v>
      </c>
      <c r="I14" s="116" t="s">
        <v>47</v>
      </c>
      <c r="J14" s="116" t="s">
        <v>47</v>
      </c>
      <c r="K14" s="116" t="s">
        <v>47</v>
      </c>
      <c r="L14" s="116" t="s">
        <v>47</v>
      </c>
      <c r="M14" s="116" t="s">
        <v>47</v>
      </c>
      <c r="N14" s="116" t="s">
        <v>47</v>
      </c>
      <c r="O14" s="116" t="s">
        <v>47</v>
      </c>
      <c r="P14" s="116" t="s">
        <v>47</v>
      </c>
      <c r="Q14" s="116" t="s">
        <v>47</v>
      </c>
      <c r="R14" s="116" t="s">
        <v>47</v>
      </c>
      <c r="S14" s="116" t="s">
        <v>47</v>
      </c>
      <c r="T14" s="116" t="s">
        <v>47</v>
      </c>
      <c r="U14" s="116" t="s">
        <v>47</v>
      </c>
      <c r="V14" s="116" t="s">
        <v>47</v>
      </c>
      <c r="W14" s="116" t="s">
        <v>47</v>
      </c>
      <c r="X14" s="116" t="s">
        <v>47</v>
      </c>
      <c r="Y14" s="116" t="s">
        <v>47</v>
      </c>
      <c r="Z14" s="116" t="s">
        <v>47</v>
      </c>
      <c r="AA14" s="116" t="s">
        <v>47</v>
      </c>
      <c r="AB14" s="161" t="s">
        <v>47</v>
      </c>
      <c r="AC14" s="319" t="s">
        <v>47</v>
      </c>
      <c r="AD14" s="396" t="s">
        <v>47</v>
      </c>
      <c r="AE14" s="396" t="s">
        <v>47</v>
      </c>
      <c r="AF14" s="396" t="s">
        <v>47</v>
      </c>
      <c r="AI14" s="114"/>
    </row>
    <row r="15" spans="1:35" ht="13.8" thickTop="1" x14ac:dyDescent="0.25">
      <c r="A15" s="316" t="s">
        <v>48</v>
      </c>
      <c r="B15" s="334"/>
      <c r="C15" s="224"/>
      <c r="D15" s="117"/>
      <c r="E15" s="117"/>
      <c r="F15" s="117"/>
      <c r="G15" s="117"/>
      <c r="H15" s="117" t="s">
        <v>49</v>
      </c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>
        <f>Z10</f>
        <v>0</v>
      </c>
      <c r="AA15" s="117"/>
      <c r="AB15" s="344"/>
      <c r="AC15" s="369"/>
      <c r="AD15" s="397"/>
      <c r="AE15" s="397"/>
      <c r="AF15" s="397"/>
      <c r="AI15" s="114"/>
    </row>
    <row r="16" spans="1:35" x14ac:dyDescent="0.25">
      <c r="A16" s="671" t="s">
        <v>50</v>
      </c>
      <c r="B16" s="335">
        <v>17</v>
      </c>
      <c r="C16" s="225">
        <f>B39</f>
        <v>74</v>
      </c>
      <c r="D16" s="118">
        <f t="shared" ref="D16:Q16" si="6">C39</f>
        <v>117.99999999999997</v>
      </c>
      <c r="E16" s="118">
        <f t="shared" si="6"/>
        <v>74.999999999999943</v>
      </c>
      <c r="F16" s="118">
        <f t="shared" si="6"/>
        <v>88.499999999999886</v>
      </c>
      <c r="G16" s="118">
        <f t="shared" si="6"/>
        <v>92.999999999999886</v>
      </c>
      <c r="H16" s="118">
        <f t="shared" si="6"/>
        <v>136.99999999999991</v>
      </c>
      <c r="I16" s="118">
        <f t="shared" si="6"/>
        <v>80.699999999999875</v>
      </c>
      <c r="J16" s="118">
        <f t="shared" si="6"/>
        <v>132.49999999999989</v>
      </c>
      <c r="K16" s="118">
        <f t="shared" si="6"/>
        <v>121.09999999999985</v>
      </c>
      <c r="L16" s="118">
        <f t="shared" si="6"/>
        <v>163.59999999999985</v>
      </c>
      <c r="M16" s="118">
        <f t="shared" si="6"/>
        <v>128.49999999999994</v>
      </c>
      <c r="N16" s="118">
        <f t="shared" si="6"/>
        <v>121.49999999999994</v>
      </c>
      <c r="O16" s="118">
        <f t="shared" si="6"/>
        <v>144.09999999999991</v>
      </c>
      <c r="P16" s="118">
        <f t="shared" si="6"/>
        <v>134.69999999999993</v>
      </c>
      <c r="Q16" s="118">
        <f t="shared" si="6"/>
        <v>338.09999999999991</v>
      </c>
      <c r="R16" s="118">
        <v>175.857</v>
      </c>
      <c r="S16" s="118">
        <v>68.638999999999996</v>
      </c>
      <c r="T16" s="118">
        <v>61.805999999999997</v>
      </c>
      <c r="U16" s="118">
        <f>T39</f>
        <v>63.704000000000065</v>
      </c>
      <c r="V16" s="118">
        <f>U39</f>
        <v>89.128000000000156</v>
      </c>
      <c r="W16" s="118">
        <v>84.792000000000002</v>
      </c>
      <c r="X16" s="118">
        <v>330.53500000000003</v>
      </c>
      <c r="Y16" s="118">
        <v>502.24099999999999</v>
      </c>
      <c r="Z16" s="118">
        <v>12226</v>
      </c>
      <c r="AA16" s="118">
        <v>46.052999999999997</v>
      </c>
      <c r="AB16" s="164">
        <v>168.387</v>
      </c>
      <c r="AC16" s="370">
        <f>AB39</f>
        <v>171.9030000000007</v>
      </c>
      <c r="AD16" s="398">
        <f t="shared" ref="AD16" si="7">AC39</f>
        <v>282.22300000000132</v>
      </c>
      <c r="AE16" s="398">
        <f>AD16</f>
        <v>282.22300000000132</v>
      </c>
      <c r="AF16" s="398">
        <f>AE16</f>
        <v>282.22300000000132</v>
      </c>
      <c r="AI16" s="114"/>
    </row>
    <row r="17" spans="1:39" s="119" customFormat="1" x14ac:dyDescent="0.25">
      <c r="A17" s="671" t="s">
        <v>51</v>
      </c>
      <c r="B17" s="335">
        <f>B12</f>
        <v>97.999999999999986</v>
      </c>
      <c r="C17" s="225">
        <f>C12</f>
        <v>200.9</v>
      </c>
      <c r="D17" s="118">
        <f>D12</f>
        <v>174.8</v>
      </c>
      <c r="E17" s="118">
        <f>E12</f>
        <v>148.69999999999999</v>
      </c>
      <c r="F17" s="118">
        <v>226.1</v>
      </c>
      <c r="G17" s="118">
        <v>218</v>
      </c>
      <c r="H17" s="118">
        <v>127.2</v>
      </c>
      <c r="I17" s="118">
        <v>217</v>
      </c>
      <c r="J17" s="118">
        <v>262.89999999999998</v>
      </c>
      <c r="K17" s="118">
        <v>409.3</v>
      </c>
      <c r="L17" s="118">
        <v>196.4</v>
      </c>
      <c r="M17" s="118">
        <v>264.3</v>
      </c>
      <c r="N17" s="118">
        <v>503.6</v>
      </c>
      <c r="O17" s="118">
        <v>534.70000000000005</v>
      </c>
      <c r="P17" s="118">
        <v>685.1</v>
      </c>
      <c r="Q17" s="118">
        <v>623.9</v>
      </c>
      <c r="R17" s="118">
        <v>760.202</v>
      </c>
      <c r="S17" s="118">
        <v>759.14599999999996</v>
      </c>
      <c r="T17" s="118">
        <v>919.72299999999996</v>
      </c>
      <c r="U17" s="118">
        <v>1042.1289999999999</v>
      </c>
      <c r="V17" s="118">
        <v>713.66</v>
      </c>
      <c r="W17" s="118">
        <v>1290.2180000000001</v>
      </c>
      <c r="X17" s="118">
        <v>1502.9760000000001</v>
      </c>
      <c r="Y17" s="118">
        <v>17341</v>
      </c>
      <c r="Z17" s="118">
        <v>1219.0440000000001</v>
      </c>
      <c r="AA17" s="118">
        <v>1868.7719999999999</v>
      </c>
      <c r="AB17" s="164">
        <f>AB12</f>
        <v>2185.9250000000002</v>
      </c>
      <c r="AC17" s="370">
        <f>AC12</f>
        <v>2725.3</v>
      </c>
      <c r="AD17" s="398">
        <f t="shared" ref="AD17:AF17" si="8">AD12</f>
        <v>1749.1955993557065</v>
      </c>
      <c r="AE17" s="398">
        <f t="shared" si="8"/>
        <v>2285.7242829631605</v>
      </c>
      <c r="AF17" s="398">
        <f t="shared" si="8"/>
        <v>2476.8820868331277</v>
      </c>
      <c r="AI17" s="114"/>
    </row>
    <row r="18" spans="1:39" s="119" customFormat="1" x14ac:dyDescent="0.25">
      <c r="A18" s="671" t="s">
        <v>52</v>
      </c>
      <c r="B18" s="335">
        <v>32</v>
      </c>
      <c r="C18" s="225">
        <v>5</v>
      </c>
      <c r="D18" s="118">
        <v>14</v>
      </c>
      <c r="E18" s="118">
        <v>91.9</v>
      </c>
      <c r="F18" s="118">
        <v>13.9</v>
      </c>
      <c r="G18" s="118">
        <v>34.799999999999997</v>
      </c>
      <c r="H18" s="118">
        <v>23.4</v>
      </c>
      <c r="I18" s="118">
        <v>18</v>
      </c>
      <c r="J18" s="118">
        <v>14.3</v>
      </c>
      <c r="K18" s="118">
        <v>10.4</v>
      </c>
      <c r="L18" s="118">
        <v>120.1</v>
      </c>
      <c r="M18" s="118">
        <v>16.3</v>
      </c>
      <c r="N18" s="118">
        <v>1.4</v>
      </c>
      <c r="O18" s="118">
        <v>2.2999999999999998</v>
      </c>
      <c r="P18" s="118">
        <v>0.3</v>
      </c>
      <c r="Q18" s="118">
        <v>0.3</v>
      </c>
      <c r="R18" s="118">
        <v>0.32100000000000001</v>
      </c>
      <c r="S18" s="118">
        <v>3.2559999999999998</v>
      </c>
      <c r="T18" s="118">
        <v>102.977</v>
      </c>
      <c r="U18" s="118">
        <v>124.98099999999999</v>
      </c>
      <c r="V18" s="118">
        <v>271.09800000000001</v>
      </c>
      <c r="W18" s="118">
        <v>27.507999999999999</v>
      </c>
      <c r="X18" s="118">
        <v>6.9450000000000003</v>
      </c>
      <c r="Y18" s="118">
        <v>197938</v>
      </c>
      <c r="Z18" s="118">
        <v>116.10299999999999</v>
      </c>
      <c r="AA18" s="118">
        <v>13.448</v>
      </c>
      <c r="AB18" s="164">
        <v>4.1539999999999999</v>
      </c>
      <c r="AC18" s="370">
        <v>3.8</v>
      </c>
      <c r="AD18" s="398"/>
      <c r="AE18" s="398"/>
      <c r="AF18" s="398"/>
      <c r="AI18" s="114"/>
    </row>
    <row r="19" spans="1:39" s="119" customFormat="1" ht="13.8" thickBot="1" x14ac:dyDescent="0.3">
      <c r="A19" s="672" t="s">
        <v>53</v>
      </c>
      <c r="B19" s="336"/>
      <c r="C19" s="22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>
        <v>2.8610000000000002</v>
      </c>
      <c r="X19" s="120">
        <v>4.4969999999999999</v>
      </c>
      <c r="Y19" s="120"/>
      <c r="Z19" s="120">
        <v>1.968</v>
      </c>
      <c r="AA19" s="120">
        <v>4.2889999999999997</v>
      </c>
      <c r="AB19" s="16">
        <v>7.57</v>
      </c>
      <c r="AC19" s="371">
        <v>0</v>
      </c>
      <c r="AD19" s="399"/>
      <c r="AE19" s="399"/>
      <c r="AF19" s="399"/>
      <c r="AI19" s="114"/>
    </row>
    <row r="20" spans="1:39" s="109" customFormat="1" ht="13.8" thickBot="1" x14ac:dyDescent="0.3">
      <c r="A20" s="673" t="s">
        <v>54</v>
      </c>
      <c r="B20" s="337">
        <f t="shared" ref="B20:U20" si="9">+B16+B17+B18</f>
        <v>147</v>
      </c>
      <c r="C20" s="227">
        <f t="shared" si="9"/>
        <v>279.89999999999998</v>
      </c>
      <c r="D20" s="121">
        <f t="shared" si="9"/>
        <v>306.79999999999995</v>
      </c>
      <c r="E20" s="121">
        <f t="shared" si="9"/>
        <v>315.59999999999991</v>
      </c>
      <c r="F20" s="121">
        <f t="shared" si="9"/>
        <v>328.49999999999989</v>
      </c>
      <c r="G20" s="121">
        <f t="shared" si="9"/>
        <v>345.7999999999999</v>
      </c>
      <c r="H20" s="121">
        <f t="shared" si="9"/>
        <v>287.59999999999991</v>
      </c>
      <c r="I20" s="121">
        <f t="shared" si="9"/>
        <v>315.69999999999987</v>
      </c>
      <c r="J20" s="121">
        <f t="shared" si="9"/>
        <v>409.69999999999987</v>
      </c>
      <c r="K20" s="121">
        <f t="shared" si="9"/>
        <v>540.79999999999984</v>
      </c>
      <c r="L20" s="121">
        <f t="shared" si="9"/>
        <v>480.09999999999991</v>
      </c>
      <c r="M20" s="121">
        <f t="shared" si="9"/>
        <v>409.09999999999997</v>
      </c>
      <c r="N20" s="121">
        <f t="shared" si="9"/>
        <v>626.49999999999989</v>
      </c>
      <c r="O20" s="121">
        <f t="shared" si="9"/>
        <v>681.09999999999991</v>
      </c>
      <c r="P20" s="121">
        <f t="shared" si="9"/>
        <v>820.09999999999991</v>
      </c>
      <c r="Q20" s="121">
        <f t="shared" si="9"/>
        <v>962.29999999999984</v>
      </c>
      <c r="R20" s="121">
        <f t="shared" si="9"/>
        <v>936.38</v>
      </c>
      <c r="S20" s="121">
        <f t="shared" si="9"/>
        <v>831.04099999999994</v>
      </c>
      <c r="T20" s="121">
        <f t="shared" si="9"/>
        <v>1084.5060000000001</v>
      </c>
      <c r="U20" s="121">
        <f t="shared" si="9"/>
        <v>1230.8140000000001</v>
      </c>
      <c r="V20" s="121">
        <v>1075.008</v>
      </c>
      <c r="W20" s="121">
        <f>+W16+W17+W18+W19</f>
        <v>1405.3790000000001</v>
      </c>
      <c r="X20" s="121">
        <f>+X16+X17+X18+X19</f>
        <v>1844.9530000000002</v>
      </c>
      <c r="Y20" s="121">
        <f>+Y16+Y17+Y18</f>
        <v>215781.24100000001</v>
      </c>
      <c r="Z20" s="121">
        <v>1473.6020000000001</v>
      </c>
      <c r="AA20" s="121">
        <f>AA16+AA17+AA18+AA19</f>
        <v>1932.5619999999999</v>
      </c>
      <c r="AB20" s="13">
        <f>+AB16+AB17+AB18+AB19</f>
        <v>2366.0360000000005</v>
      </c>
      <c r="AC20" s="372">
        <f>+AC16+AC17+AC18</f>
        <v>2901.0030000000011</v>
      </c>
      <c r="AD20" s="400">
        <f t="shared" ref="AD20:AF20" si="10">+AD16+AD17+AD18</f>
        <v>2031.4185993557078</v>
      </c>
      <c r="AE20" s="400">
        <f t="shared" si="10"/>
        <v>2567.9472829631618</v>
      </c>
      <c r="AF20" s="400">
        <f t="shared" si="10"/>
        <v>2759.105086833129</v>
      </c>
    </row>
    <row r="21" spans="1:39" s="109" customFormat="1" x14ac:dyDescent="0.25">
      <c r="A21" s="674"/>
      <c r="B21" s="335"/>
      <c r="C21" s="225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64"/>
      <c r="AC21" s="370"/>
      <c r="AD21" s="398"/>
      <c r="AE21" s="398"/>
      <c r="AF21" s="398"/>
    </row>
    <row r="22" spans="1:39" x14ac:dyDescent="0.25">
      <c r="A22" s="674" t="s">
        <v>55</v>
      </c>
      <c r="B22" s="335"/>
      <c r="C22" s="225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>
        <v>31192</v>
      </c>
      <c r="AA22" s="118"/>
      <c r="AB22" s="164"/>
      <c r="AC22" s="370"/>
      <c r="AD22" s="398"/>
      <c r="AE22" s="398"/>
      <c r="AF22" s="398"/>
    </row>
    <row r="23" spans="1:39" x14ac:dyDescent="0.25">
      <c r="A23" s="671" t="s">
        <v>56</v>
      </c>
      <c r="B23" s="338"/>
      <c r="C23" s="228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67"/>
      <c r="AC23" s="370"/>
      <c r="AD23" s="398"/>
      <c r="AE23" s="398"/>
      <c r="AF23" s="398"/>
    </row>
    <row r="24" spans="1:39" x14ac:dyDescent="0.25">
      <c r="A24" s="671" t="s">
        <v>57</v>
      </c>
      <c r="B24" s="335">
        <v>22</v>
      </c>
      <c r="C24" s="225">
        <v>4</v>
      </c>
      <c r="D24" s="118">
        <v>9</v>
      </c>
      <c r="E24" s="118">
        <v>15.8</v>
      </c>
      <c r="F24" s="118">
        <v>17.3</v>
      </c>
      <c r="G24" s="118">
        <v>19.3</v>
      </c>
      <c r="H24" s="118">
        <v>23.4</v>
      </c>
      <c r="I24" s="118">
        <v>16.600000000000001</v>
      </c>
      <c r="J24" s="118">
        <v>23.1</v>
      </c>
      <c r="K24" s="118">
        <v>24.7</v>
      </c>
      <c r="L24" s="118">
        <v>21.4</v>
      </c>
      <c r="M24" s="118">
        <v>27.3</v>
      </c>
      <c r="N24" s="118">
        <v>29.6</v>
      </c>
      <c r="O24" s="118">
        <v>30.7</v>
      </c>
      <c r="P24" s="118">
        <v>30.1</v>
      </c>
      <c r="Q24" s="118">
        <v>27</v>
      </c>
      <c r="R24" s="118">
        <v>26.707999999999998</v>
      </c>
      <c r="S24" s="118">
        <v>24.86</v>
      </c>
      <c r="T24" s="118">
        <v>25.318999999999999</v>
      </c>
      <c r="U24" s="118">
        <v>24.323</v>
      </c>
      <c r="V24" s="118">
        <v>23.875</v>
      </c>
      <c r="W24" s="118">
        <v>25.056000000000001</v>
      </c>
      <c r="X24" s="118">
        <v>25.004999999999999</v>
      </c>
      <c r="Y24" s="118">
        <v>23.759</v>
      </c>
      <c r="Z24" s="118">
        <v>23.234000000000002</v>
      </c>
      <c r="AA24" s="118">
        <v>22.279</v>
      </c>
      <c r="AB24" s="164">
        <v>21.739000000000001</v>
      </c>
      <c r="AC24" s="370">
        <v>21.5</v>
      </c>
      <c r="AD24" s="398">
        <f>AVERAGE(Y24:AC24)</f>
        <v>22.502200000000002</v>
      </c>
      <c r="AE24" s="398">
        <f>AD24</f>
        <v>22.502200000000002</v>
      </c>
      <c r="AF24" s="398">
        <f>AE24</f>
        <v>22.502200000000002</v>
      </c>
    </row>
    <row r="25" spans="1:39" x14ac:dyDescent="0.25">
      <c r="A25" s="671" t="s">
        <v>58</v>
      </c>
      <c r="B25" s="339"/>
      <c r="C25" s="225">
        <v>79</v>
      </c>
      <c r="D25" s="118">
        <v>91</v>
      </c>
      <c r="E25" s="118">
        <v>132.30000000000001</v>
      </c>
      <c r="F25" s="118">
        <v>147.69999999999999</v>
      </c>
      <c r="G25" s="118">
        <v>141.69999999999999</v>
      </c>
      <c r="H25" s="118">
        <v>139.80000000000001</v>
      </c>
      <c r="I25" s="118">
        <v>123.4</v>
      </c>
      <c r="J25" s="118">
        <v>189.5</v>
      </c>
      <c r="K25" s="118">
        <v>216.4</v>
      </c>
      <c r="L25" s="118">
        <v>191.9</v>
      </c>
      <c r="M25" s="118">
        <v>110.4</v>
      </c>
      <c r="N25" s="118">
        <v>167.1</v>
      </c>
      <c r="O25" s="118">
        <v>198.8</v>
      </c>
      <c r="P25" s="118">
        <v>149.6</v>
      </c>
      <c r="Q25" s="118">
        <v>144.69999999999999</v>
      </c>
      <c r="R25" s="118">
        <v>161.51499999999999</v>
      </c>
      <c r="S25" s="118">
        <v>155.654</v>
      </c>
      <c r="T25" s="118">
        <v>118.598</v>
      </c>
      <c r="U25" s="118">
        <v>121.76300000000001</v>
      </c>
      <c r="V25" s="118">
        <v>98.718000000000004</v>
      </c>
      <c r="W25" s="118">
        <v>146.56299999999999</v>
      </c>
      <c r="X25" s="118">
        <v>218.97300000000001</v>
      </c>
      <c r="Y25" s="118">
        <v>191.22300000000001</v>
      </c>
      <c r="Z25" s="118">
        <v>144.98500000000001</v>
      </c>
      <c r="AA25" s="118">
        <v>167.48</v>
      </c>
      <c r="AB25" s="164">
        <v>189.684</v>
      </c>
      <c r="AC25" s="370">
        <v>165</v>
      </c>
      <c r="AD25" s="398">
        <f>AVERAGE(Y25:AC25)</f>
        <v>171.67439999999999</v>
      </c>
      <c r="AE25" s="398">
        <f>AD25</f>
        <v>171.67439999999999</v>
      </c>
      <c r="AF25" s="398">
        <f>AE25</f>
        <v>171.67439999999999</v>
      </c>
    </row>
    <row r="26" spans="1:39" x14ac:dyDescent="0.25">
      <c r="A26" s="671" t="s">
        <v>59</v>
      </c>
      <c r="B26" s="335">
        <v>38</v>
      </c>
      <c r="C26" s="225">
        <v>90</v>
      </c>
      <c r="D26" s="118">
        <v>113</v>
      </c>
      <c r="E26" s="118">
        <v>69.5</v>
      </c>
      <c r="F26" s="118">
        <v>50.5</v>
      </c>
      <c r="G26" s="118">
        <v>32.5</v>
      </c>
      <c r="H26" s="118">
        <v>30.8</v>
      </c>
      <c r="I26" s="118">
        <v>32.5</v>
      </c>
      <c r="J26" s="118">
        <v>54.5</v>
      </c>
      <c r="K26" s="118">
        <v>127.6</v>
      </c>
      <c r="L26" s="118">
        <v>133.69999999999999</v>
      </c>
      <c r="M26" s="118">
        <v>137</v>
      </c>
      <c r="N26" s="118">
        <v>115.2</v>
      </c>
      <c r="O26" s="118">
        <v>184.1</v>
      </c>
      <c r="P26" s="118">
        <v>247.3</v>
      </c>
      <c r="Q26" s="118">
        <v>412.3</v>
      </c>
      <c r="R26" s="118">
        <v>560.09500000000003</v>
      </c>
      <c r="S26" s="118">
        <v>561.59</v>
      </c>
      <c r="T26" s="118">
        <v>861.63099999999997</v>
      </c>
      <c r="U26" s="118">
        <v>988.024</v>
      </c>
      <c r="V26" s="118">
        <v>852.30799999999999</v>
      </c>
      <c r="W26" s="118">
        <v>891.42499999999995</v>
      </c>
      <c r="X26" s="118">
        <v>1054.566</v>
      </c>
      <c r="Y26" s="118">
        <v>6322</v>
      </c>
      <c r="Z26" s="118">
        <v>1248.9459999999999</v>
      </c>
      <c r="AA26" s="118">
        <v>1520.462</v>
      </c>
      <c r="AB26" s="164">
        <v>1696.6379999999999</v>
      </c>
      <c r="AC26" s="370">
        <v>1791</v>
      </c>
      <c r="AD26" s="398">
        <v>1597</v>
      </c>
      <c r="AE26" s="398">
        <v>1800</v>
      </c>
      <c r="AF26" s="398">
        <v>1800</v>
      </c>
      <c r="AG26" s="292"/>
      <c r="AH26" s="292"/>
      <c r="AI26" s="292"/>
      <c r="AJ26" s="292"/>
      <c r="AK26" s="292"/>
      <c r="AL26" s="292"/>
      <c r="AM26" s="292"/>
    </row>
    <row r="27" spans="1:39" x14ac:dyDescent="0.25">
      <c r="A27" s="674" t="s">
        <v>60</v>
      </c>
      <c r="B27" s="335">
        <f>SUM(B24:B26)</f>
        <v>60</v>
      </c>
      <c r="C27" s="225">
        <f t="shared" ref="C27:Q27" si="11">SUM(C24:C26)</f>
        <v>173</v>
      </c>
      <c r="D27" s="118">
        <f t="shared" si="11"/>
        <v>213</v>
      </c>
      <c r="E27" s="118">
        <f t="shared" si="11"/>
        <v>217.60000000000002</v>
      </c>
      <c r="F27" s="118">
        <f t="shared" si="11"/>
        <v>215.5</v>
      </c>
      <c r="G27" s="118">
        <f t="shared" si="11"/>
        <v>193.5</v>
      </c>
      <c r="H27" s="118">
        <f t="shared" si="11"/>
        <v>194.00000000000003</v>
      </c>
      <c r="I27" s="118">
        <f t="shared" si="11"/>
        <v>172.5</v>
      </c>
      <c r="J27" s="118">
        <f t="shared" si="11"/>
        <v>267.10000000000002</v>
      </c>
      <c r="K27" s="118">
        <f t="shared" si="11"/>
        <v>368.7</v>
      </c>
      <c r="L27" s="118">
        <f t="shared" si="11"/>
        <v>347</v>
      </c>
      <c r="M27" s="118">
        <f t="shared" si="11"/>
        <v>274.70000000000005</v>
      </c>
      <c r="N27" s="118">
        <f t="shared" si="11"/>
        <v>311.89999999999998</v>
      </c>
      <c r="O27" s="118">
        <f t="shared" si="11"/>
        <v>413.6</v>
      </c>
      <c r="P27" s="118">
        <f t="shared" si="11"/>
        <v>427</v>
      </c>
      <c r="Q27" s="118">
        <f t="shared" si="11"/>
        <v>584</v>
      </c>
      <c r="R27" s="118">
        <f>SUM(R24:R26)</f>
        <v>748.31799999999998</v>
      </c>
      <c r="S27" s="118">
        <f>SUM(S24:S26)</f>
        <v>742.10400000000004</v>
      </c>
      <c r="T27" s="118">
        <f>SUM(T24:T26)</f>
        <v>1005.548</v>
      </c>
      <c r="U27" s="118">
        <f>SUM(U24:U26)</f>
        <v>1134.1100000000001</v>
      </c>
      <c r="V27" s="118">
        <f>SUM(V24:V26)</f>
        <v>974.90099999999995</v>
      </c>
      <c r="W27" s="118">
        <f t="shared" ref="W27:AC27" si="12">SUM(W24:W26)</f>
        <v>1063.0439999999999</v>
      </c>
      <c r="X27" s="118">
        <f t="shared" si="12"/>
        <v>1298.5440000000001</v>
      </c>
      <c r="Y27" s="118">
        <v>134648</v>
      </c>
      <c r="Z27" s="118">
        <f t="shared" si="12"/>
        <v>1417.165</v>
      </c>
      <c r="AA27" s="118">
        <f t="shared" si="12"/>
        <v>1710.221</v>
      </c>
      <c r="AB27" s="164">
        <f>SUM(AB24:AB26)</f>
        <v>1908.0609999999999</v>
      </c>
      <c r="AC27" s="373">
        <f t="shared" si="12"/>
        <v>1977.5</v>
      </c>
      <c r="AD27" s="401">
        <f t="shared" ref="AD27:AF27" si="13">SUM(AD24:AD26)</f>
        <v>1791.1766</v>
      </c>
      <c r="AE27" s="401">
        <f t="shared" si="13"/>
        <v>1994.1766</v>
      </c>
      <c r="AF27" s="401">
        <f t="shared" si="13"/>
        <v>1994.1766</v>
      </c>
    </row>
    <row r="28" spans="1:39" x14ac:dyDescent="0.25">
      <c r="A28" s="671" t="s">
        <v>61</v>
      </c>
      <c r="B28" s="335"/>
      <c r="C28" s="225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64"/>
      <c r="AC28" s="370"/>
      <c r="AD28" s="398"/>
      <c r="AE28" s="398"/>
      <c r="AF28" s="398"/>
    </row>
    <row r="29" spans="1:39" x14ac:dyDescent="0.25">
      <c r="A29" s="671" t="s">
        <v>62</v>
      </c>
      <c r="B29" s="335">
        <v>0</v>
      </c>
      <c r="C29" s="225">
        <v>0</v>
      </c>
      <c r="D29" s="118">
        <v>0</v>
      </c>
      <c r="E29" s="118">
        <v>5.3</v>
      </c>
      <c r="F29" s="118">
        <v>2.2999999999999998</v>
      </c>
      <c r="G29" s="118">
        <v>3.8</v>
      </c>
      <c r="H29" s="118">
        <v>3.8</v>
      </c>
      <c r="I29" s="118">
        <v>2.2999999999999998</v>
      </c>
      <c r="J29" s="118">
        <v>2.9</v>
      </c>
      <c r="K29" s="118">
        <v>5.2</v>
      </c>
      <c r="L29" s="118">
        <v>2.9</v>
      </c>
      <c r="M29" s="118">
        <v>3.9</v>
      </c>
      <c r="N29" s="118">
        <v>4.9000000000000004</v>
      </c>
      <c r="O29" s="118">
        <v>4.8</v>
      </c>
      <c r="P29" s="118">
        <v>3.9</v>
      </c>
      <c r="Q29" s="118">
        <v>4.5999999999999996</v>
      </c>
      <c r="R29" s="118">
        <v>3.8610000000000002</v>
      </c>
      <c r="S29" s="118">
        <v>3.8769999999999998</v>
      </c>
      <c r="T29" s="118">
        <v>1.9750000000000001</v>
      </c>
      <c r="U29" s="118">
        <v>2.3929999999999998</v>
      </c>
      <c r="V29" s="118">
        <v>0.36699999999999999</v>
      </c>
      <c r="W29" s="118">
        <v>1.331</v>
      </c>
      <c r="X29" s="118">
        <v>0.56699999999999995</v>
      </c>
      <c r="Y29" s="118">
        <v>0.67600000000000005</v>
      </c>
      <c r="Z29" s="118">
        <v>0.496</v>
      </c>
      <c r="AA29" s="118">
        <v>0.19600000000000001</v>
      </c>
      <c r="AB29" s="164">
        <v>0</v>
      </c>
      <c r="AC29" s="370">
        <v>0.09</v>
      </c>
      <c r="AD29" s="398">
        <f>AVERAGE(Y29:AC29)</f>
        <v>0.29160000000000003</v>
      </c>
      <c r="AE29" s="398">
        <f t="shared" ref="AE29:AF31" si="14">AD29</f>
        <v>0.29160000000000003</v>
      </c>
      <c r="AF29" s="398">
        <f t="shared" si="14"/>
        <v>0.29160000000000003</v>
      </c>
    </row>
    <row r="30" spans="1:39" x14ac:dyDescent="0.25">
      <c r="A30" s="671" t="s">
        <v>63</v>
      </c>
      <c r="B30" s="335">
        <v>0</v>
      </c>
      <c r="C30" s="225">
        <v>0</v>
      </c>
      <c r="D30" s="118">
        <v>0</v>
      </c>
      <c r="E30" s="118">
        <v>1.3</v>
      </c>
      <c r="F30" s="118">
        <v>4.4000000000000004</v>
      </c>
      <c r="G30" s="118">
        <v>6.3</v>
      </c>
      <c r="H30" s="118">
        <v>2.2999999999999998</v>
      </c>
      <c r="I30" s="118">
        <v>2.1</v>
      </c>
      <c r="J30" s="118">
        <v>3.4</v>
      </c>
      <c r="K30" s="118">
        <v>1.9</v>
      </c>
      <c r="L30" s="118">
        <v>1.2</v>
      </c>
      <c r="M30" s="118">
        <v>1</v>
      </c>
      <c r="N30" s="118">
        <v>1.2</v>
      </c>
      <c r="O30" s="118">
        <v>3.6</v>
      </c>
      <c r="P30" s="118">
        <v>3</v>
      </c>
      <c r="Q30" s="118">
        <v>3.4</v>
      </c>
      <c r="R30" s="118">
        <v>2.234</v>
      </c>
      <c r="S30" s="118">
        <v>2.8250000000000002</v>
      </c>
      <c r="T30" s="118">
        <v>2.8860000000000001</v>
      </c>
      <c r="U30" s="118">
        <v>2.65</v>
      </c>
      <c r="V30" s="118">
        <v>1.0980000000000001</v>
      </c>
      <c r="W30" s="118">
        <v>0.60799999999999998</v>
      </c>
      <c r="X30" s="118">
        <v>0.43099999999999999</v>
      </c>
      <c r="Y30" s="118">
        <v>0.36699999999999999</v>
      </c>
      <c r="Z30" s="118">
        <v>0.67300000000000004</v>
      </c>
      <c r="AA30" s="118">
        <v>0.123</v>
      </c>
      <c r="AB30" s="164">
        <v>0.13</v>
      </c>
      <c r="AC30" s="370">
        <v>0.19</v>
      </c>
      <c r="AD30" s="398">
        <f>AVERAGE(Y30:AC30)</f>
        <v>0.29660000000000003</v>
      </c>
      <c r="AE30" s="398">
        <f t="shared" si="14"/>
        <v>0.29660000000000003</v>
      </c>
      <c r="AF30" s="398">
        <f t="shared" si="14"/>
        <v>0.29660000000000003</v>
      </c>
    </row>
    <row r="31" spans="1:39" x14ac:dyDescent="0.25">
      <c r="A31" s="671" t="s">
        <v>64</v>
      </c>
      <c r="B31" s="335">
        <v>0</v>
      </c>
      <c r="C31" s="225">
        <v>2</v>
      </c>
      <c r="D31" s="118">
        <v>10</v>
      </c>
      <c r="E31" s="118">
        <v>1.2</v>
      </c>
      <c r="F31" s="118">
        <v>1</v>
      </c>
      <c r="G31" s="118">
        <v>2.9</v>
      </c>
      <c r="H31" s="118">
        <v>2.7</v>
      </c>
      <c r="I31" s="118">
        <v>2.5</v>
      </c>
      <c r="J31" s="118">
        <v>2.5</v>
      </c>
      <c r="K31" s="118">
        <v>2.5</v>
      </c>
      <c r="L31" s="118">
        <v>1.5</v>
      </c>
      <c r="M31" s="118">
        <v>3.1</v>
      </c>
      <c r="N31" s="118">
        <v>5.3</v>
      </c>
      <c r="O31" s="118">
        <v>4.9000000000000004</v>
      </c>
      <c r="P31" s="118">
        <v>5.2</v>
      </c>
      <c r="Q31" s="118">
        <v>5.7</v>
      </c>
      <c r="R31" s="118">
        <v>5.2949999999999999</v>
      </c>
      <c r="S31" s="118">
        <v>5.2949999999999999</v>
      </c>
      <c r="T31" s="118">
        <v>5.1109999999999998</v>
      </c>
      <c r="U31" s="118">
        <v>7.577</v>
      </c>
      <c r="V31" s="118">
        <v>5.6779999999999999</v>
      </c>
      <c r="W31" s="118">
        <v>8.7949999999999999</v>
      </c>
      <c r="X31" s="118">
        <v>10.599</v>
      </c>
      <c r="Y31" s="118">
        <v>10</v>
      </c>
      <c r="Z31" s="118">
        <v>9.9610000000000003</v>
      </c>
      <c r="AA31" s="118">
        <v>11.079000000000001</v>
      </c>
      <c r="AB31" s="164">
        <v>8.9710000000000001</v>
      </c>
      <c r="AC31" s="370">
        <v>11</v>
      </c>
      <c r="AD31" s="398">
        <f>AVERAGE(Y31:AC31)</f>
        <v>10.202199999999999</v>
      </c>
      <c r="AE31" s="398">
        <f t="shared" si="14"/>
        <v>10.202199999999999</v>
      </c>
      <c r="AF31" s="398">
        <f t="shared" si="14"/>
        <v>10.202199999999999</v>
      </c>
    </row>
    <row r="32" spans="1:39" x14ac:dyDescent="0.25">
      <c r="A32" s="671" t="s">
        <v>65</v>
      </c>
      <c r="B32" s="340">
        <v>0</v>
      </c>
      <c r="C32" s="229">
        <v>-26.1</v>
      </c>
      <c r="D32" s="123">
        <v>6.8</v>
      </c>
      <c r="E32" s="123">
        <v>-1.1000000000000001</v>
      </c>
      <c r="F32" s="123">
        <v>10.9</v>
      </c>
      <c r="G32" s="123">
        <v>1.1000000000000001</v>
      </c>
      <c r="H32" s="123">
        <v>-1</v>
      </c>
      <c r="I32" s="123">
        <v>1.6</v>
      </c>
      <c r="J32" s="123">
        <v>4.3</v>
      </c>
      <c r="K32" s="123">
        <v>-2.2999999999999998</v>
      </c>
      <c r="L32" s="123">
        <v>-2.2000000000000002</v>
      </c>
      <c r="M32" s="123">
        <v>-0.5</v>
      </c>
      <c r="N32" s="123">
        <v>3.5</v>
      </c>
      <c r="O32" s="123">
        <v>-1.8</v>
      </c>
      <c r="P32" s="123">
        <v>0.1</v>
      </c>
      <c r="Q32" s="123">
        <v>-0.8</v>
      </c>
      <c r="R32" s="123">
        <v>-0.56399999999999995</v>
      </c>
      <c r="S32" s="123">
        <v>-0.25600000000000001</v>
      </c>
      <c r="T32" s="123">
        <v>4.7060000000000004</v>
      </c>
      <c r="U32" s="123">
        <v>-9.7210000000000001</v>
      </c>
      <c r="V32" s="123">
        <v>1.427</v>
      </c>
      <c r="W32" s="123">
        <v>0.621</v>
      </c>
      <c r="X32" s="123">
        <v>-0.23899999999999999</v>
      </c>
      <c r="Y32" s="123">
        <v>1.107</v>
      </c>
      <c r="Z32" s="123">
        <v>0.16200000000000001</v>
      </c>
      <c r="AA32" s="123">
        <v>0.26100000000000001</v>
      </c>
      <c r="AB32" s="17">
        <v>0.254</v>
      </c>
      <c r="AC32" s="370"/>
      <c r="AD32" s="398"/>
      <c r="AE32" s="398"/>
      <c r="AF32" s="398"/>
    </row>
    <row r="33" spans="1:32" x14ac:dyDescent="0.25">
      <c r="A33" s="671" t="s">
        <v>66</v>
      </c>
      <c r="B33" s="335">
        <v>32</v>
      </c>
      <c r="C33" s="229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>
        <v>8.0969999999999995</v>
      </c>
      <c r="Z33" s="123"/>
      <c r="AA33" s="123"/>
      <c r="AB33" s="17"/>
      <c r="AC33" s="374"/>
      <c r="AD33" s="402"/>
      <c r="AE33" s="402"/>
      <c r="AF33" s="402"/>
    </row>
    <row r="34" spans="1:32" x14ac:dyDescent="0.25">
      <c r="A34" s="671" t="s">
        <v>67</v>
      </c>
      <c r="B34" s="340">
        <f>SUM(B29:B32)</f>
        <v>0</v>
      </c>
      <c r="C34" s="229">
        <f t="shared" ref="C34:Q34" si="15">SUM(C29:C32)</f>
        <v>-24.1</v>
      </c>
      <c r="D34" s="123">
        <f t="shared" si="15"/>
        <v>16.8</v>
      </c>
      <c r="E34" s="123">
        <f t="shared" si="15"/>
        <v>6.6999999999999993</v>
      </c>
      <c r="F34" s="123">
        <f t="shared" si="15"/>
        <v>18.600000000000001</v>
      </c>
      <c r="G34" s="123">
        <f t="shared" si="15"/>
        <v>14.1</v>
      </c>
      <c r="H34" s="123">
        <f t="shared" si="15"/>
        <v>7.8000000000000007</v>
      </c>
      <c r="I34" s="123">
        <f t="shared" si="15"/>
        <v>8.5</v>
      </c>
      <c r="J34" s="123">
        <f t="shared" si="15"/>
        <v>13.100000000000001</v>
      </c>
      <c r="K34" s="123">
        <f t="shared" si="15"/>
        <v>7.3</v>
      </c>
      <c r="L34" s="123">
        <f t="shared" si="15"/>
        <v>3.3999999999999995</v>
      </c>
      <c r="M34" s="123">
        <f t="shared" si="15"/>
        <v>7.5</v>
      </c>
      <c r="N34" s="123">
        <f t="shared" si="15"/>
        <v>14.9</v>
      </c>
      <c r="O34" s="123">
        <f t="shared" si="15"/>
        <v>11.5</v>
      </c>
      <c r="P34" s="123">
        <f t="shared" si="15"/>
        <v>12.200000000000001</v>
      </c>
      <c r="Q34" s="123">
        <f t="shared" si="15"/>
        <v>12.899999999999999</v>
      </c>
      <c r="R34" s="123">
        <f t="shared" ref="R34:X34" si="16">SUM(R29:R32)</f>
        <v>10.826000000000001</v>
      </c>
      <c r="S34" s="123">
        <f t="shared" si="16"/>
        <v>11.741</v>
      </c>
      <c r="T34" s="123">
        <f t="shared" si="16"/>
        <v>14.678000000000001</v>
      </c>
      <c r="U34" s="123">
        <f t="shared" si="16"/>
        <v>2.8989999999999991</v>
      </c>
      <c r="V34" s="123">
        <f t="shared" si="16"/>
        <v>8.57</v>
      </c>
      <c r="W34" s="123">
        <f t="shared" si="16"/>
        <v>11.355</v>
      </c>
      <c r="X34" s="123">
        <f t="shared" si="16"/>
        <v>11.357999999999999</v>
      </c>
      <c r="Y34" s="123">
        <f>SUM(Y29:Y33)</f>
        <v>20.247</v>
      </c>
      <c r="Z34" s="123">
        <v>8393</v>
      </c>
      <c r="AA34" s="123">
        <f>SUM(AA29:AA32)</f>
        <v>11.659000000000001</v>
      </c>
      <c r="AB34" s="17">
        <f>SUM(AB29:AB32)</f>
        <v>9.3550000000000004</v>
      </c>
      <c r="AC34" s="374">
        <f>SUM(AC29:AC32)</f>
        <v>11.28</v>
      </c>
      <c r="AD34" s="402">
        <f>SUM(AD29:AD32)</f>
        <v>10.7904</v>
      </c>
      <c r="AE34" s="402">
        <f t="shared" ref="AE34:AF34" si="17">SUM(AE29:AE32)</f>
        <v>10.7904</v>
      </c>
      <c r="AF34" s="402">
        <f t="shared" si="17"/>
        <v>10.7904</v>
      </c>
    </row>
    <row r="35" spans="1:32" x14ac:dyDescent="0.25">
      <c r="A35" s="675" t="s">
        <v>68</v>
      </c>
      <c r="B35" s="340">
        <f>B27+B34</f>
        <v>60</v>
      </c>
      <c r="C35" s="229">
        <f t="shared" ref="C35:Q35" si="18">C27+C34</f>
        <v>148.9</v>
      </c>
      <c r="D35" s="123">
        <f t="shared" si="18"/>
        <v>229.8</v>
      </c>
      <c r="E35" s="123">
        <f t="shared" si="18"/>
        <v>224.3</v>
      </c>
      <c r="F35" s="123">
        <f t="shared" si="18"/>
        <v>234.1</v>
      </c>
      <c r="G35" s="123">
        <f t="shared" si="18"/>
        <v>207.6</v>
      </c>
      <c r="H35" s="123">
        <f t="shared" si="18"/>
        <v>201.80000000000004</v>
      </c>
      <c r="I35" s="123">
        <f t="shared" si="18"/>
        <v>181</v>
      </c>
      <c r="J35" s="123">
        <f t="shared" si="18"/>
        <v>280.20000000000005</v>
      </c>
      <c r="K35" s="123">
        <f t="shared" si="18"/>
        <v>376</v>
      </c>
      <c r="L35" s="123">
        <f t="shared" si="18"/>
        <v>350.4</v>
      </c>
      <c r="M35" s="123">
        <f t="shared" si="18"/>
        <v>282.20000000000005</v>
      </c>
      <c r="N35" s="123">
        <f t="shared" si="18"/>
        <v>326.79999999999995</v>
      </c>
      <c r="O35" s="123">
        <f t="shared" si="18"/>
        <v>425.1</v>
      </c>
      <c r="P35" s="123">
        <f t="shared" si="18"/>
        <v>439.2</v>
      </c>
      <c r="Q35" s="123">
        <f t="shared" si="18"/>
        <v>596.9</v>
      </c>
      <c r="R35" s="123">
        <f t="shared" ref="R35:W35" si="19">R27+R34</f>
        <v>759.14400000000001</v>
      </c>
      <c r="S35" s="123">
        <f t="shared" si="19"/>
        <v>753.84500000000003</v>
      </c>
      <c r="T35" s="123">
        <f t="shared" si="19"/>
        <v>1020.226</v>
      </c>
      <c r="U35" s="123">
        <f t="shared" si="19"/>
        <v>1137.009</v>
      </c>
      <c r="V35" s="123">
        <f t="shared" si="19"/>
        <v>983.471</v>
      </c>
      <c r="W35" s="123">
        <f t="shared" si="19"/>
        <v>1074.3989999999999</v>
      </c>
      <c r="X35" s="123">
        <f t="shared" ref="X35:AC35" si="20">X27+X34</f>
        <v>1309.902</v>
      </c>
      <c r="Y35" s="123">
        <f t="shared" si="20"/>
        <v>134668.247</v>
      </c>
      <c r="Z35" s="123">
        <f t="shared" si="20"/>
        <v>9810.1650000000009</v>
      </c>
      <c r="AA35" s="123">
        <f>AA27+AA34</f>
        <v>1721.88</v>
      </c>
      <c r="AB35" s="17">
        <f>AB27+AB34</f>
        <v>1917.4159999999999</v>
      </c>
      <c r="AC35" s="375">
        <f t="shared" si="20"/>
        <v>1988.78</v>
      </c>
      <c r="AD35" s="403">
        <f t="shared" ref="AD35:AF35" si="21">AD27+AD34</f>
        <v>1801.9670000000001</v>
      </c>
      <c r="AE35" s="403">
        <f t="shared" si="21"/>
        <v>2004.9670000000001</v>
      </c>
      <c r="AF35" s="403">
        <f t="shared" si="21"/>
        <v>2004.9670000000001</v>
      </c>
    </row>
    <row r="36" spans="1:32" s="258" customFormat="1" ht="13.8" thickBot="1" x14ac:dyDescent="0.3">
      <c r="A36" s="676" t="s">
        <v>69</v>
      </c>
      <c r="B36" s="341">
        <v>13</v>
      </c>
      <c r="C36" s="257">
        <v>13</v>
      </c>
      <c r="D36" s="257">
        <v>2</v>
      </c>
      <c r="E36" s="257">
        <v>2.8</v>
      </c>
      <c r="F36" s="257">
        <v>1.4</v>
      </c>
      <c r="G36" s="257">
        <v>1.2</v>
      </c>
      <c r="H36" s="257">
        <v>5.0999999999999996</v>
      </c>
      <c r="I36" s="257">
        <v>2.2000000000000002</v>
      </c>
      <c r="J36" s="257">
        <v>8.4</v>
      </c>
      <c r="K36" s="257">
        <v>1.2</v>
      </c>
      <c r="L36" s="257">
        <v>1.2</v>
      </c>
      <c r="M36" s="257">
        <v>5.4</v>
      </c>
      <c r="N36" s="257">
        <v>155.6</v>
      </c>
      <c r="O36" s="257">
        <v>121.3</v>
      </c>
      <c r="P36" s="257">
        <v>42.8</v>
      </c>
      <c r="Q36" s="257">
        <v>157.5</v>
      </c>
      <c r="R36" s="257">
        <v>15.406000000000001</v>
      </c>
      <c r="S36" s="257">
        <v>15.39</v>
      </c>
      <c r="T36" s="257">
        <v>0.57599999999999996</v>
      </c>
      <c r="U36" s="257">
        <v>4.6769999999999996</v>
      </c>
      <c r="V36" s="257">
        <v>6.7450000000000001</v>
      </c>
      <c r="W36" s="257">
        <v>0.41399999999999998</v>
      </c>
      <c r="X36" s="251">
        <v>32.81</v>
      </c>
      <c r="Y36" s="251">
        <v>32297</v>
      </c>
      <c r="Z36" s="251">
        <v>1.06</v>
      </c>
      <c r="AA36" s="251">
        <v>42.295000000000002</v>
      </c>
      <c r="AB36" s="345">
        <v>276.71699999999998</v>
      </c>
      <c r="AC36" s="376">
        <v>630</v>
      </c>
      <c r="AD36" s="404">
        <v>0</v>
      </c>
      <c r="AE36" s="404">
        <v>308</v>
      </c>
      <c r="AF36" s="404">
        <v>499</v>
      </c>
    </row>
    <row r="37" spans="1:32" s="109" customFormat="1" ht="13.8" thickBot="1" x14ac:dyDescent="0.3">
      <c r="A37" s="673" t="s">
        <v>70</v>
      </c>
      <c r="B37" s="230">
        <f>B35+B36</f>
        <v>73</v>
      </c>
      <c r="C37" s="121">
        <f t="shared" ref="C37:O37" si="22">C35+C36</f>
        <v>161.9</v>
      </c>
      <c r="D37" s="121">
        <f t="shared" si="22"/>
        <v>231.8</v>
      </c>
      <c r="E37" s="121">
        <f t="shared" si="22"/>
        <v>227.10000000000002</v>
      </c>
      <c r="F37" s="121">
        <f t="shared" si="22"/>
        <v>235.5</v>
      </c>
      <c r="G37" s="121">
        <f t="shared" si="22"/>
        <v>208.79999999999998</v>
      </c>
      <c r="H37" s="121">
        <f t="shared" si="22"/>
        <v>206.90000000000003</v>
      </c>
      <c r="I37" s="121">
        <f t="shared" si="22"/>
        <v>183.2</v>
      </c>
      <c r="J37" s="121">
        <f t="shared" si="22"/>
        <v>288.60000000000002</v>
      </c>
      <c r="K37" s="121">
        <f t="shared" si="22"/>
        <v>377.2</v>
      </c>
      <c r="L37" s="121">
        <f t="shared" si="22"/>
        <v>351.59999999999997</v>
      </c>
      <c r="M37" s="121">
        <f t="shared" si="22"/>
        <v>287.60000000000002</v>
      </c>
      <c r="N37" s="121">
        <f t="shared" si="22"/>
        <v>482.4</v>
      </c>
      <c r="O37" s="121">
        <f t="shared" si="22"/>
        <v>546.4</v>
      </c>
      <c r="P37" s="121">
        <f t="shared" ref="P37:U37" si="23">P35+P36</f>
        <v>482</v>
      </c>
      <c r="Q37" s="121">
        <f t="shared" si="23"/>
        <v>754.4</v>
      </c>
      <c r="R37" s="121">
        <f t="shared" si="23"/>
        <v>774.55</v>
      </c>
      <c r="S37" s="121">
        <f t="shared" si="23"/>
        <v>769.23500000000001</v>
      </c>
      <c r="T37" s="121">
        <f t="shared" si="23"/>
        <v>1020.802</v>
      </c>
      <c r="U37" s="121">
        <f t="shared" si="23"/>
        <v>1141.6859999999999</v>
      </c>
      <c r="V37" s="121">
        <f t="shared" ref="V37:AA37" si="24">V35+V36</f>
        <v>990.21600000000001</v>
      </c>
      <c r="W37" s="121">
        <f t="shared" si="24"/>
        <v>1074.8129999999999</v>
      </c>
      <c r="X37" s="230">
        <f t="shared" si="24"/>
        <v>1342.712</v>
      </c>
      <c r="Y37" s="230">
        <f t="shared" si="24"/>
        <v>166965.247</v>
      </c>
      <c r="Z37" s="230">
        <v>1428.2950000000001</v>
      </c>
      <c r="AA37" s="230">
        <f t="shared" si="24"/>
        <v>1764.1750000000002</v>
      </c>
      <c r="AB37" s="293">
        <f>AB35+AB36</f>
        <v>2194.1329999999998</v>
      </c>
      <c r="AC37" s="377">
        <f>AC35+AC36</f>
        <v>2618.7799999999997</v>
      </c>
      <c r="AD37" s="405">
        <f t="shared" ref="AD37:AF37" si="25">AD35+AD36</f>
        <v>1801.9670000000001</v>
      </c>
      <c r="AE37" s="405">
        <f t="shared" si="25"/>
        <v>2312.9670000000001</v>
      </c>
      <c r="AF37" s="405">
        <f t="shared" si="25"/>
        <v>2503.9670000000001</v>
      </c>
    </row>
    <row r="38" spans="1:32" ht="13.8" thickBot="1" x14ac:dyDescent="0.3">
      <c r="A38" s="677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69"/>
      <c r="AC38" s="378"/>
      <c r="AD38" s="406"/>
      <c r="AE38" s="406"/>
      <c r="AF38" s="406"/>
    </row>
    <row r="39" spans="1:32" s="109" customFormat="1" ht="14.4" thickTop="1" thickBot="1" x14ac:dyDescent="0.3">
      <c r="A39" s="678" t="s">
        <v>71</v>
      </c>
      <c r="B39" s="121">
        <f t="shared" ref="B39:H39" si="26">(B20-B37)</f>
        <v>74</v>
      </c>
      <c r="C39" s="121">
        <f t="shared" si="26"/>
        <v>117.99999999999997</v>
      </c>
      <c r="D39" s="121">
        <f t="shared" si="26"/>
        <v>74.999999999999943</v>
      </c>
      <c r="E39" s="121">
        <f t="shared" si="26"/>
        <v>88.499999999999886</v>
      </c>
      <c r="F39" s="121">
        <f t="shared" si="26"/>
        <v>92.999999999999886</v>
      </c>
      <c r="G39" s="121">
        <f t="shared" si="26"/>
        <v>136.99999999999991</v>
      </c>
      <c r="H39" s="121">
        <f t="shared" si="26"/>
        <v>80.699999999999875</v>
      </c>
      <c r="I39" s="121">
        <f>I20-I37</f>
        <v>132.49999999999989</v>
      </c>
      <c r="J39" s="121">
        <f>(J20-J37)</f>
        <v>121.09999999999985</v>
      </c>
      <c r="K39" s="121">
        <f>(K20-K37)</f>
        <v>163.59999999999985</v>
      </c>
      <c r="L39" s="121">
        <f>(L20-L37)</f>
        <v>128.49999999999994</v>
      </c>
      <c r="M39" s="121">
        <f>(M20-M37)</f>
        <v>121.49999999999994</v>
      </c>
      <c r="N39" s="121">
        <f t="shared" ref="N39:T39" si="27">N20-N37</f>
        <v>144.09999999999991</v>
      </c>
      <c r="O39" s="121">
        <f t="shared" si="27"/>
        <v>134.69999999999993</v>
      </c>
      <c r="P39" s="121">
        <f t="shared" si="27"/>
        <v>338.09999999999991</v>
      </c>
      <c r="Q39" s="121">
        <f t="shared" si="27"/>
        <v>207.89999999999986</v>
      </c>
      <c r="R39" s="121">
        <f t="shared" si="27"/>
        <v>161.83000000000004</v>
      </c>
      <c r="S39" s="121">
        <f t="shared" si="27"/>
        <v>61.805999999999926</v>
      </c>
      <c r="T39" s="121">
        <f t="shared" si="27"/>
        <v>63.704000000000065</v>
      </c>
      <c r="U39" s="121">
        <f>U20-U37</f>
        <v>89.128000000000156</v>
      </c>
      <c r="V39" s="121">
        <f>V20-V37</f>
        <v>84.79200000000003</v>
      </c>
      <c r="W39" s="121">
        <f>W20-W37</f>
        <v>330.56600000000026</v>
      </c>
      <c r="X39" s="121">
        <f>X20-X37</f>
        <v>502.24100000000021</v>
      </c>
      <c r="Y39" s="121">
        <f>Y20-Y37</f>
        <v>48815.994000000006</v>
      </c>
      <c r="Z39" s="121">
        <v>46.052999999999997</v>
      </c>
      <c r="AA39" s="121">
        <f>AA20-AA37</f>
        <v>168.38699999999972</v>
      </c>
      <c r="AB39" s="13">
        <f>AB20-AB37</f>
        <v>171.9030000000007</v>
      </c>
      <c r="AC39" s="372">
        <f>AC20-AC37</f>
        <v>282.22300000000132</v>
      </c>
      <c r="AD39" s="400">
        <f t="shared" ref="AD39:AF39" si="28">AD20-AD37</f>
        <v>229.45159935570769</v>
      </c>
      <c r="AE39" s="400">
        <f t="shared" si="28"/>
        <v>254.9802829631617</v>
      </c>
      <c r="AF39" s="400">
        <f t="shared" si="28"/>
        <v>255.13808683312891</v>
      </c>
    </row>
    <row r="40" spans="1:32" ht="6.6" customHeight="1" thickTop="1" thickBot="1" x14ac:dyDescent="0.3">
      <c r="A40" s="677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346"/>
      <c r="AC40" s="379"/>
      <c r="AD40" s="407"/>
      <c r="AE40" s="407"/>
      <c r="AF40" s="407"/>
    </row>
    <row r="41" spans="1:32" ht="13.8" thickBot="1" x14ac:dyDescent="0.3">
      <c r="A41" s="679" t="s">
        <v>72</v>
      </c>
      <c r="B41" s="140">
        <f t="shared" ref="B41:Q41" si="29">(B27/12*3)</f>
        <v>15</v>
      </c>
      <c r="C41" s="140">
        <f t="shared" si="29"/>
        <v>43.25</v>
      </c>
      <c r="D41" s="140">
        <f t="shared" si="29"/>
        <v>53.25</v>
      </c>
      <c r="E41" s="140">
        <f t="shared" si="29"/>
        <v>54.400000000000006</v>
      </c>
      <c r="F41" s="140">
        <f t="shared" si="29"/>
        <v>53.875</v>
      </c>
      <c r="G41" s="140">
        <f t="shared" si="29"/>
        <v>48.375</v>
      </c>
      <c r="H41" s="140">
        <f t="shared" si="29"/>
        <v>48.5</v>
      </c>
      <c r="I41" s="140">
        <f t="shared" si="29"/>
        <v>43.125</v>
      </c>
      <c r="J41" s="140">
        <f t="shared" si="29"/>
        <v>66.775000000000006</v>
      </c>
      <c r="K41" s="140">
        <f t="shared" si="29"/>
        <v>92.174999999999997</v>
      </c>
      <c r="L41" s="140">
        <f t="shared" si="29"/>
        <v>86.75</v>
      </c>
      <c r="M41" s="140">
        <f t="shared" si="29"/>
        <v>68.675000000000011</v>
      </c>
      <c r="N41" s="140">
        <f t="shared" si="29"/>
        <v>77.974999999999994</v>
      </c>
      <c r="O41" s="140">
        <f t="shared" si="29"/>
        <v>103.4</v>
      </c>
      <c r="P41" s="140">
        <f t="shared" si="29"/>
        <v>106.75</v>
      </c>
      <c r="Q41" s="140">
        <f t="shared" si="29"/>
        <v>146</v>
      </c>
      <c r="R41" s="140">
        <f>(R27/12*1.5)</f>
        <v>93.539749999999998</v>
      </c>
      <c r="S41" s="140">
        <f>(S27/12*1.5)</f>
        <v>92.763000000000005</v>
      </c>
      <c r="T41" s="140">
        <f>(T27/12*1.5)</f>
        <v>125.6935</v>
      </c>
      <c r="U41" s="140">
        <f>(U27/12*1.5)</f>
        <v>141.76375000000002</v>
      </c>
      <c r="V41" s="140">
        <f>(V27/12*1.5)</f>
        <v>121.86262499999999</v>
      </c>
      <c r="W41" s="140">
        <f t="shared" ref="W41:AB41" si="30">(W27/12*1.5)</f>
        <v>132.88049999999998</v>
      </c>
      <c r="X41" s="140">
        <f t="shared" si="30"/>
        <v>162.31800000000001</v>
      </c>
      <c r="Y41" s="140">
        <f>(Y27/12*1.5)</f>
        <v>16831</v>
      </c>
      <c r="Z41" s="140">
        <f>(Z27/12*1.5)</f>
        <v>177.145625</v>
      </c>
      <c r="AA41" s="140">
        <f t="shared" si="30"/>
        <v>213.777625</v>
      </c>
      <c r="AB41" s="347">
        <f t="shared" si="30"/>
        <v>238.50762499999996</v>
      </c>
      <c r="AC41" s="380">
        <f>(AC27/12*1.5)</f>
        <v>247.1875</v>
      </c>
      <c r="AD41" s="408">
        <f t="shared" ref="AD41:AF41" si="31">(AD27/12*1.5)</f>
        <v>223.89707499999997</v>
      </c>
      <c r="AE41" s="408">
        <f t="shared" si="31"/>
        <v>249.27207500000003</v>
      </c>
      <c r="AF41" s="408">
        <f t="shared" si="31"/>
        <v>249.27207500000003</v>
      </c>
    </row>
    <row r="42" spans="1:32" ht="6.6" customHeight="1" thickBot="1" x14ac:dyDescent="0.3">
      <c r="A42" s="677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348"/>
      <c r="AC42" s="381"/>
      <c r="AD42" s="409"/>
      <c r="AE42" s="409"/>
      <c r="AF42" s="409"/>
    </row>
    <row r="43" spans="1:32" ht="14.4" thickTop="1" thickBot="1" x14ac:dyDescent="0.3">
      <c r="A43" s="680" t="s">
        <v>73</v>
      </c>
      <c r="B43" s="120">
        <f t="shared" ref="B43:Q43" si="32">+B39-B41</f>
        <v>59</v>
      </c>
      <c r="C43" s="120">
        <f t="shared" si="32"/>
        <v>74.749999999999972</v>
      </c>
      <c r="D43" s="120">
        <f t="shared" si="32"/>
        <v>21.749999999999943</v>
      </c>
      <c r="E43" s="120">
        <f t="shared" si="32"/>
        <v>34.099999999999881</v>
      </c>
      <c r="F43" s="120">
        <f t="shared" si="32"/>
        <v>39.124999999999886</v>
      </c>
      <c r="G43" s="120">
        <f t="shared" si="32"/>
        <v>88.624999999999915</v>
      </c>
      <c r="H43" s="120">
        <f t="shared" si="32"/>
        <v>32.199999999999875</v>
      </c>
      <c r="I43" s="120">
        <f t="shared" si="32"/>
        <v>89.374999999999886</v>
      </c>
      <c r="J43" s="120">
        <f t="shared" si="32"/>
        <v>54.324999999999847</v>
      </c>
      <c r="K43" s="120">
        <f t="shared" si="32"/>
        <v>71.424999999999855</v>
      </c>
      <c r="L43" s="120">
        <f t="shared" si="32"/>
        <v>41.749999999999943</v>
      </c>
      <c r="M43" s="120">
        <f t="shared" si="32"/>
        <v>52.824999999999932</v>
      </c>
      <c r="N43" s="120">
        <f t="shared" si="32"/>
        <v>66.124999999999915</v>
      </c>
      <c r="O43" s="120">
        <f t="shared" si="32"/>
        <v>31.299999999999926</v>
      </c>
      <c r="P43" s="120">
        <f t="shared" si="32"/>
        <v>231.34999999999991</v>
      </c>
      <c r="Q43" s="120">
        <f t="shared" si="32"/>
        <v>61.899999999999864</v>
      </c>
      <c r="R43" s="120">
        <f t="shared" ref="R43:AA43" si="33">+R39-R41</f>
        <v>68.290250000000043</v>
      </c>
      <c r="S43" s="120">
        <f t="shared" si="33"/>
        <v>-30.957000000000079</v>
      </c>
      <c r="T43" s="120">
        <f t="shared" si="33"/>
        <v>-61.989499999999936</v>
      </c>
      <c r="U43" s="120">
        <f t="shared" si="33"/>
        <v>-52.635749999999859</v>
      </c>
      <c r="V43" s="120">
        <f t="shared" si="33"/>
        <v>-37.070624999999964</v>
      </c>
      <c r="W43" s="120">
        <f>+W39-W41</f>
        <v>197.68550000000027</v>
      </c>
      <c r="X43" s="120">
        <f>+X39-X41</f>
        <v>339.92300000000023</v>
      </c>
      <c r="Y43" s="120">
        <f>+Y39-Y41</f>
        <v>31984.994000000006</v>
      </c>
      <c r="Z43" s="120">
        <f>+Z39-Z41</f>
        <v>-131.092625</v>
      </c>
      <c r="AA43" s="120">
        <f t="shared" si="33"/>
        <v>-45.390625000000284</v>
      </c>
      <c r="AB43" s="291">
        <f>+AB39-AB41</f>
        <v>-66.60462499999926</v>
      </c>
      <c r="AC43" s="382">
        <f>+AC39-AC41</f>
        <v>35.035500000001321</v>
      </c>
      <c r="AD43" s="410">
        <f t="shared" ref="AD43:AF43" si="34">+AD39-AD41</f>
        <v>5.5545243557077129</v>
      </c>
      <c r="AE43" s="410">
        <f t="shared" si="34"/>
        <v>5.7082079631616693</v>
      </c>
      <c r="AF43" s="410">
        <f t="shared" si="34"/>
        <v>5.86601183312888</v>
      </c>
    </row>
    <row r="44" spans="1:32" ht="21.6" customHeight="1" x14ac:dyDescent="0.25">
      <c r="A44" s="681" t="s">
        <v>74</v>
      </c>
      <c r="B44" s="125">
        <f>B39/B35</f>
        <v>1.2333333333333334</v>
      </c>
      <c r="C44" s="125">
        <f t="shared" ref="C44:O44" si="35">C39/C35</f>
        <v>0.79247817327065118</v>
      </c>
      <c r="D44" s="125">
        <f t="shared" si="35"/>
        <v>0.3263707571801564</v>
      </c>
      <c r="E44" s="125">
        <f t="shared" si="35"/>
        <v>0.39456085599643281</v>
      </c>
      <c r="F44" s="125">
        <f t="shared" si="35"/>
        <v>0.39726612558735536</v>
      </c>
      <c r="G44" s="125">
        <f t="shared" si="35"/>
        <v>0.65992292870905545</v>
      </c>
      <c r="H44" s="125">
        <f t="shared" si="35"/>
        <v>0.39990089197224904</v>
      </c>
      <c r="I44" s="125">
        <f t="shared" si="35"/>
        <v>0.73204419889502703</v>
      </c>
      <c r="J44" s="125">
        <f t="shared" si="35"/>
        <v>0.43219129193433203</v>
      </c>
      <c r="K44" s="125">
        <f t="shared" si="35"/>
        <v>0.43510638297872301</v>
      </c>
      <c r="L44" s="125">
        <f t="shared" si="35"/>
        <v>0.36672374429223731</v>
      </c>
      <c r="M44" s="125">
        <f t="shared" si="35"/>
        <v>0.43054571226080768</v>
      </c>
      <c r="N44" s="125">
        <f t="shared" si="35"/>
        <v>0.44094247246022011</v>
      </c>
      <c r="O44" s="125">
        <f t="shared" si="35"/>
        <v>0.31686661961891299</v>
      </c>
      <c r="P44" s="125">
        <f t="shared" ref="P44:U44" si="36">P39/P35</f>
        <v>0.76980874316939873</v>
      </c>
      <c r="Q44" s="125">
        <f t="shared" si="36"/>
        <v>0.34829954766292492</v>
      </c>
      <c r="R44" s="125">
        <f t="shared" si="36"/>
        <v>0.21317431211996676</v>
      </c>
      <c r="S44" s="125">
        <f t="shared" si="36"/>
        <v>8.1987676511749666E-2</v>
      </c>
      <c r="T44" s="125">
        <f t="shared" si="36"/>
        <v>6.2441066979277204E-2</v>
      </c>
      <c r="U44" s="125">
        <f t="shared" si="36"/>
        <v>7.8388121817857342E-2</v>
      </c>
      <c r="V44" s="125">
        <f t="shared" ref="V44:AA44" si="37">V39/V35</f>
        <v>8.6217082150871788E-2</v>
      </c>
      <c r="W44" s="125">
        <f t="shared" si="37"/>
        <v>0.30767526775434478</v>
      </c>
      <c r="X44" s="125">
        <f t="shared" si="37"/>
        <v>0.38341875957132687</v>
      </c>
      <c r="Y44" s="313">
        <f t="shared" si="37"/>
        <v>0.36249075106769607</v>
      </c>
      <c r="Z44" s="125">
        <f>Z39/Z35</f>
        <v>4.6944164547691085E-3</v>
      </c>
      <c r="AA44" s="125">
        <f t="shared" si="37"/>
        <v>9.7792529096104086E-2</v>
      </c>
      <c r="AB44" s="349">
        <f>AB39/AB35</f>
        <v>8.9653471129896023E-2</v>
      </c>
      <c r="AC44" s="383">
        <f>AC39/AC35</f>
        <v>0.14190760164523039</v>
      </c>
      <c r="AD44" s="411">
        <f t="shared" ref="AD44:AF44" si="38">AD39/AD35</f>
        <v>0.12733396302801753</v>
      </c>
      <c r="AE44" s="411">
        <f t="shared" si="38"/>
        <v>0.12717430409735506</v>
      </c>
      <c r="AF44" s="411">
        <f t="shared" si="38"/>
        <v>0.12725301056482671</v>
      </c>
    </row>
    <row r="45" spans="1:32" ht="30.6" customHeight="1" thickBot="1" x14ac:dyDescent="0.3">
      <c r="A45" s="682" t="s">
        <v>75</v>
      </c>
      <c r="B45" s="342">
        <f>B39/B37</f>
        <v>1.0136986301369864</v>
      </c>
      <c r="C45" s="342">
        <f t="shared" ref="C45:O45" si="39">C39/C37</f>
        <v>0.72884496602841242</v>
      </c>
      <c r="D45" s="342">
        <f t="shared" si="39"/>
        <v>0.32355478861087117</v>
      </c>
      <c r="E45" s="342">
        <f t="shared" si="39"/>
        <v>0.38969616908850674</v>
      </c>
      <c r="F45" s="342">
        <f t="shared" si="39"/>
        <v>0.39490445859872564</v>
      </c>
      <c r="G45" s="342">
        <f t="shared" si="39"/>
        <v>0.65613026819923337</v>
      </c>
      <c r="H45" s="342">
        <f t="shared" si="39"/>
        <v>0.39004349927501142</v>
      </c>
      <c r="I45" s="342">
        <f t="shared" si="39"/>
        <v>0.7232532751091697</v>
      </c>
      <c r="J45" s="342">
        <f t="shared" si="39"/>
        <v>0.41961191961191907</v>
      </c>
      <c r="K45" s="342">
        <f t="shared" si="39"/>
        <v>0.4337221633085892</v>
      </c>
      <c r="L45" s="342">
        <f t="shared" si="39"/>
        <v>0.36547212741751978</v>
      </c>
      <c r="M45" s="342">
        <f t="shared" si="39"/>
        <v>0.4224617524339358</v>
      </c>
      <c r="N45" s="342">
        <f t="shared" si="39"/>
        <v>0.29871475953565491</v>
      </c>
      <c r="O45" s="342">
        <f t="shared" si="39"/>
        <v>0.24652269399707163</v>
      </c>
      <c r="P45" s="342">
        <f t="shared" ref="P45:U45" si="40">P39/P37</f>
        <v>0.70145228215767619</v>
      </c>
      <c r="Q45" s="342">
        <f t="shared" si="40"/>
        <v>0.27558324496288422</v>
      </c>
      <c r="R45" s="342">
        <f t="shared" si="40"/>
        <v>0.20893421986960176</v>
      </c>
      <c r="S45" s="342">
        <f t="shared" si="40"/>
        <v>8.0347358089530405E-2</v>
      </c>
      <c r="T45" s="342">
        <f t="shared" si="40"/>
        <v>6.2405833844369492E-2</v>
      </c>
      <c r="U45" s="342">
        <f t="shared" si="40"/>
        <v>7.8066999157386671E-2</v>
      </c>
      <c r="V45" s="342">
        <f t="shared" ref="V45:AA45" si="41">V39/V37</f>
        <v>8.5629801982597772E-2</v>
      </c>
      <c r="W45" s="342">
        <f t="shared" si="41"/>
        <v>0.30755675638459928</v>
      </c>
      <c r="X45" s="342">
        <f t="shared" si="41"/>
        <v>0.37404968451909287</v>
      </c>
      <c r="Y45" s="343">
        <f t="shared" si="41"/>
        <v>0.29237218449417801</v>
      </c>
      <c r="Z45" s="342">
        <f>Z39/Z37</f>
        <v>3.2243339086113161E-2</v>
      </c>
      <c r="AA45" s="342">
        <f t="shared" si="41"/>
        <v>9.5448013944194707E-2</v>
      </c>
      <c r="AB45" s="350">
        <f>AB39/AB37</f>
        <v>7.8346663579646592E-2</v>
      </c>
      <c r="AC45" s="384">
        <f>AC39/AC37</f>
        <v>0.1077688847478602</v>
      </c>
      <c r="AD45" s="412">
        <f t="shared" ref="AD45:AF45" si="42">AD39/AD37</f>
        <v>0.12733396302801753</v>
      </c>
      <c r="AE45" s="412">
        <f t="shared" si="42"/>
        <v>0.11023948156768414</v>
      </c>
      <c r="AF45" s="412">
        <f t="shared" si="42"/>
        <v>0.10189355004803534</v>
      </c>
    </row>
    <row r="46" spans="1:32" ht="19.2" customHeight="1" thickTop="1" x14ac:dyDescent="0.25">
      <c r="A46" s="683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7"/>
      <c r="Z46" s="136"/>
      <c r="AA46" s="136"/>
      <c r="AB46" s="351"/>
      <c r="AC46" s="385"/>
    </row>
    <row r="47" spans="1:32" x14ac:dyDescent="0.25">
      <c r="A47" s="60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8"/>
      <c r="P47" s="128"/>
      <c r="Q47" s="128"/>
      <c r="R47" s="128"/>
      <c r="S47" s="128"/>
      <c r="T47" s="128"/>
      <c r="U47" s="128"/>
      <c r="V47" s="128"/>
      <c r="W47" s="355"/>
      <c r="X47" s="355"/>
      <c r="Y47" s="355"/>
      <c r="Z47" s="355"/>
      <c r="AA47" s="356"/>
      <c r="AB47" s="357"/>
      <c r="AC47" s="387"/>
    </row>
    <row r="48" spans="1:32" hidden="1" x14ac:dyDescent="0.25">
      <c r="A48" s="606" t="s">
        <v>76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8"/>
      <c r="P48" s="128"/>
      <c r="Q48" s="128"/>
      <c r="R48" s="128"/>
      <c r="S48" s="128"/>
      <c r="T48" s="128"/>
      <c r="U48" s="128"/>
      <c r="V48" s="128"/>
      <c r="W48" s="355"/>
      <c r="X48" s="355"/>
      <c r="Y48" s="355"/>
      <c r="Z48" s="355"/>
      <c r="AA48" s="356"/>
      <c r="AB48" s="357"/>
      <c r="AC48" s="387"/>
    </row>
    <row r="49" spans="1:29" hidden="1" x14ac:dyDescent="0.25">
      <c r="A49" s="684" t="s">
        <v>77</v>
      </c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8"/>
      <c r="P49" s="128"/>
      <c r="Q49" s="128"/>
      <c r="R49" s="128"/>
      <c r="S49" s="128"/>
      <c r="T49" s="128"/>
      <c r="U49" s="128"/>
      <c r="V49" s="128"/>
      <c r="W49" s="355"/>
      <c r="X49" s="355"/>
      <c r="Y49" s="355"/>
      <c r="Z49" s="355"/>
      <c r="AA49" s="356"/>
      <c r="AB49" s="357"/>
      <c r="AC49" s="387"/>
    </row>
    <row r="50" spans="1:29" hidden="1" x14ac:dyDescent="0.25">
      <c r="A50" s="684" t="s">
        <v>78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8"/>
      <c r="P50" s="128"/>
      <c r="Q50" s="128"/>
      <c r="R50" s="128"/>
      <c r="S50" s="128"/>
      <c r="T50" s="128"/>
      <c r="U50" s="128"/>
      <c r="V50" s="128"/>
      <c r="W50" s="355"/>
      <c r="X50" s="355"/>
      <c r="Y50" s="355"/>
      <c r="Z50" s="355"/>
      <c r="AA50" s="356"/>
      <c r="AB50" s="357"/>
      <c r="AC50" s="387"/>
    </row>
    <row r="51" spans="1:29" hidden="1" x14ac:dyDescent="0.25">
      <c r="A51" s="684" t="s">
        <v>79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8"/>
      <c r="P51" s="128"/>
      <c r="Q51" s="128"/>
      <c r="R51" s="128"/>
      <c r="S51" s="128"/>
      <c r="T51" s="128"/>
      <c r="U51" s="128"/>
      <c r="V51" s="128"/>
      <c r="W51" s="355"/>
      <c r="X51" s="355"/>
      <c r="Y51" s="355"/>
      <c r="Z51" s="355"/>
      <c r="AA51" s="356"/>
      <c r="AB51" s="357"/>
      <c r="AC51" s="387"/>
    </row>
    <row r="52" spans="1:29" hidden="1" x14ac:dyDescent="0.25">
      <c r="A52" s="684" t="s">
        <v>80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8"/>
      <c r="P52" s="128"/>
      <c r="Q52" s="128"/>
      <c r="R52" s="128"/>
      <c r="S52" s="128"/>
      <c r="T52" s="128"/>
      <c r="U52" s="128"/>
      <c r="V52" s="128"/>
      <c r="W52" s="355"/>
      <c r="X52" s="355"/>
      <c r="Y52" s="355"/>
      <c r="Z52" s="355"/>
      <c r="AA52" s="356"/>
      <c r="AB52" s="357"/>
      <c r="AC52" s="387"/>
    </row>
    <row r="53" spans="1:29" ht="14.4" hidden="1" customHeight="1" x14ac:dyDescent="0.25">
      <c r="A53" s="606" t="s">
        <v>81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8"/>
      <c r="P53" s="128"/>
      <c r="Q53" s="128"/>
      <c r="R53" s="128"/>
      <c r="S53" s="128"/>
      <c r="T53" s="128"/>
      <c r="U53" s="128"/>
      <c r="V53" s="128"/>
      <c r="W53" s="355"/>
      <c r="X53" s="355"/>
      <c r="Y53" s="355"/>
      <c r="Z53" s="355"/>
      <c r="AA53" s="356"/>
      <c r="AB53" s="357"/>
      <c r="AC53" s="387"/>
    </row>
    <row r="54" spans="1:29" ht="11.4" hidden="1" customHeight="1" x14ac:dyDescent="0.25">
      <c r="A54" s="606" t="s">
        <v>82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8"/>
      <c r="P54" s="128"/>
      <c r="Q54" s="128"/>
      <c r="R54" s="128"/>
      <c r="S54" s="128"/>
      <c r="T54" s="128"/>
      <c r="U54" s="128"/>
      <c r="V54" s="128"/>
      <c r="W54" s="355"/>
      <c r="X54" s="355"/>
      <c r="Y54" s="355"/>
      <c r="Z54" s="355"/>
      <c r="AA54" s="356"/>
      <c r="AB54" s="357"/>
      <c r="AC54" s="387"/>
    </row>
    <row r="55" spans="1:29" hidden="1" x14ac:dyDescent="0.25">
      <c r="A55" s="606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8"/>
      <c r="P55" s="128"/>
      <c r="Q55" s="128"/>
      <c r="R55" s="128"/>
      <c r="S55" s="128"/>
      <c r="T55" s="128"/>
      <c r="U55" s="128"/>
      <c r="V55" s="128"/>
      <c r="W55" s="355"/>
      <c r="X55" s="355"/>
      <c r="Y55" s="355"/>
      <c r="Z55" s="355"/>
      <c r="AA55" s="356"/>
      <c r="AB55" s="357"/>
      <c r="AC55" s="387"/>
    </row>
    <row r="56" spans="1:29" hidden="1" x14ac:dyDescent="0.25">
      <c r="A56" s="606" t="s">
        <v>83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8"/>
      <c r="P56" s="128"/>
      <c r="Q56" s="128"/>
      <c r="R56" s="128"/>
      <c r="S56" s="128"/>
      <c r="T56" s="128"/>
      <c r="U56" s="128"/>
      <c r="V56" s="128"/>
      <c r="W56" s="358"/>
      <c r="X56" s="358"/>
      <c r="Y56" s="358"/>
      <c r="Z56" s="358"/>
      <c r="AA56" s="359"/>
      <c r="AB56" s="359"/>
      <c r="AC56" s="364"/>
    </row>
    <row r="57" spans="1:29" ht="13.95" hidden="1" customHeight="1" x14ac:dyDescent="0.25">
      <c r="A57" s="607" t="s">
        <v>84</v>
      </c>
      <c r="B57" s="129"/>
      <c r="C57" s="129"/>
      <c r="D57" s="129"/>
      <c r="E57" s="129"/>
      <c r="F57" s="129"/>
      <c r="G57" s="129"/>
      <c r="H57" s="129"/>
      <c r="I57" s="129"/>
      <c r="J57" s="129"/>
      <c r="K57" s="109"/>
      <c r="L57" s="109"/>
      <c r="M57" s="109"/>
      <c r="N57" s="130"/>
      <c r="O57" s="131"/>
      <c r="P57" s="132"/>
      <c r="W57" s="360"/>
      <c r="X57" s="360"/>
      <c r="Y57" s="360"/>
      <c r="Z57" s="360"/>
      <c r="AA57" s="361"/>
      <c r="AB57" s="361"/>
      <c r="AC57" s="364"/>
    </row>
    <row r="58" spans="1:29" hidden="1" x14ac:dyDescent="0.25">
      <c r="A58" s="607" t="s">
        <v>85</v>
      </c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W58" s="360"/>
      <c r="X58" s="360"/>
      <c r="Y58" s="360"/>
      <c r="Z58" s="360"/>
      <c r="AA58" s="362"/>
      <c r="AB58" s="362"/>
      <c r="AC58" s="364"/>
    </row>
    <row r="59" spans="1:29" hidden="1" x14ac:dyDescent="0.25">
      <c r="A59" s="607" t="s">
        <v>86</v>
      </c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AA59" s="362"/>
      <c r="AB59" s="362"/>
      <c r="AC59" s="364"/>
    </row>
    <row r="60" spans="1:29" hidden="1" x14ac:dyDescent="0.25">
      <c r="A60" s="607" t="s">
        <v>87</v>
      </c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09"/>
      <c r="N60" s="109"/>
      <c r="O60" s="109"/>
      <c r="P60" s="109"/>
      <c r="AA60" s="103"/>
      <c r="AC60" s="364"/>
    </row>
    <row r="61" spans="1:29" hidden="1" x14ac:dyDescent="0.25">
      <c r="A61" s="607" t="s">
        <v>88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09"/>
      <c r="N61" s="109"/>
      <c r="O61" s="109"/>
      <c r="P61" s="109"/>
      <c r="AA61" s="103"/>
      <c r="AC61" s="364"/>
    </row>
    <row r="62" spans="1:29" hidden="1" x14ac:dyDescent="0.25">
      <c r="A62" s="607" t="s">
        <v>89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AA62" s="103"/>
      <c r="AC62" s="364"/>
    </row>
    <row r="63" spans="1:29" hidden="1" x14ac:dyDescent="0.25">
      <c r="A63" s="607" t="s">
        <v>90</v>
      </c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AA63" s="103"/>
      <c r="AC63" s="364"/>
    </row>
    <row r="64" spans="1:29" ht="24.6" customHeight="1" x14ac:dyDescent="0.25">
      <c r="A64" s="836"/>
      <c r="B64" s="836"/>
      <c r="C64" s="836"/>
      <c r="D64" s="836"/>
      <c r="E64" s="836"/>
      <c r="F64" s="836"/>
      <c r="G64" s="836"/>
      <c r="H64" s="836"/>
      <c r="I64" s="836"/>
      <c r="J64" s="836"/>
      <c r="K64" s="836"/>
      <c r="L64" s="836"/>
      <c r="M64" s="836"/>
      <c r="N64" s="836"/>
      <c r="O64" s="836"/>
      <c r="P64" s="836"/>
      <c r="AB64" s="1"/>
    </row>
    <row r="65" spans="1:31" x14ac:dyDescent="0.25">
      <c r="A65" s="134"/>
      <c r="B65" s="134"/>
      <c r="C65" s="134"/>
      <c r="D65" s="134"/>
      <c r="E65" s="102"/>
      <c r="F65" s="102"/>
      <c r="G65" s="102"/>
      <c r="H65" s="102"/>
      <c r="I65" s="102"/>
      <c r="J65" s="102"/>
      <c r="K65" s="102"/>
      <c r="L65" s="102"/>
      <c r="M65" s="102"/>
      <c r="N65" s="129"/>
      <c r="O65" s="129"/>
      <c r="P65" s="129"/>
      <c r="AB65" s="1"/>
      <c r="AE65" s="364" t="s">
        <v>83</v>
      </c>
    </row>
    <row r="66" spans="1:31" ht="17.399999999999999" customHeight="1" x14ac:dyDescent="0.25">
      <c r="A66" s="836"/>
      <c r="B66" s="836"/>
      <c r="C66" s="836"/>
      <c r="D66" s="836"/>
      <c r="E66" s="836"/>
      <c r="F66" s="836"/>
      <c r="G66" s="836"/>
      <c r="H66" s="836"/>
      <c r="I66" s="836"/>
      <c r="J66" s="836"/>
      <c r="K66" s="836"/>
      <c r="L66" s="836"/>
      <c r="M66" s="836"/>
      <c r="N66" s="836"/>
      <c r="O66" s="836"/>
      <c r="P66" s="836"/>
      <c r="AB66" s="1"/>
      <c r="AE66" s="364" t="s">
        <v>91</v>
      </c>
    </row>
    <row r="67" spans="1:31" x14ac:dyDescent="0.25">
      <c r="A67" s="134"/>
      <c r="B67" s="134"/>
      <c r="C67" s="134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29"/>
      <c r="O67" s="129"/>
      <c r="P67" s="129"/>
      <c r="AB67" s="1"/>
      <c r="AE67" s="364" t="s">
        <v>92</v>
      </c>
    </row>
    <row r="68" spans="1:31" x14ac:dyDescent="0.25">
      <c r="A68" s="837"/>
      <c r="B68" s="837"/>
      <c r="C68" s="837"/>
      <c r="D68" s="837"/>
      <c r="E68" s="837"/>
      <c r="F68" s="837"/>
      <c r="G68" s="837"/>
      <c r="H68" s="837"/>
      <c r="I68" s="837"/>
      <c r="J68" s="837"/>
      <c r="K68" s="837"/>
      <c r="L68" s="837"/>
      <c r="M68" s="837"/>
      <c r="N68" s="837"/>
      <c r="O68" s="837"/>
      <c r="P68" s="837"/>
      <c r="AB68" s="1"/>
      <c r="AE68" s="364" t="s">
        <v>93</v>
      </c>
    </row>
    <row r="69" spans="1:31" ht="16.2" customHeight="1" x14ac:dyDescent="0.25">
      <c r="A69" s="134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29"/>
      <c r="O69" s="129"/>
      <c r="P69" s="129"/>
      <c r="AB69" s="1"/>
      <c r="AE69" s="364" t="s">
        <v>94</v>
      </c>
    </row>
    <row r="70" spans="1:31" ht="16.2" customHeight="1" x14ac:dyDescent="0.25">
      <c r="A70" s="134"/>
      <c r="B70" s="134"/>
      <c r="C70" s="134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29"/>
      <c r="O70" s="129"/>
      <c r="P70" s="129"/>
      <c r="AB70" s="1"/>
      <c r="AE70" s="364" t="s">
        <v>95</v>
      </c>
    </row>
    <row r="71" spans="1:31" ht="16.2" customHeight="1" x14ac:dyDescent="0.25">
      <c r="A71" s="134"/>
      <c r="B71" s="134"/>
      <c r="C71" s="134"/>
      <c r="D71" s="134"/>
      <c r="E71" s="134"/>
      <c r="F71" s="134"/>
      <c r="G71" s="134"/>
      <c r="H71" s="134"/>
      <c r="I71" s="102"/>
      <c r="J71" s="102"/>
      <c r="K71" s="102"/>
      <c r="L71" s="102"/>
      <c r="M71" s="102"/>
      <c r="N71" s="129"/>
      <c r="O71" s="129"/>
      <c r="P71" s="129"/>
      <c r="AB71" s="1"/>
      <c r="AE71" s="364" t="s">
        <v>96</v>
      </c>
    </row>
    <row r="72" spans="1:31" x14ac:dyDescent="0.25">
      <c r="A72" s="835"/>
      <c r="B72" s="835"/>
      <c r="C72" s="835"/>
      <c r="D72" s="835"/>
      <c r="E72" s="835"/>
      <c r="F72" s="835"/>
      <c r="G72" s="835"/>
      <c r="H72" s="835"/>
      <c r="I72" s="835"/>
      <c r="J72" s="835"/>
      <c r="K72" s="835"/>
      <c r="L72" s="835"/>
      <c r="M72" s="835"/>
      <c r="N72" s="835"/>
      <c r="O72" s="835"/>
      <c r="P72" s="835"/>
      <c r="AB72" s="1"/>
      <c r="AE72" s="364" t="s">
        <v>97</v>
      </c>
    </row>
    <row r="73" spans="1:31" x14ac:dyDescent="0.25">
      <c r="A73" s="134"/>
      <c r="B73" s="134"/>
      <c r="C73" s="134"/>
      <c r="D73" s="134"/>
      <c r="E73" s="134"/>
      <c r="F73" s="134"/>
      <c r="G73" s="134"/>
      <c r="H73" s="134"/>
      <c r="I73" s="102"/>
      <c r="J73" s="102"/>
      <c r="K73" s="102"/>
      <c r="L73" s="102"/>
      <c r="M73" s="102"/>
      <c r="N73" s="129"/>
      <c r="O73" s="129"/>
      <c r="P73" s="129"/>
      <c r="AB73" s="1"/>
      <c r="AE73" s="364" t="s">
        <v>98</v>
      </c>
    </row>
    <row r="74" spans="1:31" x14ac:dyDescent="0.25">
      <c r="A74" s="835"/>
      <c r="B74" s="835"/>
      <c r="C74" s="835"/>
      <c r="D74" s="835"/>
      <c r="E74" s="835"/>
      <c r="F74" s="835"/>
      <c r="G74" s="835"/>
      <c r="H74" s="835"/>
      <c r="I74" s="835"/>
      <c r="J74" s="835"/>
      <c r="K74" s="835"/>
      <c r="L74" s="835"/>
      <c r="M74" s="835"/>
      <c r="N74" s="835"/>
      <c r="O74" s="835"/>
      <c r="P74" s="835"/>
    </row>
    <row r="75" spans="1:31" x14ac:dyDescent="0.2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29"/>
      <c r="O75" s="129"/>
      <c r="P75" s="129"/>
    </row>
    <row r="76" spans="1:31" x14ac:dyDescent="0.25">
      <c r="A76" s="834"/>
      <c r="B76" s="834"/>
      <c r="C76" s="834"/>
      <c r="D76" s="834"/>
      <c r="E76" s="834"/>
      <c r="F76" s="834"/>
      <c r="G76" s="834"/>
      <c r="H76" s="834"/>
      <c r="I76" s="834"/>
      <c r="J76" s="834"/>
      <c r="K76" s="834"/>
      <c r="L76" s="834"/>
      <c r="M76" s="834"/>
      <c r="N76" s="834"/>
      <c r="O76" s="834"/>
      <c r="P76" s="834"/>
    </row>
    <row r="77" spans="1:31" x14ac:dyDescent="0.25">
      <c r="C77" s="135"/>
      <c r="D77" s="135"/>
      <c r="E77" s="135"/>
    </row>
    <row r="78" spans="1:31" x14ac:dyDescent="0.25">
      <c r="C78" s="135"/>
      <c r="D78" s="135"/>
      <c r="E78" s="135"/>
    </row>
    <row r="79" spans="1:31" x14ac:dyDescent="0.25">
      <c r="C79" s="135"/>
      <c r="D79" s="135"/>
      <c r="E79" s="135"/>
    </row>
    <row r="80" spans="1:31" x14ac:dyDescent="0.25">
      <c r="C80" s="135"/>
      <c r="D80" s="135"/>
      <c r="E80" s="135"/>
    </row>
    <row r="81" spans="3:5" x14ac:dyDescent="0.25">
      <c r="C81" s="135"/>
      <c r="D81" s="135"/>
      <c r="E81" s="135"/>
    </row>
    <row r="82" spans="3:5" x14ac:dyDescent="0.25">
      <c r="C82" s="135"/>
      <c r="D82" s="135"/>
      <c r="E82" s="135"/>
    </row>
    <row r="83" spans="3:5" x14ac:dyDescent="0.25">
      <c r="C83" s="135"/>
      <c r="D83" s="135"/>
      <c r="E83" s="135"/>
    </row>
    <row r="84" spans="3:5" x14ac:dyDescent="0.25">
      <c r="C84" s="135"/>
      <c r="D84" s="135"/>
      <c r="E84" s="135"/>
    </row>
    <row r="85" spans="3:5" x14ac:dyDescent="0.25">
      <c r="C85" s="135"/>
      <c r="D85" s="135"/>
      <c r="E85" s="135"/>
    </row>
    <row r="86" spans="3:5" x14ac:dyDescent="0.25">
      <c r="C86" s="135"/>
      <c r="D86" s="135"/>
      <c r="E86" s="135"/>
    </row>
    <row r="87" spans="3:5" x14ac:dyDescent="0.25">
      <c r="C87" s="135"/>
      <c r="D87" s="135"/>
      <c r="E87" s="135"/>
    </row>
    <row r="88" spans="3:5" x14ac:dyDescent="0.25">
      <c r="C88" s="135"/>
      <c r="D88" s="135"/>
      <c r="E88" s="135"/>
    </row>
    <row r="89" spans="3:5" x14ac:dyDescent="0.25">
      <c r="C89" s="135"/>
      <c r="D89" s="135"/>
      <c r="E89" s="135"/>
    </row>
    <row r="90" spans="3:5" x14ac:dyDescent="0.25">
      <c r="C90" s="135"/>
      <c r="D90" s="135"/>
      <c r="E90" s="135"/>
    </row>
    <row r="91" spans="3:5" x14ac:dyDescent="0.25">
      <c r="C91" s="135"/>
      <c r="D91" s="135"/>
      <c r="E91" s="135"/>
    </row>
    <row r="92" spans="3:5" x14ac:dyDescent="0.25">
      <c r="C92" s="135"/>
      <c r="D92" s="135"/>
      <c r="E92" s="135"/>
    </row>
    <row r="93" spans="3:5" ht="13.2" customHeight="1" x14ac:dyDescent="0.25">
      <c r="C93" s="135"/>
      <c r="D93" s="135"/>
      <c r="E93" s="135"/>
    </row>
    <row r="94" spans="3:5" x14ac:dyDescent="0.25">
      <c r="C94" s="135"/>
      <c r="D94" s="135"/>
      <c r="E94" s="135"/>
    </row>
    <row r="95" spans="3:5" x14ac:dyDescent="0.25">
      <c r="C95" s="135">
        <f>(C39+C89-C91-C93)</f>
        <v>117.99999999999997</v>
      </c>
      <c r="D95" s="135"/>
      <c r="E95" s="135"/>
    </row>
    <row r="96" spans="3:5" x14ac:dyDescent="0.25">
      <c r="E96" s="135"/>
    </row>
    <row r="97" spans="5:5" x14ac:dyDescent="0.25">
      <c r="E97" s="135"/>
    </row>
    <row r="98" spans="5:5" x14ac:dyDescent="0.25">
      <c r="E98" s="135"/>
    </row>
  </sheetData>
  <mergeCells count="6">
    <mergeCell ref="A76:P76"/>
    <mergeCell ref="A72:P72"/>
    <mergeCell ref="A64:P64"/>
    <mergeCell ref="A74:P74"/>
    <mergeCell ref="A66:P66"/>
    <mergeCell ref="A68:P68"/>
  </mergeCells>
  <phoneticPr fontId="26" type="noConversion"/>
  <printOptions horizontalCentered="1"/>
  <pageMargins left="0.14000000000000001" right="0.08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"/>
  <sheetViews>
    <sheetView showGridLines="0" workbookViewId="0">
      <selection activeCell="I13" sqref="I13"/>
    </sheetView>
  </sheetViews>
  <sheetFormatPr defaultRowHeight="13.2" x14ac:dyDescent="0.25"/>
  <cols>
    <col min="1" max="1" width="39.33203125" customWidth="1"/>
    <col min="2" max="2" width="15.44140625" bestFit="1" customWidth="1"/>
    <col min="4" max="4" width="17.33203125" bestFit="1" customWidth="1"/>
    <col min="5" max="5" width="4.5546875" bestFit="1" customWidth="1"/>
    <col min="6" max="6" width="10.88671875" bestFit="1" customWidth="1"/>
    <col min="7" max="7" width="13.5546875" bestFit="1" customWidth="1"/>
    <col min="8" max="8" width="10.33203125" bestFit="1" customWidth="1"/>
    <col min="9" max="9" width="14.44140625" bestFit="1" customWidth="1"/>
    <col min="10" max="12" width="11.33203125" bestFit="1" customWidth="1"/>
  </cols>
  <sheetData>
    <row r="1" spans="1:14" x14ac:dyDescent="0.25">
      <c r="A1" s="1" t="s">
        <v>99</v>
      </c>
    </row>
    <row r="2" spans="1:14" ht="13.8" thickBot="1" x14ac:dyDescent="0.3">
      <c r="A2" s="260" t="s">
        <v>100</v>
      </c>
    </row>
    <row r="3" spans="1:14" ht="14.4" thickTop="1" thickBot="1" x14ac:dyDescent="0.3">
      <c r="A3" s="260" t="s">
        <v>101</v>
      </c>
      <c r="F3" s="841" t="s">
        <v>102</v>
      </c>
      <c r="G3" s="842"/>
      <c r="H3" s="842"/>
      <c r="I3" s="842"/>
      <c r="J3" s="842"/>
      <c r="K3" s="842"/>
      <c r="L3" s="843"/>
    </row>
    <row r="4" spans="1:14" ht="14.4" thickTop="1" thickBot="1" x14ac:dyDescent="0.3">
      <c r="A4" s="260" t="s">
        <v>103</v>
      </c>
      <c r="F4" s="26" t="s">
        <v>104</v>
      </c>
      <c r="G4" s="26" t="s">
        <v>105</v>
      </c>
      <c r="H4" s="26" t="s">
        <v>106</v>
      </c>
      <c r="I4" s="27" t="s">
        <v>107</v>
      </c>
      <c r="J4" s="26" t="s">
        <v>108</v>
      </c>
      <c r="K4" s="26" t="s">
        <v>109</v>
      </c>
      <c r="L4" s="26" t="s">
        <v>110</v>
      </c>
    </row>
    <row r="5" spans="1:14" ht="14.4" thickTop="1" thickBot="1" x14ac:dyDescent="0.3">
      <c r="A5" s="260" t="s">
        <v>111</v>
      </c>
      <c r="F5" s="28">
        <f>$I$5-($I$5*0.2)</f>
        <v>681440</v>
      </c>
      <c r="G5" s="28">
        <f>$I$5-($I$5*0.15)</f>
        <v>724030</v>
      </c>
      <c r="H5" s="28">
        <f>$I$5-($I$5*0.1)</f>
        <v>766620</v>
      </c>
      <c r="I5" s="29">
        <f>$B$8</f>
        <v>851800</v>
      </c>
      <c r="J5" s="28">
        <f>$I$5+($I$5*0.1)</f>
        <v>936980</v>
      </c>
      <c r="K5" s="28">
        <f>$I$5+($I$5*0.15)</f>
        <v>979570</v>
      </c>
      <c r="L5" s="28">
        <f>$I$5+($I$5*0.2)</f>
        <v>1022160</v>
      </c>
    </row>
    <row r="6" spans="1:14" ht="14.4" thickTop="1" thickBot="1" x14ac:dyDescent="0.3">
      <c r="D6" s="838" t="s">
        <v>112</v>
      </c>
      <c r="E6" s="34">
        <f>E7-0.15</f>
        <v>1.4000000000000004</v>
      </c>
      <c r="F6" s="30">
        <f t="shared" ref="F6:H13" si="0">((F$5*$E6)+$B$10)-$B$11</f>
        <v>344016.00000000023</v>
      </c>
      <c r="G6" s="31">
        <f t="shared" si="0"/>
        <v>403642.00000000023</v>
      </c>
      <c r="H6" s="31">
        <f t="shared" si="0"/>
        <v>463268.00000000023</v>
      </c>
      <c r="I6" s="31">
        <f>((I$5*$E6)+$B$10)-$B$11</f>
        <v>582520.00000000023</v>
      </c>
      <c r="J6" s="31">
        <f>((J$5*$E6)+$B$10)-$B$11</f>
        <v>701772.00000000023</v>
      </c>
      <c r="K6" s="31">
        <f t="shared" ref="K6:L13" si="1">((K$5*$E6)+$B$10)-$B$11</f>
        <v>761398.00000000023</v>
      </c>
      <c r="L6" s="32">
        <f t="shared" si="1"/>
        <v>821024.00000000047</v>
      </c>
    </row>
    <row r="7" spans="1:14" ht="14.4" thickTop="1" thickBot="1" x14ac:dyDescent="0.3">
      <c r="A7" s="33" t="s">
        <v>113</v>
      </c>
      <c r="D7" s="839"/>
      <c r="E7" s="34">
        <f>E8-0.15</f>
        <v>1.5500000000000003</v>
      </c>
      <c r="F7" s="35">
        <f t="shared" si="0"/>
        <v>446232.00000000023</v>
      </c>
      <c r="G7" s="36">
        <f t="shared" si="0"/>
        <v>512246.50000000023</v>
      </c>
      <c r="H7" s="36">
        <f t="shared" si="0"/>
        <v>578261.00000000023</v>
      </c>
      <c r="I7" s="36">
        <f t="shared" ref="I7:J13" si="2">((I$5*$E7)+$B$10)-$B$11</f>
        <v>710290.00000000023</v>
      </c>
      <c r="J7" s="36">
        <f t="shared" si="2"/>
        <v>842319.00000000023</v>
      </c>
      <c r="K7" s="36">
        <f t="shared" si="1"/>
        <v>908333.5</v>
      </c>
      <c r="L7" s="37">
        <f t="shared" si="1"/>
        <v>974348</v>
      </c>
    </row>
    <row r="8" spans="1:14" ht="13.8" thickTop="1" x14ac:dyDescent="0.25">
      <c r="A8" s="827" t="s">
        <v>114</v>
      </c>
      <c r="B8" s="38">
        <v>851800</v>
      </c>
      <c r="D8" s="839"/>
      <c r="E8" s="34">
        <f>E9-0.15</f>
        <v>1.7000000000000002</v>
      </c>
      <c r="F8" s="35">
        <f t="shared" si="0"/>
        <v>548448.00000000023</v>
      </c>
      <c r="G8" s="36">
        <f t="shared" si="0"/>
        <v>620851.00000000023</v>
      </c>
      <c r="H8" s="36">
        <f t="shared" si="0"/>
        <v>693254.00000000023</v>
      </c>
      <c r="I8" s="36">
        <f t="shared" si="2"/>
        <v>838060.00000000023</v>
      </c>
      <c r="J8" s="36">
        <f t="shared" si="2"/>
        <v>982866</v>
      </c>
      <c r="K8" s="36">
        <f t="shared" si="1"/>
        <v>1055269</v>
      </c>
      <c r="L8" s="37">
        <f t="shared" si="1"/>
        <v>1127672</v>
      </c>
    </row>
    <row r="9" spans="1:14" x14ac:dyDescent="0.25">
      <c r="A9" s="828" t="s">
        <v>115</v>
      </c>
      <c r="B9" s="39">
        <v>1.85</v>
      </c>
      <c r="D9" s="839"/>
      <c r="E9" s="40">
        <f>$B$9</f>
        <v>1.85</v>
      </c>
      <c r="F9" s="35">
        <f t="shared" si="0"/>
        <v>650664</v>
      </c>
      <c r="G9" s="36">
        <f t="shared" si="0"/>
        <v>729455.5</v>
      </c>
      <c r="H9" s="36">
        <f t="shared" si="0"/>
        <v>808247</v>
      </c>
      <c r="I9" s="36">
        <f>((I$5*$E9)+$B$10)-$B$11</f>
        <v>965830</v>
      </c>
      <c r="J9" s="36">
        <f t="shared" si="2"/>
        <v>1123413</v>
      </c>
      <c r="K9" s="36">
        <f t="shared" si="1"/>
        <v>1202204.5</v>
      </c>
      <c r="L9" s="37">
        <f t="shared" si="1"/>
        <v>1280996</v>
      </c>
      <c r="N9" s="70">
        <f>B12/B11</f>
        <v>0.125</v>
      </c>
    </row>
    <row r="10" spans="1:14" x14ac:dyDescent="0.25">
      <c r="A10" s="828" t="s">
        <v>116</v>
      </c>
      <c r="B10" s="41">
        <v>640000</v>
      </c>
      <c r="D10" s="839"/>
      <c r="E10" s="34">
        <f>E9+0.15</f>
        <v>2</v>
      </c>
      <c r="F10" s="35">
        <f t="shared" si="0"/>
        <v>752880</v>
      </c>
      <c r="G10" s="36">
        <f t="shared" si="0"/>
        <v>838060</v>
      </c>
      <c r="H10" s="36">
        <f t="shared" si="0"/>
        <v>923240</v>
      </c>
      <c r="I10" s="36">
        <f>((I$5*$E10)+$B$10)-$B$11</f>
        <v>1093600</v>
      </c>
      <c r="J10" s="36">
        <f t="shared" si="2"/>
        <v>1263960</v>
      </c>
      <c r="K10" s="36">
        <f t="shared" si="1"/>
        <v>1349140</v>
      </c>
      <c r="L10" s="37">
        <f t="shared" si="1"/>
        <v>1434320</v>
      </c>
    </row>
    <row r="11" spans="1:14" x14ac:dyDescent="0.25">
      <c r="A11" s="828" t="s">
        <v>117</v>
      </c>
      <c r="B11" s="41">
        <v>1250000</v>
      </c>
      <c r="D11" s="839"/>
      <c r="E11" s="34">
        <f>E10+0.15</f>
        <v>2.15</v>
      </c>
      <c r="F11" s="35">
        <f t="shared" si="0"/>
        <v>855096</v>
      </c>
      <c r="G11" s="36">
        <f t="shared" si="0"/>
        <v>946664.5</v>
      </c>
      <c r="H11" s="36">
        <f t="shared" si="0"/>
        <v>1038233</v>
      </c>
      <c r="I11" s="36">
        <f t="shared" si="2"/>
        <v>1221370</v>
      </c>
      <c r="J11" s="36">
        <f t="shared" si="2"/>
        <v>1404507</v>
      </c>
      <c r="K11" s="36">
        <f t="shared" si="1"/>
        <v>1496075.5</v>
      </c>
      <c r="L11" s="37">
        <f t="shared" si="1"/>
        <v>1587644</v>
      </c>
    </row>
    <row r="12" spans="1:14" ht="13.8" thickBot="1" x14ac:dyDescent="0.3">
      <c r="A12" s="829" t="s">
        <v>118</v>
      </c>
      <c r="B12" s="42">
        <f>(B11/12)*1.5</f>
        <v>156250</v>
      </c>
      <c r="D12" s="839"/>
      <c r="E12" s="34">
        <f>E11+0.15</f>
        <v>2.2999999999999998</v>
      </c>
      <c r="F12" s="35">
        <f t="shared" si="0"/>
        <v>957312</v>
      </c>
      <c r="G12" s="36">
        <f t="shared" si="0"/>
        <v>1055269</v>
      </c>
      <c r="H12" s="36">
        <f t="shared" si="0"/>
        <v>1153226</v>
      </c>
      <c r="I12" s="36">
        <f>((I$5*$E12)+$B$10)-$B$11</f>
        <v>1349140</v>
      </c>
      <c r="J12" s="36">
        <f t="shared" si="2"/>
        <v>1545054</v>
      </c>
      <c r="K12" s="36">
        <f t="shared" si="1"/>
        <v>1643011</v>
      </c>
      <c r="L12" s="37">
        <f t="shared" si="1"/>
        <v>1740968</v>
      </c>
    </row>
    <row r="13" spans="1:14" ht="14.4" thickTop="1" thickBot="1" x14ac:dyDescent="0.3">
      <c r="D13" s="840"/>
      <c r="E13" s="34">
        <f>E12+0.15</f>
        <v>2.4499999999999997</v>
      </c>
      <c r="F13" s="43">
        <f t="shared" si="0"/>
        <v>1059528</v>
      </c>
      <c r="G13" s="44">
        <f t="shared" si="0"/>
        <v>1163873.5</v>
      </c>
      <c r="H13" s="44">
        <f t="shared" si="0"/>
        <v>1268219</v>
      </c>
      <c r="I13" s="44">
        <f>((I$5*$E13)+$B$10)-$B$11</f>
        <v>1476910</v>
      </c>
      <c r="J13" s="44">
        <f t="shared" si="2"/>
        <v>1685600.9999999995</v>
      </c>
      <c r="K13" s="44">
        <f t="shared" si="1"/>
        <v>1789946.4999999995</v>
      </c>
      <c r="L13" s="45">
        <f t="shared" si="1"/>
        <v>1894291.9999999995</v>
      </c>
    </row>
    <row r="14" spans="1:14" ht="14.4" thickTop="1" thickBot="1" x14ac:dyDescent="0.3"/>
    <row r="15" spans="1:14" ht="14.4" thickTop="1" thickBot="1" x14ac:dyDescent="0.3">
      <c r="B15" s="830" t="s">
        <v>119</v>
      </c>
      <c r="F15" s="841" t="s">
        <v>102</v>
      </c>
      <c r="G15" s="842"/>
      <c r="H15" s="842"/>
      <c r="I15" s="842"/>
      <c r="J15" s="842"/>
      <c r="K15" s="842"/>
      <c r="L15" s="843"/>
    </row>
    <row r="16" spans="1:14" ht="14.4" thickTop="1" thickBot="1" x14ac:dyDescent="0.3">
      <c r="B16" s="260" t="s">
        <v>120</v>
      </c>
      <c r="F16" s="26" t="s">
        <v>104</v>
      </c>
      <c r="G16" s="26" t="s">
        <v>105</v>
      </c>
      <c r="H16" s="26" t="s">
        <v>106</v>
      </c>
      <c r="I16" s="27" t="s">
        <v>107</v>
      </c>
      <c r="J16" s="26" t="s">
        <v>108</v>
      </c>
      <c r="K16" s="26" t="s">
        <v>109</v>
      </c>
      <c r="L16" s="26" t="s">
        <v>110</v>
      </c>
    </row>
    <row r="17" spans="1:12" ht="14.4" thickTop="1" thickBot="1" x14ac:dyDescent="0.3">
      <c r="B17" s="260" t="s">
        <v>121</v>
      </c>
      <c r="F17" s="28">
        <f>$I$17-($I$17*0.2)</f>
        <v>853040</v>
      </c>
      <c r="G17" s="28">
        <f>$I$17-($I$17*0.15)</f>
        <v>906355</v>
      </c>
      <c r="H17" s="28">
        <f>$I$17-($I$17*0.1)</f>
        <v>959670</v>
      </c>
      <c r="I17" s="29">
        <f>$B$20</f>
        <v>1066300</v>
      </c>
      <c r="J17" s="28">
        <f>$I$17+($I$17*0.1)</f>
        <v>1172930</v>
      </c>
      <c r="K17" s="28">
        <f>$I$17+($I$17*0.15)</f>
        <v>1226245</v>
      </c>
      <c r="L17" s="28">
        <f>$I$17+($I$17*0.2)</f>
        <v>1279560</v>
      </c>
    </row>
    <row r="18" spans="1:12" ht="14.4" thickTop="1" thickBot="1" x14ac:dyDescent="0.3">
      <c r="D18" s="838" t="s">
        <v>112</v>
      </c>
      <c r="E18" s="46">
        <f>E19-0.5</f>
        <v>3.9000000000000004</v>
      </c>
      <c r="F18" s="47">
        <f t="shared" ref="F18:L25" si="3">((F$17*$E18)+$B$22)-($B$23+$B$24)</f>
        <v>-1325735</v>
      </c>
      <c r="G18" s="48">
        <f t="shared" si="3"/>
        <v>-1117806.5</v>
      </c>
      <c r="H18" s="49">
        <f t="shared" si="3"/>
        <v>-909878</v>
      </c>
      <c r="I18" s="49">
        <f t="shared" si="3"/>
        <v>-494021</v>
      </c>
      <c r="J18" s="49">
        <f t="shared" si="3"/>
        <v>-78164</v>
      </c>
      <c r="K18" s="49">
        <f t="shared" si="3"/>
        <v>129764.5</v>
      </c>
      <c r="L18" s="50">
        <f t="shared" si="3"/>
        <v>337693</v>
      </c>
    </row>
    <row r="19" spans="1:12" ht="14.4" thickTop="1" thickBot="1" x14ac:dyDescent="0.3">
      <c r="A19" s="33" t="s">
        <v>122</v>
      </c>
      <c r="D19" s="839"/>
      <c r="E19" s="51">
        <f>E20-0.5</f>
        <v>4.4000000000000004</v>
      </c>
      <c r="F19" s="52">
        <f t="shared" si="3"/>
        <v>-899215</v>
      </c>
      <c r="G19" s="53">
        <f t="shared" si="3"/>
        <v>-664629</v>
      </c>
      <c r="H19" s="53">
        <f t="shared" si="3"/>
        <v>-430043</v>
      </c>
      <c r="I19" s="53">
        <f t="shared" si="3"/>
        <v>39129</v>
      </c>
      <c r="J19" s="53">
        <f t="shared" si="3"/>
        <v>508301</v>
      </c>
      <c r="K19" s="53">
        <f t="shared" si="3"/>
        <v>742887</v>
      </c>
      <c r="L19" s="54">
        <f t="shared" si="3"/>
        <v>977473</v>
      </c>
    </row>
    <row r="20" spans="1:12" ht="13.8" thickTop="1" x14ac:dyDescent="0.25">
      <c r="A20" s="827" t="s">
        <v>114</v>
      </c>
      <c r="B20" s="38">
        <v>1066300</v>
      </c>
      <c r="D20" s="839"/>
      <c r="E20" s="51">
        <f>E21-0.5</f>
        <v>4.9000000000000004</v>
      </c>
      <c r="F20" s="52">
        <f t="shared" si="3"/>
        <v>-472695</v>
      </c>
      <c r="G20" s="53">
        <f t="shared" si="3"/>
        <v>-211451.5</v>
      </c>
      <c r="H20" s="53">
        <f t="shared" si="3"/>
        <v>49792</v>
      </c>
      <c r="I20" s="53">
        <f t="shared" si="3"/>
        <v>572279</v>
      </c>
      <c r="J20" s="53">
        <f t="shared" si="3"/>
        <v>1094766</v>
      </c>
      <c r="K20" s="53">
        <f t="shared" si="3"/>
        <v>1356009.5</v>
      </c>
      <c r="L20" s="54">
        <f t="shared" si="3"/>
        <v>1617253</v>
      </c>
    </row>
    <row r="21" spans="1:12" x14ac:dyDescent="0.25">
      <c r="A21" s="828" t="s">
        <v>115</v>
      </c>
      <c r="B21" s="39">
        <v>5.4</v>
      </c>
      <c r="D21" s="839"/>
      <c r="E21" s="55">
        <f>$B$21</f>
        <v>5.4</v>
      </c>
      <c r="F21" s="52">
        <f t="shared" si="3"/>
        <v>-46175</v>
      </c>
      <c r="G21" s="53">
        <f t="shared" si="3"/>
        <v>241726</v>
      </c>
      <c r="H21" s="53">
        <f t="shared" si="3"/>
        <v>529627</v>
      </c>
      <c r="I21" s="53">
        <f t="shared" si="3"/>
        <v>1105429</v>
      </c>
      <c r="J21" s="53">
        <f t="shared" si="3"/>
        <v>1681231</v>
      </c>
      <c r="K21" s="53">
        <f t="shared" si="3"/>
        <v>1969132</v>
      </c>
      <c r="L21" s="54">
        <f t="shared" si="3"/>
        <v>2257033</v>
      </c>
    </row>
    <row r="22" spans="1:12" x14ac:dyDescent="0.25">
      <c r="A22" s="828" t="s">
        <v>116</v>
      </c>
      <c r="B22" s="41">
        <v>1422409</v>
      </c>
      <c r="D22" s="839"/>
      <c r="E22" s="51">
        <f>E21+0.5</f>
        <v>5.9</v>
      </c>
      <c r="F22" s="52">
        <f>((F$17*$E22)+$B$22)-($B$23+$B$24)</f>
        <v>380345</v>
      </c>
      <c r="G22" s="53">
        <f t="shared" si="3"/>
        <v>694903.5</v>
      </c>
      <c r="H22" s="53">
        <f t="shared" si="3"/>
        <v>1009462</v>
      </c>
      <c r="I22" s="53">
        <f t="shared" si="3"/>
        <v>1638579</v>
      </c>
      <c r="J22" s="53">
        <f t="shared" si="3"/>
        <v>2267696</v>
      </c>
      <c r="K22" s="53">
        <f t="shared" si="3"/>
        <v>2582254.5</v>
      </c>
      <c r="L22" s="54">
        <f t="shared" si="3"/>
        <v>2896813</v>
      </c>
    </row>
    <row r="23" spans="1:12" x14ac:dyDescent="0.25">
      <c r="A23" s="828" t="s">
        <v>117</v>
      </c>
      <c r="B23" s="41">
        <v>5400000</v>
      </c>
      <c r="D23" s="839"/>
      <c r="E23" s="51">
        <f>E22+0.5</f>
        <v>6.4</v>
      </c>
      <c r="F23" s="52">
        <f t="shared" si="3"/>
        <v>806865</v>
      </c>
      <c r="G23" s="53">
        <f t="shared" si="3"/>
        <v>1148081</v>
      </c>
      <c r="H23" s="53">
        <f t="shared" si="3"/>
        <v>1489297</v>
      </c>
      <c r="I23" s="53">
        <f t="shared" si="3"/>
        <v>2171729</v>
      </c>
      <c r="J23" s="53">
        <f t="shared" si="3"/>
        <v>2854161</v>
      </c>
      <c r="K23" s="53">
        <f t="shared" si="3"/>
        <v>3195377</v>
      </c>
      <c r="L23" s="54">
        <f t="shared" si="3"/>
        <v>3536593</v>
      </c>
    </row>
    <row r="24" spans="1:12" ht="13.8" thickBot="1" x14ac:dyDescent="0.3">
      <c r="A24" s="829" t="s">
        <v>118</v>
      </c>
      <c r="B24" s="42">
        <f>(B23/12)*1.5</f>
        <v>675000</v>
      </c>
      <c r="D24" s="839"/>
      <c r="E24" s="51">
        <f>E23+0.5</f>
        <v>6.9</v>
      </c>
      <c r="F24" s="52">
        <f t="shared" si="3"/>
        <v>1233385</v>
      </c>
      <c r="G24" s="53">
        <f t="shared" si="3"/>
        <v>1601258.5</v>
      </c>
      <c r="H24" s="53">
        <f t="shared" si="3"/>
        <v>1969132</v>
      </c>
      <c r="I24" s="53">
        <f t="shared" si="3"/>
        <v>2704879</v>
      </c>
      <c r="J24" s="53">
        <f t="shared" si="3"/>
        <v>3440626</v>
      </c>
      <c r="K24" s="53">
        <f t="shared" si="3"/>
        <v>3808499.5</v>
      </c>
      <c r="L24" s="54">
        <f t="shared" si="3"/>
        <v>4176373</v>
      </c>
    </row>
    <row r="25" spans="1:12" ht="14.4" thickTop="1" thickBot="1" x14ac:dyDescent="0.3">
      <c r="D25" s="840"/>
      <c r="E25" s="56">
        <f>E24+0.5</f>
        <v>7.4</v>
      </c>
      <c r="F25" s="57">
        <f t="shared" si="3"/>
        <v>1659905</v>
      </c>
      <c r="G25" s="58">
        <f t="shared" si="3"/>
        <v>2054436</v>
      </c>
      <c r="H25" s="58">
        <f t="shared" si="3"/>
        <v>2448967</v>
      </c>
      <c r="I25" s="58">
        <f t="shared" si="3"/>
        <v>3238029</v>
      </c>
      <c r="J25" s="58">
        <f t="shared" si="3"/>
        <v>4027091</v>
      </c>
      <c r="K25" s="58">
        <f t="shared" si="3"/>
        <v>4421622</v>
      </c>
      <c r="L25" s="59">
        <f t="shared" si="3"/>
        <v>4816153</v>
      </c>
    </row>
    <row r="26" spans="1:12" ht="14.4" thickTop="1" thickBot="1" x14ac:dyDescent="0.3"/>
    <row r="27" spans="1:12" ht="14.4" thickTop="1" thickBot="1" x14ac:dyDescent="0.3">
      <c r="B27" s="830" t="s">
        <v>119</v>
      </c>
      <c r="F27" s="841" t="s">
        <v>102</v>
      </c>
      <c r="G27" s="842"/>
      <c r="H27" s="842"/>
      <c r="I27" s="842"/>
      <c r="J27" s="842"/>
      <c r="K27" s="842"/>
      <c r="L27" s="843"/>
    </row>
    <row r="28" spans="1:12" ht="14.4" thickTop="1" thickBot="1" x14ac:dyDescent="0.3">
      <c r="B28" s="260" t="s">
        <v>120</v>
      </c>
      <c r="F28" s="26" t="s">
        <v>104</v>
      </c>
      <c r="G28" s="26" t="s">
        <v>105</v>
      </c>
      <c r="H28" s="26" t="s">
        <v>106</v>
      </c>
      <c r="I28" s="27" t="s">
        <v>107</v>
      </c>
      <c r="J28" s="26" t="s">
        <v>108</v>
      </c>
      <c r="K28" s="26" t="s">
        <v>109</v>
      </c>
      <c r="L28" s="26" t="s">
        <v>110</v>
      </c>
    </row>
    <row r="29" spans="1:12" ht="14.4" thickTop="1" thickBot="1" x14ac:dyDescent="0.3">
      <c r="B29" s="260" t="s">
        <v>121</v>
      </c>
      <c r="F29" s="28">
        <f>$I$29-($I$29*0.2)</f>
        <v>1534480</v>
      </c>
      <c r="G29" s="28">
        <f>$I$29-($I$29*0.15)</f>
        <v>1630385</v>
      </c>
      <c r="H29" s="28">
        <f>$I$29-($I$29*0.1)</f>
        <v>1726290</v>
      </c>
      <c r="I29" s="29">
        <f>$B$32</f>
        <v>1918100</v>
      </c>
      <c r="J29" s="28">
        <f>$I$29+($I$29*0.1)</f>
        <v>2109910</v>
      </c>
      <c r="K29" s="28">
        <f>$I$29+($I$29*0.15)</f>
        <v>2205815</v>
      </c>
      <c r="L29" s="28">
        <f>$I$29+($I$29*0.2)</f>
        <v>2301720</v>
      </c>
    </row>
    <row r="30" spans="1:12" ht="14.4" thickTop="1" thickBot="1" x14ac:dyDescent="0.3">
      <c r="D30" s="838" t="s">
        <v>112</v>
      </c>
      <c r="E30" s="46">
        <f>E31-0.5</f>
        <v>2.125</v>
      </c>
      <c r="F30" s="60">
        <f t="shared" ref="F30:L37" si="4">((F$29*$E30)+$B$34)-($B$35+$B$36)</f>
        <v>-2158071</v>
      </c>
      <c r="G30" s="61">
        <f t="shared" si="4"/>
        <v>-1954272.875</v>
      </c>
      <c r="H30" s="61">
        <f t="shared" si="4"/>
        <v>-1750474.75</v>
      </c>
      <c r="I30" s="61">
        <f t="shared" si="4"/>
        <v>-1342878.5</v>
      </c>
      <c r="J30" s="61">
        <f t="shared" si="4"/>
        <v>-935282.25</v>
      </c>
      <c r="K30" s="61">
        <f t="shared" si="4"/>
        <v>-731484.125</v>
      </c>
      <c r="L30" s="62">
        <f t="shared" si="4"/>
        <v>-527686</v>
      </c>
    </row>
    <row r="31" spans="1:12" ht="14.4" thickTop="1" thickBot="1" x14ac:dyDescent="0.3">
      <c r="A31" s="33" t="s">
        <v>123</v>
      </c>
      <c r="D31" s="839"/>
      <c r="E31" s="51">
        <f>E32-0.5</f>
        <v>2.625</v>
      </c>
      <c r="F31" s="63">
        <f t="shared" si="4"/>
        <v>-1390831</v>
      </c>
      <c r="G31" s="64">
        <f t="shared" si="4"/>
        <v>-1139080.375</v>
      </c>
      <c r="H31" s="64">
        <f t="shared" si="4"/>
        <v>-887329.75</v>
      </c>
      <c r="I31" s="64">
        <f t="shared" si="4"/>
        <v>-383828.5</v>
      </c>
      <c r="J31" s="64">
        <f t="shared" si="4"/>
        <v>119672.75</v>
      </c>
      <c r="K31" s="64">
        <f t="shared" si="4"/>
        <v>371423.375</v>
      </c>
      <c r="L31" s="65">
        <f t="shared" si="4"/>
        <v>623174</v>
      </c>
    </row>
    <row r="32" spans="1:12" ht="13.8" thickTop="1" x14ac:dyDescent="0.25">
      <c r="A32" s="827" t="s">
        <v>114</v>
      </c>
      <c r="B32" s="38">
        <f>B8+B20</f>
        <v>1918100</v>
      </c>
      <c r="D32" s="839"/>
      <c r="E32" s="51">
        <f>E33-0.5</f>
        <v>3.125</v>
      </c>
      <c r="F32" s="63">
        <f t="shared" si="4"/>
        <v>-623591</v>
      </c>
      <c r="G32" s="64">
        <f t="shared" si="4"/>
        <v>-323887.875</v>
      </c>
      <c r="H32" s="64">
        <f t="shared" si="4"/>
        <v>-24184.75</v>
      </c>
      <c r="I32" s="64">
        <f t="shared" si="4"/>
        <v>575221.5</v>
      </c>
      <c r="J32" s="64">
        <f t="shared" si="4"/>
        <v>1174627.75</v>
      </c>
      <c r="K32" s="64">
        <f t="shared" si="4"/>
        <v>1474330.875</v>
      </c>
      <c r="L32" s="65">
        <f t="shared" si="4"/>
        <v>1774034</v>
      </c>
    </row>
    <row r="33" spans="1:12" x14ac:dyDescent="0.25">
      <c r="A33" s="828" t="s">
        <v>115</v>
      </c>
      <c r="B33" s="39">
        <f>AVERAGE(B9,B21)</f>
        <v>3.625</v>
      </c>
      <c r="D33" s="839"/>
      <c r="E33" s="55">
        <f>$B$33</f>
        <v>3.625</v>
      </c>
      <c r="F33" s="63">
        <f t="shared" si="4"/>
        <v>143649</v>
      </c>
      <c r="G33" s="64">
        <f t="shared" si="4"/>
        <v>491304.625</v>
      </c>
      <c r="H33" s="64">
        <f t="shared" si="4"/>
        <v>838960.25</v>
      </c>
      <c r="I33" s="64">
        <f t="shared" si="4"/>
        <v>1534271.5</v>
      </c>
      <c r="J33" s="64">
        <f t="shared" si="4"/>
        <v>2229582.75</v>
      </c>
      <c r="K33" s="64">
        <f t="shared" si="4"/>
        <v>2577238.375</v>
      </c>
      <c r="L33" s="65">
        <f t="shared" si="4"/>
        <v>2924894</v>
      </c>
    </row>
    <row r="34" spans="1:12" x14ac:dyDescent="0.25">
      <c r="A34" s="828" t="s">
        <v>116</v>
      </c>
      <c r="B34" s="41">
        <f>B10+B22</f>
        <v>2062409</v>
      </c>
      <c r="D34" s="839"/>
      <c r="E34" s="51">
        <f>E33+0.5</f>
        <v>4.125</v>
      </c>
      <c r="F34" s="63">
        <f t="shared" si="4"/>
        <v>910889</v>
      </c>
      <c r="G34" s="64">
        <f t="shared" si="4"/>
        <v>1306497.125</v>
      </c>
      <c r="H34" s="64">
        <f t="shared" si="4"/>
        <v>1702105.25</v>
      </c>
      <c r="I34" s="64">
        <f t="shared" si="4"/>
        <v>2493321.5</v>
      </c>
      <c r="J34" s="64">
        <f t="shared" si="4"/>
        <v>3284537.75</v>
      </c>
      <c r="K34" s="64">
        <f t="shared" si="4"/>
        <v>3680145.875</v>
      </c>
      <c r="L34" s="65">
        <f t="shared" si="4"/>
        <v>4075754</v>
      </c>
    </row>
    <row r="35" spans="1:12" x14ac:dyDescent="0.25">
      <c r="A35" s="828" t="s">
        <v>117</v>
      </c>
      <c r="B35" s="41">
        <f>B11+B23</f>
        <v>6650000</v>
      </c>
      <c r="D35" s="839"/>
      <c r="E35" s="51">
        <f>E34+0.5</f>
        <v>4.625</v>
      </c>
      <c r="F35" s="63">
        <f t="shared" si="4"/>
        <v>1678129</v>
      </c>
      <c r="G35" s="64">
        <f t="shared" si="4"/>
        <v>2121689.625</v>
      </c>
      <c r="H35" s="64">
        <f t="shared" si="4"/>
        <v>2565250.25</v>
      </c>
      <c r="I35" s="64">
        <f t="shared" si="4"/>
        <v>3452371.5</v>
      </c>
      <c r="J35" s="64">
        <f t="shared" si="4"/>
        <v>4339492.75</v>
      </c>
      <c r="K35" s="64">
        <f t="shared" si="4"/>
        <v>4783053.375</v>
      </c>
      <c r="L35" s="65">
        <f t="shared" si="4"/>
        <v>5226614</v>
      </c>
    </row>
    <row r="36" spans="1:12" ht="13.8" thickBot="1" x14ac:dyDescent="0.3">
      <c r="A36" s="829" t="s">
        <v>118</v>
      </c>
      <c r="B36" s="42">
        <f>(B35/12)*1.5</f>
        <v>831250</v>
      </c>
      <c r="D36" s="839"/>
      <c r="E36" s="51">
        <f>E35+0.5</f>
        <v>5.125</v>
      </c>
      <c r="F36" s="63">
        <f t="shared" si="4"/>
        <v>2445369</v>
      </c>
      <c r="G36" s="64">
        <f t="shared" si="4"/>
        <v>2936882.125</v>
      </c>
      <c r="H36" s="64">
        <f t="shared" si="4"/>
        <v>3428395.25</v>
      </c>
      <c r="I36" s="64">
        <f t="shared" si="4"/>
        <v>4411421.5</v>
      </c>
      <c r="J36" s="64">
        <f t="shared" si="4"/>
        <v>5394447.75</v>
      </c>
      <c r="K36" s="64">
        <f t="shared" si="4"/>
        <v>5885960.875</v>
      </c>
      <c r="L36" s="65">
        <f t="shared" si="4"/>
        <v>6377474</v>
      </c>
    </row>
    <row r="37" spans="1:12" ht="14.4" thickTop="1" thickBot="1" x14ac:dyDescent="0.3">
      <c r="D37" s="840"/>
      <c r="E37" s="56">
        <f>E36+0.5</f>
        <v>5.625</v>
      </c>
      <c r="F37" s="66">
        <f t="shared" si="4"/>
        <v>3212609</v>
      </c>
      <c r="G37" s="67">
        <f t="shared" si="4"/>
        <v>3752074.625</v>
      </c>
      <c r="H37" s="67">
        <f t="shared" si="4"/>
        <v>4291540.25</v>
      </c>
      <c r="I37" s="67">
        <f t="shared" si="4"/>
        <v>5370471.5</v>
      </c>
      <c r="J37" s="67">
        <f t="shared" si="4"/>
        <v>6449402.75</v>
      </c>
      <c r="K37" s="67">
        <f t="shared" si="4"/>
        <v>6988868.375</v>
      </c>
      <c r="L37" s="68">
        <f t="shared" si="4"/>
        <v>7528334</v>
      </c>
    </row>
    <row r="38" spans="1:12" ht="13.8" thickTop="1" x14ac:dyDescent="0.25">
      <c r="I38" t="s">
        <v>124</v>
      </c>
    </row>
    <row r="39" spans="1:12" x14ac:dyDescent="0.25">
      <c r="A39" t="s">
        <v>125</v>
      </c>
      <c r="F39" s="69"/>
      <c r="I39" t="s">
        <v>4</v>
      </c>
    </row>
    <row r="40" spans="1:12" x14ac:dyDescent="0.25">
      <c r="A40" t="s">
        <v>126</v>
      </c>
      <c r="I40" t="s">
        <v>127</v>
      </c>
    </row>
    <row r="41" spans="1:12" x14ac:dyDescent="0.25">
      <c r="A41" s="260" t="s">
        <v>128</v>
      </c>
      <c r="I41" s="260" t="s">
        <v>129</v>
      </c>
    </row>
  </sheetData>
  <mergeCells count="6">
    <mergeCell ref="D30:D37"/>
    <mergeCell ref="F3:L3"/>
    <mergeCell ref="D6:D13"/>
    <mergeCell ref="F15:L15"/>
    <mergeCell ref="D18:D25"/>
    <mergeCell ref="F27:L27"/>
  </mergeCells>
  <conditionalFormatting sqref="B15">
    <cfRule type="cellIs" dxfId="48" priority="19" stopIfTrue="1" operator="equal">
      <formula>$B$15</formula>
    </cfRule>
    <cfRule type="cellIs" dxfId="47" priority="33" stopIfTrue="1" operator="equal">
      <formula>"&lt; 1 500 000 ton"</formula>
    </cfRule>
  </conditionalFormatting>
  <conditionalFormatting sqref="B16">
    <cfRule type="cellIs" dxfId="46" priority="17" stopIfTrue="1" operator="equal">
      <formula>$B$16</formula>
    </cfRule>
    <cfRule type="cellIs" dxfId="45" priority="32" stopIfTrue="1" operator="equal">
      <formula>"&gt; 1 500 000 ton"</formula>
    </cfRule>
    <cfRule type="cellIs" dxfId="44" priority="35" stopIfTrue="1" operator="equal">
      <formula>"&gt; 1 500 000"</formula>
    </cfRule>
  </conditionalFormatting>
  <conditionalFormatting sqref="B17">
    <cfRule type="cellIs" dxfId="43" priority="31" stopIfTrue="1" operator="equal">
      <formula>"Geen surplusse"</formula>
    </cfRule>
    <cfRule type="cellIs" dxfId="42" priority="15" stopIfTrue="1" operator="equal">
      <formula>$B$17</formula>
    </cfRule>
  </conditionalFormatting>
  <conditionalFormatting sqref="B27">
    <cfRule type="cellIs" dxfId="41" priority="6" stopIfTrue="1" operator="equal">
      <formula>$B$15</formula>
    </cfRule>
    <cfRule type="cellIs" dxfId="40" priority="10" stopIfTrue="1" operator="equal">
      <formula>"&lt; 1 500 000 ton"</formula>
    </cfRule>
  </conditionalFormatting>
  <conditionalFormatting sqref="B28">
    <cfRule type="cellIs" dxfId="39" priority="4" stopIfTrue="1" operator="equal">
      <formula>$B$16</formula>
    </cfRule>
    <cfRule type="cellIs" dxfId="38" priority="9" stopIfTrue="1" operator="equal">
      <formula>"&gt; 1 500 000 ton"</formula>
    </cfRule>
    <cfRule type="cellIs" dxfId="37" priority="12" stopIfTrue="1" operator="equal">
      <formula>"&gt; 1 500 000"</formula>
    </cfRule>
  </conditionalFormatting>
  <conditionalFormatting sqref="B29">
    <cfRule type="cellIs" dxfId="36" priority="2" stopIfTrue="1" operator="equal">
      <formula>$B$17</formula>
    </cfRule>
    <cfRule type="cellIs" dxfId="35" priority="8" stopIfTrue="1" operator="equal">
      <formula>"Geen surplusse"</formula>
    </cfRule>
  </conditionalFormatting>
  <conditionalFormatting sqref="B15:C15">
    <cfRule type="cellIs" dxfId="34" priority="37" stopIfTrue="1" operator="equal">
      <formula>"&lt; 1 500 000"</formula>
    </cfRule>
  </conditionalFormatting>
  <conditionalFormatting sqref="B27:C27">
    <cfRule type="cellIs" dxfId="33" priority="14" stopIfTrue="1" operator="equal">
      <formula>"&lt; 1 500 000"</formula>
    </cfRule>
  </conditionalFormatting>
  <conditionalFormatting sqref="C15">
    <cfRule type="cellIs" dxfId="32" priority="18" stopIfTrue="1" operator="equal">
      <formula>0</formula>
    </cfRule>
    <cfRule type="cellIs" dxfId="31" priority="36" stopIfTrue="1" operator="equal">
      <formula>0</formula>
    </cfRule>
  </conditionalFormatting>
  <conditionalFormatting sqref="C16">
    <cfRule type="cellIs" dxfId="30" priority="16" stopIfTrue="1" operator="equal">
      <formula>$C$16</formula>
    </cfRule>
    <cfRule type="cellIs" dxfId="29" priority="34" stopIfTrue="1" operator="equal">
      <formula>0</formula>
    </cfRule>
  </conditionalFormatting>
  <conditionalFormatting sqref="C17">
    <cfRule type="cellIs" dxfId="28" priority="30" stopIfTrue="1" operator="equal">
      <formula>0</formula>
    </cfRule>
  </conditionalFormatting>
  <conditionalFormatting sqref="C27">
    <cfRule type="cellIs" dxfId="27" priority="5" stopIfTrue="1" operator="equal">
      <formula>0</formula>
    </cfRule>
    <cfRule type="cellIs" dxfId="26" priority="13" stopIfTrue="1" operator="equal">
      <formula>0</formula>
    </cfRule>
  </conditionalFormatting>
  <conditionalFormatting sqref="C28">
    <cfRule type="cellIs" dxfId="25" priority="3" stopIfTrue="1" operator="equal">
      <formula>$C$16</formula>
    </cfRule>
    <cfRule type="cellIs" dxfId="24" priority="11" stopIfTrue="1" operator="equal">
      <formula>0</formula>
    </cfRule>
  </conditionalFormatting>
  <conditionalFormatting sqref="C29">
    <cfRule type="cellIs" dxfId="23" priority="7" stopIfTrue="1" operator="equal">
      <formula>0</formula>
    </cfRule>
  </conditionalFormatting>
  <conditionalFormatting sqref="F6:L13 N9">
    <cfRule type="cellIs" dxfId="22" priority="21" stopIfTrue="1" operator="greaterThan">
      <formula>1500000</formula>
    </cfRule>
    <cfRule type="cellIs" dxfId="21" priority="28" stopIfTrue="1" operator="lessThan">
      <formula>1500000</formula>
    </cfRule>
    <cfRule type="cellIs" dxfId="20" priority="27" stopIfTrue="1" operator="lessThan">
      <formula>1500000</formula>
    </cfRule>
    <cfRule type="cellIs" dxfId="19" priority="29" stopIfTrue="1" operator="greaterThan">
      <formula>1500000</formula>
    </cfRule>
    <cfRule type="cellIs" dxfId="18" priority="20" stopIfTrue="1" operator="greaterThan">
      <formula>1500000</formula>
    </cfRule>
    <cfRule type="cellIs" dxfId="17" priority="45" stopIfTrue="1" operator="lessThan">
      <formula>1500000</formula>
    </cfRule>
    <cfRule type="cellIs" dxfId="16" priority="44" stopIfTrue="1" operator="greaterThan">
      <formula>1500000</formula>
    </cfRule>
  </conditionalFormatting>
  <conditionalFormatting sqref="F18:L25">
    <cfRule type="cellIs" dxfId="15" priority="25" stopIfTrue="1" operator="greaterThan">
      <formula>1500000</formula>
    </cfRule>
    <cfRule type="cellIs" dxfId="14" priority="38" stopIfTrue="1" operator="lessThan">
      <formula>0</formula>
    </cfRule>
    <cfRule type="cellIs" dxfId="13" priority="39" stopIfTrue="1" operator="lessThan">
      <formula>0</formula>
    </cfRule>
    <cfRule type="cellIs" dxfId="12" priority="26" stopIfTrue="1" operator="lessThan">
      <formula>1500000</formula>
    </cfRule>
    <cfRule type="cellIs" dxfId="11" priority="42" stopIfTrue="1" operator="greaterThan">
      <formula>1500000</formula>
    </cfRule>
    <cfRule type="cellIs" dxfId="10" priority="43" stopIfTrue="1" operator="lessThan">
      <formula>1500000</formula>
    </cfRule>
    <cfRule type="cellIs" dxfId="9" priority="24" stopIfTrue="1" operator="lessThan">
      <formula>0</formula>
    </cfRule>
  </conditionalFormatting>
  <conditionalFormatting sqref="F30:L37">
    <cfRule type="cellIs" dxfId="8" priority="23" stopIfTrue="1" operator="lessThan">
      <formula>1500000</formula>
    </cfRule>
    <cfRule type="cellIs" dxfId="7" priority="22" stopIfTrue="1" operator="greaterThan">
      <formula>1500000</formula>
    </cfRule>
    <cfRule type="cellIs" dxfId="6" priority="1" stopIfTrue="1" operator="lessThan">
      <formula>0</formula>
    </cfRule>
    <cfRule type="cellIs" dxfId="5" priority="41" stopIfTrue="1" operator="lessThan">
      <formula>1500000</formula>
    </cfRule>
    <cfRule type="cellIs" dxfId="4" priority="40" stopIfTrue="1" operator="greaterThan">
      <formula>1500000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D8D9-6B1B-423E-A5F1-51AF0CB5BF25}">
  <dimension ref="A1:I34"/>
  <sheetViews>
    <sheetView workbookViewId="0">
      <selection sqref="A1:I1"/>
    </sheetView>
  </sheetViews>
  <sheetFormatPr defaultRowHeight="13.2" x14ac:dyDescent="0.25"/>
  <cols>
    <col min="1" max="1" width="10.77734375" customWidth="1"/>
    <col min="3" max="5" width="9.33203125" bestFit="1" customWidth="1"/>
    <col min="6" max="6" width="14.33203125" bestFit="1" customWidth="1"/>
    <col min="7" max="7" width="9.33203125" bestFit="1" customWidth="1"/>
    <col min="8" max="8" width="9.33203125" customWidth="1"/>
    <col min="9" max="9" width="9.33203125" bestFit="1" customWidth="1"/>
    <col min="27" max="30" width="13.77734375" customWidth="1"/>
  </cols>
  <sheetData>
    <row r="1" spans="1:9" ht="13.8" thickBot="1" x14ac:dyDescent="0.3">
      <c r="A1" s="847" t="s">
        <v>198</v>
      </c>
      <c r="B1" s="848"/>
      <c r="C1" s="848"/>
      <c r="D1" s="848"/>
      <c r="E1" s="848"/>
      <c r="F1" s="848"/>
      <c r="G1" s="848"/>
      <c r="H1" s="848"/>
      <c r="I1" s="849"/>
    </row>
    <row r="2" spans="1:9" ht="13.8" thickBot="1" x14ac:dyDescent="0.3">
      <c r="A2" s="832"/>
      <c r="C2" s="856" t="s">
        <v>130</v>
      </c>
      <c r="D2" s="856"/>
      <c r="E2" s="856"/>
      <c r="F2" s="856"/>
      <c r="G2" s="856"/>
      <c r="I2" s="833"/>
    </row>
    <row r="3" spans="1:9" ht="13.8" thickBot="1" x14ac:dyDescent="0.3">
      <c r="A3" s="850"/>
      <c r="B3" s="851"/>
      <c r="C3" s="847" t="s">
        <v>131</v>
      </c>
      <c r="D3" s="848"/>
      <c r="E3" s="848"/>
      <c r="F3" s="848"/>
      <c r="G3" s="848"/>
      <c r="H3" s="848"/>
      <c r="I3" s="849"/>
    </row>
    <row r="4" spans="1:9" ht="18" customHeight="1" x14ac:dyDescent="0.25">
      <c r="A4" s="852"/>
      <c r="B4" s="853"/>
      <c r="C4" s="300">
        <v>-0.2</v>
      </c>
      <c r="D4" s="294">
        <v>-0.15</v>
      </c>
      <c r="E4" s="294">
        <v>-0.1</v>
      </c>
      <c r="F4" s="1" t="s">
        <v>132</v>
      </c>
      <c r="G4" s="294">
        <v>0.1</v>
      </c>
      <c r="H4" s="294">
        <v>0.15</v>
      </c>
      <c r="I4" s="295">
        <v>0.2</v>
      </c>
    </row>
    <row r="5" spans="1:9" ht="13.8" thickBot="1" x14ac:dyDescent="0.3">
      <c r="A5" s="854"/>
      <c r="B5" s="855"/>
      <c r="C5" s="296">
        <f t="shared" ref="C5:D5" si="0">$F$5+($F$5*C4)</f>
        <v>854.56000000000006</v>
      </c>
      <c r="D5" s="301">
        <f t="shared" si="0"/>
        <v>907.97</v>
      </c>
      <c r="E5" s="301">
        <f>$F$5+($F$5*E4)</f>
        <v>961.38</v>
      </c>
      <c r="F5" s="302">
        <v>1068.2</v>
      </c>
      <c r="G5" s="302">
        <f>$F$5+($F$5*G4)</f>
        <v>1175.02</v>
      </c>
      <c r="H5" s="302">
        <f t="shared" ref="H5:I5" si="1">$F$5+($F$5*H4)</f>
        <v>1228.43</v>
      </c>
      <c r="I5" s="303">
        <f t="shared" si="1"/>
        <v>1281.8400000000001</v>
      </c>
    </row>
    <row r="6" spans="1:9" x14ac:dyDescent="0.25">
      <c r="A6" s="844" t="s">
        <v>133</v>
      </c>
      <c r="B6" s="297">
        <v>1.6</v>
      </c>
      <c r="C6" s="304">
        <f t="shared" ref="C6:I6" si="2">C5*$B$6</f>
        <v>1367.2960000000003</v>
      </c>
      <c r="D6" s="304">
        <f t="shared" si="2"/>
        <v>1452.7520000000002</v>
      </c>
      <c r="E6" s="304">
        <f t="shared" si="2"/>
        <v>1538.2080000000001</v>
      </c>
      <c r="F6" s="308">
        <f t="shared" si="2"/>
        <v>1709.1200000000001</v>
      </c>
      <c r="G6" s="304">
        <f t="shared" si="2"/>
        <v>1880.0320000000002</v>
      </c>
      <c r="H6" s="304">
        <f t="shared" si="2"/>
        <v>1965.4880000000003</v>
      </c>
      <c r="I6" s="305">
        <f t="shared" si="2"/>
        <v>2050.9440000000004</v>
      </c>
    </row>
    <row r="7" spans="1:9" x14ac:dyDescent="0.25">
      <c r="A7" s="845"/>
      <c r="B7" s="298">
        <v>1.8</v>
      </c>
      <c r="C7" s="304">
        <f t="shared" ref="C7:E7" si="3">C5*$B$7</f>
        <v>1538.2080000000001</v>
      </c>
      <c r="D7" s="304">
        <f t="shared" si="3"/>
        <v>1634.346</v>
      </c>
      <c r="E7" s="304">
        <f t="shared" si="3"/>
        <v>1730.4839999999999</v>
      </c>
      <c r="F7" s="308">
        <f>F5*$B$7</f>
        <v>1922.7600000000002</v>
      </c>
      <c r="G7" s="304">
        <f t="shared" ref="G7:I7" si="4">G5*$B$7</f>
        <v>2115.0360000000001</v>
      </c>
      <c r="H7" s="304">
        <f t="shared" si="4"/>
        <v>2211.174</v>
      </c>
      <c r="I7" s="305">
        <f t="shared" si="4"/>
        <v>2307.3120000000004</v>
      </c>
    </row>
    <row r="8" spans="1:9" x14ac:dyDescent="0.25">
      <c r="A8" s="845"/>
      <c r="B8" s="298">
        <v>2</v>
      </c>
      <c r="C8" s="304">
        <f t="shared" ref="C8:E8" si="5">C5*$B$8</f>
        <v>1709.1200000000001</v>
      </c>
      <c r="D8" s="304">
        <f t="shared" si="5"/>
        <v>1815.94</v>
      </c>
      <c r="E8" s="304">
        <f t="shared" si="5"/>
        <v>1922.76</v>
      </c>
      <c r="F8" s="308">
        <f>F5*$B$8</f>
        <v>2136.4</v>
      </c>
      <c r="G8" s="304">
        <f t="shared" ref="G8:I8" si="6">G5*$B$8</f>
        <v>2350.04</v>
      </c>
      <c r="H8" s="304">
        <f t="shared" si="6"/>
        <v>2456.86</v>
      </c>
      <c r="I8" s="305">
        <f t="shared" si="6"/>
        <v>2563.6800000000003</v>
      </c>
    </row>
    <row r="9" spans="1:9" x14ac:dyDescent="0.25">
      <c r="A9" s="845"/>
      <c r="B9" s="298">
        <v>2.2000000000000002</v>
      </c>
      <c r="C9" s="304">
        <f>C5*$B$9</f>
        <v>1880.0320000000004</v>
      </c>
      <c r="D9" s="304">
        <f>D5*$B$9</f>
        <v>1997.5340000000003</v>
      </c>
      <c r="E9" s="304">
        <f>E5*$B$9</f>
        <v>2115.0360000000001</v>
      </c>
      <c r="F9" s="308">
        <f>F5*$B$9</f>
        <v>2350.0400000000004</v>
      </c>
      <c r="G9" s="304">
        <f t="shared" ref="G9:I9" si="7">G5*$B$9</f>
        <v>2585.0440000000003</v>
      </c>
      <c r="H9" s="304">
        <f t="shared" si="7"/>
        <v>2702.5460000000003</v>
      </c>
      <c r="I9" s="305">
        <f t="shared" si="7"/>
        <v>2820.0480000000007</v>
      </c>
    </row>
    <row r="10" spans="1:9" x14ac:dyDescent="0.25">
      <c r="A10" s="845"/>
      <c r="B10" s="298">
        <v>2.4</v>
      </c>
      <c r="C10" s="304">
        <f t="shared" ref="C10:E10" si="8">C5*$B$10</f>
        <v>2050.944</v>
      </c>
      <c r="D10" s="304">
        <f t="shared" si="8"/>
        <v>2179.1280000000002</v>
      </c>
      <c r="E10" s="304">
        <f t="shared" si="8"/>
        <v>2307.3119999999999</v>
      </c>
      <c r="F10" s="308">
        <f>F5*$B$10</f>
        <v>2563.6799999999998</v>
      </c>
      <c r="G10" s="304">
        <f t="shared" ref="G10:I10" si="9">G5*$B$10</f>
        <v>2820.0479999999998</v>
      </c>
      <c r="H10" s="304">
        <f t="shared" si="9"/>
        <v>2948.232</v>
      </c>
      <c r="I10" s="305">
        <f t="shared" si="9"/>
        <v>3076.4160000000002</v>
      </c>
    </row>
    <row r="11" spans="1:9" x14ac:dyDescent="0.25">
      <c r="A11" s="845"/>
      <c r="B11" s="298">
        <v>2.6</v>
      </c>
      <c r="C11" s="304">
        <f t="shared" ref="C11:E11" si="10">C5*$B$11</f>
        <v>2221.8560000000002</v>
      </c>
      <c r="D11" s="304">
        <f t="shared" si="10"/>
        <v>2360.7220000000002</v>
      </c>
      <c r="E11" s="304">
        <f t="shared" si="10"/>
        <v>2499.5880000000002</v>
      </c>
      <c r="F11" s="308">
        <f>F5*$B$11</f>
        <v>2777.32</v>
      </c>
      <c r="G11" s="304">
        <f t="shared" ref="G11:I11" si="11">G5*$B$11</f>
        <v>3055.0520000000001</v>
      </c>
      <c r="H11" s="304">
        <f t="shared" si="11"/>
        <v>3193.9180000000001</v>
      </c>
      <c r="I11" s="305">
        <f t="shared" si="11"/>
        <v>3332.7840000000006</v>
      </c>
    </row>
    <row r="12" spans="1:9" ht="13.8" thickBot="1" x14ac:dyDescent="0.3">
      <c r="A12" s="846"/>
      <c r="B12" s="299">
        <v>2.8</v>
      </c>
      <c r="C12" s="306">
        <f t="shared" ref="C12:E12" si="12">C5*$B$12</f>
        <v>2392.768</v>
      </c>
      <c r="D12" s="306">
        <f t="shared" si="12"/>
        <v>2542.3159999999998</v>
      </c>
      <c r="E12" s="306">
        <f t="shared" si="12"/>
        <v>2691.864</v>
      </c>
      <c r="F12" s="309">
        <f>F5*$B$12</f>
        <v>2990.96</v>
      </c>
      <c r="G12" s="306">
        <f t="shared" ref="G12:I12" si="13">G5*$B$12</f>
        <v>3290.0559999999996</v>
      </c>
      <c r="H12" s="306">
        <f t="shared" si="13"/>
        <v>3439.6039999999998</v>
      </c>
      <c r="I12" s="307">
        <f t="shared" si="13"/>
        <v>3589.152</v>
      </c>
    </row>
    <row r="30" hidden="1" x14ac:dyDescent="0.25"/>
    <row r="31" hidden="1" x14ac:dyDescent="0.25"/>
    <row r="32" hidden="1" x14ac:dyDescent="0.25"/>
    <row r="33" hidden="1" x14ac:dyDescent="0.25"/>
    <row r="34" hidden="1" x14ac:dyDescent="0.25"/>
  </sheetData>
  <mergeCells count="5">
    <mergeCell ref="A6:A12"/>
    <mergeCell ref="C3:I3"/>
    <mergeCell ref="A3:B5"/>
    <mergeCell ref="C2:G2"/>
    <mergeCell ref="A1:I1"/>
  </mergeCells>
  <conditionalFormatting sqref="C6:I12">
    <cfRule type="cellIs" dxfId="3" priority="1" operator="lessThan">
      <formula>2007</formula>
    </cfRule>
    <cfRule type="cellIs" dxfId="2" priority="2" operator="greaterThan">
      <formula>2007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11"/>
  <sheetViews>
    <sheetView zoomScaleNormal="100" workbookViewId="0">
      <pane xSplit="1" topLeftCell="AC1" activePane="topRight" state="frozen"/>
      <selection sqref="A1:I1"/>
      <selection pane="topRight" sqref="A1:I1"/>
    </sheetView>
  </sheetViews>
  <sheetFormatPr defaultColWidth="8.88671875" defaultRowHeight="13.2" x14ac:dyDescent="0.25"/>
  <cols>
    <col min="1" max="1" width="45.109375" style="455" customWidth="1"/>
    <col min="2" max="5" width="9.6640625" style="260" hidden="1" customWidth="1"/>
    <col min="6" max="6" width="10.6640625" style="260" hidden="1" customWidth="1"/>
    <col min="7" max="15" width="9.6640625" style="260" hidden="1" customWidth="1"/>
    <col min="16" max="20" width="9.5546875" style="260" hidden="1" customWidth="1"/>
    <col min="21" max="26" width="9.5546875" style="451" hidden="1" customWidth="1"/>
    <col min="27" max="27" width="13.77734375" style="446" customWidth="1"/>
    <col min="28" max="28" width="13.77734375" style="260" customWidth="1"/>
    <col min="29" max="29" width="13.77734375" style="447" customWidth="1"/>
    <col min="30" max="30" width="13.77734375" style="448" customWidth="1"/>
    <col min="31" max="31" width="17.44140625" style="447" customWidth="1"/>
    <col min="32" max="32" width="18.44140625" style="447" customWidth="1"/>
    <col min="33" max="33" width="9.33203125" style="260" customWidth="1"/>
    <col min="34" max="16384" width="8.88671875" style="260"/>
  </cols>
  <sheetData>
    <row r="1" spans="1:35" ht="21.6" customHeight="1" thickBot="1" x14ac:dyDescent="0.3">
      <c r="A1" s="193" t="s">
        <v>134</v>
      </c>
      <c r="B1" s="232" t="s">
        <v>4</v>
      </c>
      <c r="C1" s="145" t="s">
        <v>4</v>
      </c>
      <c r="D1" s="144" t="s">
        <v>4</v>
      </c>
      <c r="E1" s="145" t="s">
        <v>4</v>
      </c>
      <c r="F1" s="144" t="s">
        <v>4</v>
      </c>
      <c r="G1" s="145" t="s">
        <v>4</v>
      </c>
      <c r="H1" s="144" t="s">
        <v>4</v>
      </c>
      <c r="I1" s="145" t="s">
        <v>4</v>
      </c>
      <c r="J1" s="144" t="s">
        <v>4</v>
      </c>
      <c r="K1" s="145" t="s">
        <v>4</v>
      </c>
      <c r="L1" s="144" t="s">
        <v>4</v>
      </c>
      <c r="M1" s="145" t="s">
        <v>4</v>
      </c>
      <c r="N1" s="144" t="s">
        <v>4</v>
      </c>
      <c r="O1" s="145" t="s">
        <v>4</v>
      </c>
      <c r="P1" s="144" t="s">
        <v>4</v>
      </c>
      <c r="Q1" s="145" t="s">
        <v>4</v>
      </c>
      <c r="R1" s="144" t="s">
        <v>4</v>
      </c>
      <c r="S1" s="145" t="s">
        <v>4</v>
      </c>
      <c r="T1" s="144" t="s">
        <v>4</v>
      </c>
      <c r="U1" s="145" t="s">
        <v>4</v>
      </c>
      <c r="V1" s="144" t="s">
        <v>4</v>
      </c>
      <c r="W1" s="145" t="s">
        <v>4</v>
      </c>
      <c r="X1" s="144" t="s">
        <v>4</v>
      </c>
      <c r="Y1" s="145" t="s">
        <v>4</v>
      </c>
      <c r="Z1" s="144" t="s">
        <v>4</v>
      </c>
      <c r="AA1" s="146" t="s">
        <v>4</v>
      </c>
      <c r="AB1" s="171" t="s">
        <v>4</v>
      </c>
      <c r="AC1" s="278" t="s">
        <v>135</v>
      </c>
      <c r="AD1" s="413" t="s">
        <v>6</v>
      </c>
      <c r="AE1" s="388" t="s">
        <v>6</v>
      </c>
      <c r="AF1" s="388" t="s">
        <v>6</v>
      </c>
    </row>
    <row r="2" spans="1:35" ht="17.399999999999999" customHeight="1" thickBot="1" x14ac:dyDescent="0.3">
      <c r="A2" s="147">
        <f>'Voorblad-Front'!C5</f>
        <v>45322</v>
      </c>
      <c r="B2" s="233"/>
      <c r="C2" s="148"/>
      <c r="D2" s="148"/>
      <c r="E2" s="148"/>
      <c r="F2" s="148"/>
      <c r="G2" s="148"/>
      <c r="H2" s="148"/>
      <c r="I2" s="148"/>
      <c r="J2" s="148"/>
      <c r="K2" s="148"/>
      <c r="L2" s="149"/>
      <c r="M2" s="149"/>
      <c r="N2" s="148"/>
      <c r="O2" s="148"/>
      <c r="P2" s="148"/>
      <c r="Q2" s="150"/>
      <c r="R2" s="151"/>
      <c r="S2" s="152"/>
      <c r="T2" s="153"/>
      <c r="U2" s="154"/>
      <c r="V2" s="154"/>
      <c r="W2" s="155"/>
      <c r="X2" s="155"/>
      <c r="Y2" s="155"/>
      <c r="Z2" s="156"/>
      <c r="AA2" s="172"/>
      <c r="AB2" s="171"/>
      <c r="AC2" s="279" t="s">
        <v>4</v>
      </c>
      <c r="AD2" s="456" t="s">
        <v>7</v>
      </c>
      <c r="AE2" s="389" t="s">
        <v>8</v>
      </c>
      <c r="AF2" s="389" t="s">
        <v>9</v>
      </c>
    </row>
    <row r="3" spans="1:35" s="433" customFormat="1" ht="27" customHeight="1" thickBot="1" x14ac:dyDescent="0.3">
      <c r="A3" s="636" t="s">
        <v>10</v>
      </c>
      <c r="B3" s="234" t="s">
        <v>11</v>
      </c>
      <c r="C3" s="205" t="s">
        <v>12</v>
      </c>
      <c r="D3" s="157" t="s">
        <v>13</v>
      </c>
      <c r="E3" s="157" t="s">
        <v>14</v>
      </c>
      <c r="F3" s="157" t="s">
        <v>136</v>
      </c>
      <c r="G3" s="157" t="s">
        <v>16</v>
      </c>
      <c r="H3" s="157" t="s">
        <v>17</v>
      </c>
      <c r="I3" s="157" t="s">
        <v>18</v>
      </c>
      <c r="J3" s="157" t="s">
        <v>19</v>
      </c>
      <c r="K3" s="157" t="s">
        <v>20</v>
      </c>
      <c r="L3" s="157" t="s">
        <v>21</v>
      </c>
      <c r="M3" s="157" t="s">
        <v>22</v>
      </c>
      <c r="N3" s="157" t="s">
        <v>23</v>
      </c>
      <c r="O3" s="157" t="s">
        <v>24</v>
      </c>
      <c r="P3" s="157" t="s">
        <v>25</v>
      </c>
      <c r="Q3" s="157" t="s">
        <v>26</v>
      </c>
      <c r="R3" s="157" t="s">
        <v>27</v>
      </c>
      <c r="S3" s="157" t="s">
        <v>28</v>
      </c>
      <c r="T3" s="157" t="s">
        <v>137</v>
      </c>
      <c r="U3" s="157" t="s">
        <v>30</v>
      </c>
      <c r="V3" s="157" t="s">
        <v>31</v>
      </c>
      <c r="W3" s="157" t="s">
        <v>138</v>
      </c>
      <c r="X3" s="157" t="s">
        <v>32</v>
      </c>
      <c r="Y3" s="157" t="s">
        <v>139</v>
      </c>
      <c r="Z3" s="157" t="s">
        <v>33</v>
      </c>
      <c r="AA3" s="158" t="s">
        <v>34</v>
      </c>
      <c r="AB3" s="173" t="s">
        <v>140</v>
      </c>
      <c r="AC3" s="280" t="s">
        <v>36</v>
      </c>
      <c r="AD3" s="414" t="s">
        <v>37</v>
      </c>
      <c r="AE3" s="390" t="s">
        <v>37</v>
      </c>
      <c r="AF3" s="390" t="s">
        <v>37</v>
      </c>
    </row>
    <row r="4" spans="1:35" x14ac:dyDescent="0.25">
      <c r="A4" s="637" t="s">
        <v>38</v>
      </c>
      <c r="B4" s="235">
        <v>464</v>
      </c>
      <c r="C4" s="206">
        <v>511</v>
      </c>
      <c r="D4" s="159">
        <v>828</v>
      </c>
      <c r="E4" s="159">
        <v>396.35</v>
      </c>
      <c r="F4" s="159">
        <v>521.69499999999994</v>
      </c>
      <c r="G4" s="159">
        <v>667.51</v>
      </c>
      <c r="H4" s="159">
        <v>606.45000000000005</v>
      </c>
      <c r="I4" s="159">
        <v>530</v>
      </c>
      <c r="J4" s="159">
        <v>460</v>
      </c>
      <c r="K4" s="159">
        <v>472.48</v>
      </c>
      <c r="L4" s="159">
        <v>316.35000000000002</v>
      </c>
      <c r="M4" s="159">
        <v>564.29999999999995</v>
      </c>
      <c r="N4" s="159">
        <v>635.79999999999995</v>
      </c>
      <c r="O4" s="159">
        <v>397.70000000000005</v>
      </c>
      <c r="P4" s="159">
        <v>642.70000000000005</v>
      </c>
      <c r="Q4" s="159">
        <v>453.35</v>
      </c>
      <c r="R4" s="159">
        <v>504.7</v>
      </c>
      <c r="S4" s="159">
        <v>504.7</v>
      </c>
      <c r="T4" s="159">
        <v>598.95000000000005</v>
      </c>
      <c r="U4" s="159">
        <v>576</v>
      </c>
      <c r="V4" s="159">
        <v>718.5</v>
      </c>
      <c r="W4" s="159">
        <v>635.75</v>
      </c>
      <c r="X4" s="159">
        <v>601.5</v>
      </c>
      <c r="Y4" s="159">
        <v>515.35</v>
      </c>
      <c r="Z4" s="159">
        <v>500.3</v>
      </c>
      <c r="AA4" s="160">
        <v>477.8</v>
      </c>
      <c r="AB4" s="143">
        <v>670.7</v>
      </c>
      <c r="AC4" s="281">
        <v>555.70000000000005</v>
      </c>
      <c r="AD4" s="415">
        <v>640</v>
      </c>
      <c r="AE4" s="416">
        <v>640</v>
      </c>
      <c r="AF4" s="416">
        <v>640</v>
      </c>
    </row>
    <row r="5" spans="1:35" x14ac:dyDescent="0.25">
      <c r="A5" s="638" t="s">
        <v>39</v>
      </c>
      <c r="B5" s="236">
        <f>B6/B4</f>
        <v>0.96982758620689657</v>
      </c>
      <c r="C5" s="199">
        <f t="shared" ref="C5:Q5" si="0">C6/C4</f>
        <v>1.1000000000000001</v>
      </c>
      <c r="D5" s="11">
        <f t="shared" si="0"/>
        <v>1.3393719806763285</v>
      </c>
      <c r="E5" s="11">
        <f t="shared" si="0"/>
        <v>1.3387157815062445</v>
      </c>
      <c r="F5" s="11">
        <f t="shared" si="0"/>
        <v>1.2235118220416143</v>
      </c>
      <c r="G5" s="11">
        <f t="shared" si="0"/>
        <v>1.3914398286167997</v>
      </c>
      <c r="H5" s="11">
        <f t="shared" si="0"/>
        <v>1.0596092010883007</v>
      </c>
      <c r="I5" s="11">
        <f t="shared" si="0"/>
        <v>1.2226415094339622</v>
      </c>
      <c r="J5" s="11">
        <f t="shared" si="0"/>
        <v>1.3478260869565217</v>
      </c>
      <c r="K5" s="11">
        <f t="shared" si="0"/>
        <v>1.1005756857433118</v>
      </c>
      <c r="L5" s="11">
        <f t="shared" si="0"/>
        <v>0.94831673779042192</v>
      </c>
      <c r="M5" s="11">
        <f t="shared" si="0"/>
        <v>1.5452773347510191</v>
      </c>
      <c r="N5" s="11">
        <f t="shared" si="0"/>
        <v>1.2598301352626613</v>
      </c>
      <c r="O5" s="11">
        <f t="shared" si="0"/>
        <v>1.2320844857933113</v>
      </c>
      <c r="P5" s="11">
        <f t="shared" si="0"/>
        <v>1.3381048700793525</v>
      </c>
      <c r="Q5" s="11">
        <f t="shared" si="0"/>
        <v>1.1514282563141061</v>
      </c>
      <c r="R5" s="11">
        <v>1.1036259163859719</v>
      </c>
      <c r="S5" s="11">
        <f t="shared" ref="S5:AB5" si="1">S6/S4</f>
        <v>1.1036259163859719</v>
      </c>
      <c r="T5" s="11">
        <f t="shared" si="1"/>
        <v>1.3890975874446947</v>
      </c>
      <c r="U5" s="11">
        <f t="shared" si="1"/>
        <v>1.1510416666666667</v>
      </c>
      <c r="V5" s="11">
        <f t="shared" si="1"/>
        <v>1.0508002783576895</v>
      </c>
      <c r="W5" s="11">
        <f t="shared" si="1"/>
        <v>1.3756901297679907</v>
      </c>
      <c r="X5" s="11">
        <f t="shared" si="1"/>
        <v>1.4330839567747298</v>
      </c>
      <c r="Y5" s="311">
        <f>Y6/Y4</f>
        <v>1.3156107499757446</v>
      </c>
      <c r="Z5" s="11">
        <f t="shared" si="1"/>
        <v>1.5708774735158904</v>
      </c>
      <c r="AA5" s="86">
        <f t="shared" si="1"/>
        <v>1.4190037672666387</v>
      </c>
      <c r="AB5" s="174">
        <f t="shared" si="1"/>
        <v>1.2606977784404352</v>
      </c>
      <c r="AC5" s="282">
        <f>AC6/AC4</f>
        <v>1.3120568652150439</v>
      </c>
      <c r="AD5" s="417">
        <f>AVERAGE(V5,U5,AB5,AC5,Y5)</f>
        <v>1.218041467731116</v>
      </c>
      <c r="AE5" s="418">
        <f>AVERAGE(Y5:AC5)</f>
        <v>1.3756493268827505</v>
      </c>
      <c r="AF5" s="418">
        <f>AVERAGE(W5,T5,AA5,Z5,X5)</f>
        <v>1.4375505829539887</v>
      </c>
    </row>
    <row r="6" spans="1:35" ht="13.8" thickBot="1" x14ac:dyDescent="0.3">
      <c r="A6" s="638" t="s">
        <v>40</v>
      </c>
      <c r="B6" s="142">
        <v>450</v>
      </c>
      <c r="C6" s="200">
        <v>562.1</v>
      </c>
      <c r="D6" s="12">
        <v>1109</v>
      </c>
      <c r="E6" s="12">
        <v>530.6</v>
      </c>
      <c r="F6" s="12">
        <v>638.29999999999995</v>
      </c>
      <c r="G6" s="12">
        <v>928.8</v>
      </c>
      <c r="H6" s="12">
        <v>642.6</v>
      </c>
      <c r="I6" s="12">
        <v>648</v>
      </c>
      <c r="J6" s="12">
        <v>620</v>
      </c>
      <c r="K6" s="12">
        <v>520</v>
      </c>
      <c r="L6" s="12">
        <v>300</v>
      </c>
      <c r="M6" s="12">
        <v>872</v>
      </c>
      <c r="N6" s="12">
        <v>801</v>
      </c>
      <c r="O6" s="12">
        <v>490</v>
      </c>
      <c r="P6" s="12">
        <v>860</v>
      </c>
      <c r="Q6" s="12">
        <v>522</v>
      </c>
      <c r="R6" s="12">
        <v>557</v>
      </c>
      <c r="S6" s="12">
        <v>557</v>
      </c>
      <c r="T6" s="12">
        <v>832</v>
      </c>
      <c r="U6" s="12">
        <v>663</v>
      </c>
      <c r="V6" s="12">
        <v>755</v>
      </c>
      <c r="W6" s="12">
        <v>874.59500000000003</v>
      </c>
      <c r="X6" s="12">
        <v>862</v>
      </c>
      <c r="Y6" s="12">
        <v>678</v>
      </c>
      <c r="Z6" s="12">
        <v>785.91</v>
      </c>
      <c r="AA6" s="89">
        <v>678</v>
      </c>
      <c r="AB6" s="175">
        <v>845.55</v>
      </c>
      <c r="AC6" s="283">
        <v>729.11</v>
      </c>
      <c r="AD6" s="419">
        <f>AD4*AD5</f>
        <v>779.54653934791418</v>
      </c>
      <c r="AE6" s="420">
        <f t="shared" ref="AE6:AF6" si="2">AE4*AE5</f>
        <v>880.41556920496032</v>
      </c>
      <c r="AF6" s="420">
        <f t="shared" si="2"/>
        <v>920.03237309055282</v>
      </c>
    </row>
    <row r="7" spans="1:35" ht="17.399999999999999" hidden="1" customHeight="1" x14ac:dyDescent="0.25">
      <c r="A7" s="638" t="s">
        <v>41</v>
      </c>
      <c r="B7" s="142"/>
      <c r="C7" s="200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>
        <v>0</v>
      </c>
      <c r="AA7" s="12">
        <v>0</v>
      </c>
      <c r="AB7" s="176">
        <v>3.766</v>
      </c>
      <c r="AC7" s="284">
        <v>0</v>
      </c>
      <c r="AD7" s="421">
        <v>0</v>
      </c>
      <c r="AE7" s="422">
        <v>0</v>
      </c>
      <c r="AF7" s="422">
        <v>0</v>
      </c>
    </row>
    <row r="8" spans="1:35" ht="14.4" hidden="1" customHeight="1" thickTop="1" thickBot="1" x14ac:dyDescent="0.3">
      <c r="A8" s="638" t="s">
        <v>42</v>
      </c>
      <c r="B8" s="142"/>
      <c r="C8" s="200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77"/>
      <c r="AC8" s="285"/>
      <c r="AD8" s="423"/>
      <c r="AE8" s="424"/>
      <c r="AF8" s="424"/>
    </row>
    <row r="9" spans="1:35" hidden="1" x14ac:dyDescent="0.25">
      <c r="A9" s="638" t="s">
        <v>43</v>
      </c>
      <c r="B9" s="142"/>
      <c r="C9" s="200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77"/>
      <c r="AC9" s="285"/>
      <c r="AD9" s="423"/>
      <c r="AE9" s="424"/>
      <c r="AF9" s="424"/>
      <c r="AI9" s="434"/>
    </row>
    <row r="10" spans="1:35" ht="17.399999999999999" customHeight="1" thickBot="1" x14ac:dyDescent="0.3">
      <c r="A10" s="658" t="s">
        <v>44</v>
      </c>
      <c r="B10" s="142">
        <f>B6-B7-B8+B9</f>
        <v>450</v>
      </c>
      <c r="C10" s="200">
        <f t="shared" ref="C10:S10" si="3">C6-C7-C8+C9</f>
        <v>562.1</v>
      </c>
      <c r="D10" s="12">
        <f t="shared" si="3"/>
        <v>1109</v>
      </c>
      <c r="E10" s="12">
        <f t="shared" si="3"/>
        <v>530.6</v>
      </c>
      <c r="F10" s="12">
        <f t="shared" si="3"/>
        <v>638.29999999999995</v>
      </c>
      <c r="G10" s="12">
        <f t="shared" si="3"/>
        <v>928.8</v>
      </c>
      <c r="H10" s="12">
        <f t="shared" si="3"/>
        <v>642.6</v>
      </c>
      <c r="I10" s="12">
        <f t="shared" si="3"/>
        <v>648</v>
      </c>
      <c r="J10" s="12">
        <f t="shared" si="3"/>
        <v>620</v>
      </c>
      <c r="K10" s="12">
        <f t="shared" si="3"/>
        <v>520</v>
      </c>
      <c r="L10" s="12">
        <f t="shared" si="3"/>
        <v>300</v>
      </c>
      <c r="M10" s="12">
        <f t="shared" si="3"/>
        <v>872</v>
      </c>
      <c r="N10" s="12">
        <f t="shared" si="3"/>
        <v>801</v>
      </c>
      <c r="O10" s="12">
        <f t="shared" si="3"/>
        <v>490</v>
      </c>
      <c r="P10" s="12">
        <f t="shared" si="3"/>
        <v>860</v>
      </c>
      <c r="Q10" s="12">
        <f t="shared" si="3"/>
        <v>522</v>
      </c>
      <c r="R10" s="12">
        <f t="shared" si="3"/>
        <v>557</v>
      </c>
      <c r="S10" s="12">
        <f t="shared" si="3"/>
        <v>557</v>
      </c>
      <c r="T10" s="12">
        <f>T6-T7-T8+T9</f>
        <v>832</v>
      </c>
      <c r="U10" s="12">
        <f>U6-U7-U8+U9</f>
        <v>663</v>
      </c>
      <c r="V10" s="12">
        <v>759.61400000000003</v>
      </c>
      <c r="W10" s="12">
        <f t="shared" ref="W10:AB10" si="4">W6-W7-W8+W9</f>
        <v>874.59500000000003</v>
      </c>
      <c r="X10" s="12">
        <f t="shared" si="4"/>
        <v>862</v>
      </c>
      <c r="Y10" s="12">
        <f t="shared" si="4"/>
        <v>678</v>
      </c>
      <c r="Z10" s="12">
        <f t="shared" si="4"/>
        <v>785.91</v>
      </c>
      <c r="AA10" s="12">
        <f t="shared" si="4"/>
        <v>678</v>
      </c>
      <c r="AB10" s="178">
        <f t="shared" si="4"/>
        <v>841.78399999999999</v>
      </c>
      <c r="AC10" s="286">
        <f>AC6-AC7-AC8+AC9</f>
        <v>729.11</v>
      </c>
      <c r="AD10" s="425">
        <f>AD6-AD7-AD8+AD9</f>
        <v>779.54653934791418</v>
      </c>
      <c r="AE10" s="426">
        <f t="shared" ref="AE10:AF10" si="5">AE6-AE7-AE8+AE9</f>
        <v>880.41556920496032</v>
      </c>
      <c r="AF10" s="426">
        <f t="shared" si="5"/>
        <v>920.03237309055282</v>
      </c>
      <c r="AI10" s="434"/>
    </row>
    <row r="11" spans="1:35" ht="13.95" customHeight="1" thickTop="1" thickBot="1" x14ac:dyDescent="0.3">
      <c r="A11" s="639"/>
      <c r="B11" s="237" t="s">
        <v>4</v>
      </c>
      <c r="C11" s="201" t="s">
        <v>4</v>
      </c>
      <c r="D11" s="10" t="s">
        <v>4</v>
      </c>
      <c r="E11" s="10" t="s">
        <v>4</v>
      </c>
      <c r="F11" s="10" t="s">
        <v>4</v>
      </c>
      <c r="G11" s="10" t="s">
        <v>4</v>
      </c>
      <c r="H11" s="10" t="s">
        <v>4</v>
      </c>
      <c r="I11" s="10" t="s">
        <v>4</v>
      </c>
      <c r="J11" s="10" t="s">
        <v>4</v>
      </c>
      <c r="K11" s="10" t="s">
        <v>4</v>
      </c>
      <c r="L11" s="10" t="s">
        <v>4</v>
      </c>
      <c r="M11" s="10" t="s">
        <v>4</v>
      </c>
      <c r="N11" s="10" t="s">
        <v>4</v>
      </c>
      <c r="O11" s="10" t="s">
        <v>4</v>
      </c>
      <c r="P11" s="10" t="s">
        <v>4</v>
      </c>
      <c r="Q11" s="10" t="s">
        <v>4</v>
      </c>
      <c r="R11" s="10" t="s">
        <v>4</v>
      </c>
      <c r="S11" s="10" t="s">
        <v>4</v>
      </c>
      <c r="T11" s="10" t="s">
        <v>4</v>
      </c>
      <c r="U11" s="10" t="s">
        <v>4</v>
      </c>
      <c r="V11" s="10" t="s">
        <v>4</v>
      </c>
      <c r="W11" s="10" t="s">
        <v>45</v>
      </c>
      <c r="X11" s="10" t="s">
        <v>45</v>
      </c>
      <c r="Y11" s="10" t="s">
        <v>45</v>
      </c>
      <c r="Z11" s="10" t="s">
        <v>4</v>
      </c>
      <c r="AA11" s="10" t="s">
        <v>4</v>
      </c>
      <c r="AB11" s="179" t="s">
        <v>45</v>
      </c>
      <c r="AC11" s="287" t="s">
        <v>45</v>
      </c>
      <c r="AD11" s="427" t="s">
        <v>45</v>
      </c>
      <c r="AE11" s="428" t="s">
        <v>45</v>
      </c>
      <c r="AF11" s="428" t="s">
        <v>45</v>
      </c>
      <c r="AI11" s="434"/>
    </row>
    <row r="12" spans="1:35" ht="15" customHeight="1" thickBot="1" x14ac:dyDescent="0.3">
      <c r="A12" s="640"/>
      <c r="B12" s="238" t="s">
        <v>47</v>
      </c>
      <c r="C12" s="207" t="s">
        <v>47</v>
      </c>
      <c r="D12" s="161" t="s">
        <v>47</v>
      </c>
      <c r="E12" s="161" t="s">
        <v>47</v>
      </c>
      <c r="F12" s="161" t="s">
        <v>47</v>
      </c>
      <c r="G12" s="161" t="s">
        <v>47</v>
      </c>
      <c r="H12" s="161" t="s">
        <v>47</v>
      </c>
      <c r="I12" s="161" t="s">
        <v>47</v>
      </c>
      <c r="J12" s="161" t="s">
        <v>47</v>
      </c>
      <c r="K12" s="161" t="s">
        <v>47</v>
      </c>
      <c r="L12" s="161" t="s">
        <v>47</v>
      </c>
      <c r="M12" s="161" t="s">
        <v>47</v>
      </c>
      <c r="N12" s="161" t="s">
        <v>47</v>
      </c>
      <c r="O12" s="161" t="s">
        <v>47</v>
      </c>
      <c r="P12" s="161" t="s">
        <v>47</v>
      </c>
      <c r="Q12" s="161" t="s">
        <v>47</v>
      </c>
      <c r="R12" s="161" t="s">
        <v>47</v>
      </c>
      <c r="S12" s="161" t="s">
        <v>47</v>
      </c>
      <c r="T12" s="161" t="s">
        <v>47</v>
      </c>
      <c r="U12" s="161" t="s">
        <v>47</v>
      </c>
      <c r="V12" s="161" t="s">
        <v>47</v>
      </c>
      <c r="W12" s="161" t="s">
        <v>47</v>
      </c>
      <c r="X12" s="161" t="s">
        <v>47</v>
      </c>
      <c r="Y12" s="161" t="s">
        <v>47</v>
      </c>
      <c r="Z12" s="161" t="s">
        <v>47</v>
      </c>
      <c r="AA12" s="161" t="s">
        <v>47</v>
      </c>
      <c r="AB12" s="180" t="s">
        <v>47</v>
      </c>
      <c r="AC12" s="288" t="s">
        <v>47</v>
      </c>
      <c r="AD12" s="429" t="s">
        <v>47</v>
      </c>
      <c r="AE12" s="430" t="s">
        <v>47</v>
      </c>
      <c r="AF12" s="430" t="s">
        <v>47</v>
      </c>
      <c r="AI12" s="434"/>
    </row>
    <row r="13" spans="1:35" ht="13.8" thickBot="1" x14ac:dyDescent="0.3">
      <c r="A13" s="162" t="s">
        <v>48</v>
      </c>
      <c r="B13" s="239"/>
      <c r="C13" s="208"/>
      <c r="D13" s="163"/>
      <c r="E13" s="163"/>
      <c r="F13" s="163"/>
      <c r="G13" s="163"/>
      <c r="H13" s="163" t="s">
        <v>49</v>
      </c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81"/>
      <c r="AC13" s="289"/>
      <c r="AD13" s="431"/>
      <c r="AE13" s="432"/>
      <c r="AF13" s="432"/>
      <c r="AI13" s="434"/>
    </row>
    <row r="14" spans="1:35" x14ac:dyDescent="0.25">
      <c r="A14" s="641" t="s">
        <v>141</v>
      </c>
      <c r="B14" s="165">
        <v>145</v>
      </c>
      <c r="C14" s="209">
        <f>B36</f>
        <v>-9</v>
      </c>
      <c r="D14" s="164">
        <f t="shared" ref="D14:P14" si="6">C36</f>
        <v>-72</v>
      </c>
      <c r="E14" s="164">
        <f t="shared" si="6"/>
        <v>222</v>
      </c>
      <c r="F14" s="164">
        <f t="shared" si="6"/>
        <v>-63.200000000000045</v>
      </c>
      <c r="G14" s="164">
        <f t="shared" si="6"/>
        <v>-69.500000000000114</v>
      </c>
      <c r="H14" s="164">
        <f t="shared" si="6"/>
        <v>66.899999999999864</v>
      </c>
      <c r="I14" s="164">
        <f t="shared" si="6"/>
        <v>-90.700000000000159</v>
      </c>
      <c r="J14" s="164">
        <f t="shared" si="6"/>
        <v>-95.700000000000273</v>
      </c>
      <c r="K14" s="164">
        <f t="shared" si="6"/>
        <v>-116.20000000000039</v>
      </c>
      <c r="L14" s="164">
        <f t="shared" si="6"/>
        <v>-55.000000000000398</v>
      </c>
      <c r="M14" s="164">
        <f t="shared" si="6"/>
        <v>-120.90000000000038</v>
      </c>
      <c r="N14" s="164">
        <f t="shared" si="6"/>
        <v>20.199999999999704</v>
      </c>
      <c r="O14" s="164">
        <f>N36</f>
        <v>50.299999999999613</v>
      </c>
      <c r="P14" s="164">
        <f t="shared" si="6"/>
        <v>-168.40000000000032</v>
      </c>
      <c r="Q14" s="164">
        <v>232.7</v>
      </c>
      <c r="R14" s="164">
        <v>114.434</v>
      </c>
      <c r="S14" s="164">
        <v>81.302000000000007</v>
      </c>
      <c r="T14" s="164">
        <v>47.116</v>
      </c>
      <c r="U14" s="164">
        <f>T36</f>
        <v>92.926999999999907</v>
      </c>
      <c r="V14" s="164">
        <f>U36</f>
        <v>45.866999999999848</v>
      </c>
      <c r="W14" s="164">
        <v>163.06800000000001</v>
      </c>
      <c r="X14" s="164">
        <v>154.84100000000001</v>
      </c>
      <c r="Y14" s="164">
        <v>120.16500000000001</v>
      </c>
      <c r="Z14" s="164">
        <v>135.32499999999999</v>
      </c>
      <c r="AA14" s="164">
        <v>60.963999999999999</v>
      </c>
      <c r="AB14" s="182">
        <f>AA36</f>
        <v>31.790000000000077</v>
      </c>
      <c r="AC14" s="624">
        <f>AB36</f>
        <v>73.298000000000116</v>
      </c>
      <c r="AD14" s="611">
        <f>AC36</f>
        <v>130.17700000000002</v>
      </c>
      <c r="AE14" s="611">
        <f>AD14</f>
        <v>130.17700000000002</v>
      </c>
      <c r="AF14" s="611">
        <f>AE14</f>
        <v>130.17700000000002</v>
      </c>
      <c r="AI14" s="434"/>
    </row>
    <row r="15" spans="1:35" s="435" customFormat="1" ht="13.8" thickBot="1" x14ac:dyDescent="0.3">
      <c r="A15" s="641" t="s">
        <v>51</v>
      </c>
      <c r="B15" s="165">
        <f>B10</f>
        <v>450</v>
      </c>
      <c r="C15" s="209">
        <v>561</v>
      </c>
      <c r="D15" s="164">
        <v>1125</v>
      </c>
      <c r="E15" s="164">
        <v>544.79999999999995</v>
      </c>
      <c r="F15" s="164">
        <v>664.4</v>
      </c>
      <c r="G15" s="164">
        <v>914.2</v>
      </c>
      <c r="H15" s="164">
        <v>656</v>
      </c>
      <c r="I15" s="164">
        <v>651.4</v>
      </c>
      <c r="J15" s="164">
        <v>614.29999999999995</v>
      </c>
      <c r="K15" s="164">
        <v>516.1</v>
      </c>
      <c r="L15" s="164">
        <v>296.60000000000002</v>
      </c>
      <c r="M15" s="164">
        <v>868.8</v>
      </c>
      <c r="N15" s="164">
        <v>795.1</v>
      </c>
      <c r="O15" s="164">
        <v>490.3</v>
      </c>
      <c r="P15" s="164">
        <v>863.3</v>
      </c>
      <c r="Q15" s="164">
        <v>521.1</v>
      </c>
      <c r="R15" s="164">
        <v>559.03800000000001</v>
      </c>
      <c r="S15" s="164">
        <v>542.16499999999996</v>
      </c>
      <c r="T15" s="164">
        <v>833.16499999999996</v>
      </c>
      <c r="U15" s="164">
        <v>663.66899999999998</v>
      </c>
      <c r="V15" s="164">
        <f>V10</f>
        <v>759.61400000000003</v>
      </c>
      <c r="W15" s="164">
        <v>872.17100000000005</v>
      </c>
      <c r="X15" s="164">
        <v>863.18399999999997</v>
      </c>
      <c r="Y15" s="164">
        <v>677.67399999999998</v>
      </c>
      <c r="Z15" s="164">
        <f>Z10</f>
        <v>785.91</v>
      </c>
      <c r="AA15" s="164">
        <v>689.08299999999997</v>
      </c>
      <c r="AB15" s="183">
        <f>AB10</f>
        <v>841.78399999999999</v>
      </c>
      <c r="AC15" s="630">
        <f>AC10</f>
        <v>729.11</v>
      </c>
      <c r="AD15" s="617">
        <f t="shared" ref="AD15:AF15" si="7">AD10</f>
        <v>779.54653934791418</v>
      </c>
      <c r="AE15" s="617">
        <f t="shared" si="7"/>
        <v>880.41556920496032</v>
      </c>
      <c r="AF15" s="617">
        <f t="shared" si="7"/>
        <v>920.03237309055282</v>
      </c>
      <c r="AI15" s="434"/>
    </row>
    <row r="16" spans="1:35" s="435" customFormat="1" hidden="1" x14ac:dyDescent="0.25">
      <c r="A16" s="642" t="s">
        <v>142</v>
      </c>
      <c r="B16" s="165">
        <v>26</v>
      </c>
      <c r="C16" s="210">
        <v>5</v>
      </c>
      <c r="D16" s="165">
        <v>0</v>
      </c>
      <c r="E16" s="165">
        <v>0.4</v>
      </c>
      <c r="F16" s="165">
        <v>7.5</v>
      </c>
      <c r="G16" s="165">
        <v>1.8</v>
      </c>
      <c r="H16" s="165">
        <v>1.5</v>
      </c>
      <c r="I16" s="165">
        <v>17.5</v>
      </c>
      <c r="J16" s="165">
        <v>6</v>
      </c>
      <c r="K16" s="165">
        <v>2.8</v>
      </c>
      <c r="L16" s="165">
        <v>9.1999999999999993</v>
      </c>
      <c r="M16" s="165">
        <v>1.5</v>
      </c>
      <c r="N16" s="165">
        <v>69.400000000000006</v>
      </c>
      <c r="O16" s="165">
        <v>62.2</v>
      </c>
      <c r="P16" s="165">
        <v>10.9</v>
      </c>
      <c r="Q16" s="165">
        <v>11.8</v>
      </c>
      <c r="R16" s="165">
        <v>33.097999999999999</v>
      </c>
      <c r="S16" s="165">
        <v>94.474999999999994</v>
      </c>
      <c r="T16" s="165">
        <v>63.18</v>
      </c>
      <c r="U16" s="165">
        <v>36.064</v>
      </c>
      <c r="V16" s="165">
        <v>70.643000000000001</v>
      </c>
      <c r="W16" s="165">
        <v>0.55400000000000005</v>
      </c>
      <c r="X16" s="165">
        <v>1.3240000000000001</v>
      </c>
      <c r="Y16" s="165">
        <v>0.45700000000000002</v>
      </c>
      <c r="Z16" s="165">
        <v>12226</v>
      </c>
      <c r="AA16" s="165">
        <v>1.256</v>
      </c>
      <c r="AB16" s="184">
        <v>6.8049999999999997</v>
      </c>
      <c r="AC16" s="630">
        <v>5.4119999999999999</v>
      </c>
      <c r="AD16" s="617">
        <v>0</v>
      </c>
      <c r="AE16" s="617">
        <v>0</v>
      </c>
      <c r="AF16" s="617">
        <v>0</v>
      </c>
      <c r="AI16" s="434"/>
    </row>
    <row r="17" spans="1:38" s="435" customFormat="1" ht="13.8" hidden="1" thickBot="1" x14ac:dyDescent="0.3">
      <c r="A17" s="643" t="s">
        <v>53</v>
      </c>
      <c r="B17" s="166"/>
      <c r="C17" s="211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>
        <v>12.179</v>
      </c>
      <c r="X17" s="166">
        <v>6.8630000000000004</v>
      </c>
      <c r="Y17" s="166">
        <v>17341</v>
      </c>
      <c r="Z17" s="166">
        <v>7.2</v>
      </c>
      <c r="AA17" s="166">
        <v>9.3059999999999992</v>
      </c>
      <c r="AB17" s="184">
        <v>11.241</v>
      </c>
      <c r="AC17" s="659">
        <v>8.3000000000000007</v>
      </c>
      <c r="AD17" s="662"/>
      <c r="AE17" s="662"/>
      <c r="AF17" s="662"/>
      <c r="AI17" s="434"/>
    </row>
    <row r="18" spans="1:38" s="1" customFormat="1" ht="14.4" thickTop="1" thickBot="1" x14ac:dyDescent="0.3">
      <c r="A18" s="644" t="s">
        <v>54</v>
      </c>
      <c r="B18" s="240">
        <f t="shared" ref="B18:U18" si="8">+B14+B15+B16</f>
        <v>621</v>
      </c>
      <c r="C18" s="203">
        <f t="shared" si="8"/>
        <v>557</v>
      </c>
      <c r="D18" s="13">
        <f t="shared" si="8"/>
        <v>1053</v>
      </c>
      <c r="E18" s="13">
        <f t="shared" si="8"/>
        <v>767.19999999999993</v>
      </c>
      <c r="F18" s="13">
        <f t="shared" si="8"/>
        <v>608.69999999999993</v>
      </c>
      <c r="G18" s="13">
        <f t="shared" si="8"/>
        <v>846.49999999999989</v>
      </c>
      <c r="H18" s="13">
        <f t="shared" si="8"/>
        <v>724.39999999999986</v>
      </c>
      <c r="I18" s="13">
        <f t="shared" si="8"/>
        <v>578.19999999999982</v>
      </c>
      <c r="J18" s="13">
        <f t="shared" si="8"/>
        <v>524.59999999999968</v>
      </c>
      <c r="K18" s="13">
        <f t="shared" si="8"/>
        <v>402.69999999999965</v>
      </c>
      <c r="L18" s="13">
        <f t="shared" si="8"/>
        <v>250.79999999999961</v>
      </c>
      <c r="M18" s="13">
        <f t="shared" si="8"/>
        <v>749.39999999999964</v>
      </c>
      <c r="N18" s="13">
        <f t="shared" si="8"/>
        <v>884.6999999999997</v>
      </c>
      <c r="O18" s="13">
        <f t="shared" si="8"/>
        <v>602.79999999999973</v>
      </c>
      <c r="P18" s="13">
        <f>+P14+P15+P16</f>
        <v>705.79999999999961</v>
      </c>
      <c r="Q18" s="13">
        <f t="shared" si="8"/>
        <v>765.59999999999991</v>
      </c>
      <c r="R18" s="13">
        <f t="shared" si="8"/>
        <v>706.56999999999994</v>
      </c>
      <c r="S18" s="13">
        <f t="shared" si="8"/>
        <v>717.94200000000001</v>
      </c>
      <c r="T18" s="13">
        <f t="shared" si="8"/>
        <v>943.4609999999999</v>
      </c>
      <c r="U18" s="13">
        <f t="shared" si="8"/>
        <v>792.65999999999985</v>
      </c>
      <c r="V18" s="13">
        <v>880.39200000000005</v>
      </c>
      <c r="W18" s="13">
        <f>+W14+W15+W16+W17</f>
        <v>1047.9720000000002</v>
      </c>
      <c r="X18" s="13">
        <f>+X14+X15+X16+X17</f>
        <v>1026.212</v>
      </c>
      <c r="Y18" s="13">
        <v>197938</v>
      </c>
      <c r="Z18" s="13">
        <f>+Z14+Z15+Z16+Z17</f>
        <v>13154.435000000001</v>
      </c>
      <c r="AA18" s="13">
        <f>AA14+AA15+AA16+AA17</f>
        <v>760.60900000000004</v>
      </c>
      <c r="AB18" s="185">
        <f>+AB14+AB15+AB16+AB17</f>
        <v>891.62</v>
      </c>
      <c r="AC18" s="660">
        <f>+AC14+AC15+AC16+AC17</f>
        <v>816.12000000000012</v>
      </c>
      <c r="AD18" s="663">
        <f t="shared" ref="AD18:AF18" si="9">+AD14+AD15+AD16+AD17</f>
        <v>909.7235393479142</v>
      </c>
      <c r="AE18" s="663">
        <f t="shared" si="9"/>
        <v>1010.5925692049603</v>
      </c>
      <c r="AF18" s="663">
        <f t="shared" si="9"/>
        <v>1050.2093730905528</v>
      </c>
      <c r="AI18" s="434"/>
    </row>
    <row r="19" spans="1:38" s="1" customFormat="1" hidden="1" x14ac:dyDescent="0.25">
      <c r="A19" s="645"/>
      <c r="B19" s="241"/>
      <c r="C19" s="20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86">
        <v>7.57</v>
      </c>
      <c r="AC19" s="624"/>
      <c r="AD19" s="611"/>
      <c r="AE19" s="611"/>
      <c r="AF19" s="611"/>
      <c r="AI19" s="434"/>
    </row>
    <row r="20" spans="1:38" x14ac:dyDescent="0.25">
      <c r="A20" s="646" t="s">
        <v>55</v>
      </c>
      <c r="B20" s="165"/>
      <c r="C20" s="209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84"/>
      <c r="AC20" s="659"/>
      <c r="AD20" s="662"/>
      <c r="AE20" s="662"/>
      <c r="AF20" s="662"/>
    </row>
    <row r="21" spans="1:38" hidden="1" x14ac:dyDescent="0.25">
      <c r="A21" s="641" t="s">
        <v>56</v>
      </c>
      <c r="B21" s="242"/>
      <c r="C21" s="212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83"/>
      <c r="AC21" s="630"/>
      <c r="AD21" s="617"/>
      <c r="AE21" s="617"/>
      <c r="AF21" s="617"/>
    </row>
    <row r="22" spans="1:38" x14ac:dyDescent="0.25">
      <c r="A22" s="641" t="s">
        <v>143</v>
      </c>
      <c r="B22" s="165">
        <v>0</v>
      </c>
      <c r="C22" s="209">
        <v>0</v>
      </c>
      <c r="D22" s="164">
        <v>0</v>
      </c>
      <c r="E22" s="164">
        <v>0</v>
      </c>
      <c r="F22" s="164">
        <v>0.6</v>
      </c>
      <c r="G22" s="164">
        <v>0.2</v>
      </c>
      <c r="H22" s="164">
        <v>0.9</v>
      </c>
      <c r="I22" s="164">
        <v>1.1000000000000001</v>
      </c>
      <c r="J22" s="164">
        <v>1.1000000000000001</v>
      </c>
      <c r="K22" s="164">
        <v>1.2</v>
      </c>
      <c r="L22" s="164">
        <v>2.1</v>
      </c>
      <c r="M22" s="164">
        <v>2.5</v>
      </c>
      <c r="N22" s="164">
        <v>2.1</v>
      </c>
      <c r="O22" s="164">
        <v>1.3</v>
      </c>
      <c r="P22" s="164">
        <v>1.4</v>
      </c>
      <c r="Q22" s="164">
        <v>1</v>
      </c>
      <c r="R22" s="164">
        <v>1.139</v>
      </c>
      <c r="S22" s="164">
        <v>1.1619999999999999</v>
      </c>
      <c r="T22" s="164">
        <v>0.46700000000000003</v>
      </c>
      <c r="U22" s="164">
        <v>1.0029999999999999</v>
      </c>
      <c r="V22" s="164">
        <v>1.1919999999999999</v>
      </c>
      <c r="W22" s="164">
        <v>1.4870000000000001</v>
      </c>
      <c r="X22" s="164">
        <v>1.609</v>
      </c>
      <c r="Y22" s="164">
        <v>1.478</v>
      </c>
      <c r="Z22" s="164">
        <v>3.1</v>
      </c>
      <c r="AA22" s="164">
        <v>1.556</v>
      </c>
      <c r="AB22" s="183">
        <v>1.6559999999999999</v>
      </c>
      <c r="AC22" s="630">
        <v>2</v>
      </c>
      <c r="AD22" s="617">
        <f>AVERAGE(Y22:AC22)</f>
        <v>1.9579999999999997</v>
      </c>
      <c r="AE22" s="617">
        <f>AD22</f>
        <v>1.9579999999999997</v>
      </c>
      <c r="AF22" s="617">
        <f>AE22</f>
        <v>1.9579999999999997</v>
      </c>
    </row>
    <row r="23" spans="1:38" x14ac:dyDescent="0.25">
      <c r="A23" s="641" t="s">
        <v>144</v>
      </c>
      <c r="B23" s="436"/>
      <c r="C23" s="209">
        <v>0</v>
      </c>
      <c r="D23" s="164">
        <v>0</v>
      </c>
      <c r="E23" s="164">
        <v>1.9</v>
      </c>
      <c r="F23" s="164">
        <v>2.1</v>
      </c>
      <c r="G23" s="164">
        <v>2.2999999999999998</v>
      </c>
      <c r="H23" s="164">
        <v>1.7</v>
      </c>
      <c r="I23" s="164">
        <v>3.1</v>
      </c>
      <c r="J23" s="164">
        <v>2.6</v>
      </c>
      <c r="K23" s="164">
        <v>2.9</v>
      </c>
      <c r="L23" s="164">
        <v>3.6</v>
      </c>
      <c r="M23" s="164">
        <v>3.4</v>
      </c>
      <c r="N23" s="164">
        <v>3.1</v>
      </c>
      <c r="O23" s="164">
        <v>3.3</v>
      </c>
      <c r="P23" s="164">
        <v>2.9</v>
      </c>
      <c r="Q23" s="164">
        <v>3</v>
      </c>
      <c r="R23" s="164">
        <v>2.8780000000000001</v>
      </c>
      <c r="S23" s="164">
        <v>2.7770000000000001</v>
      </c>
      <c r="T23" s="164">
        <v>2.8929999999999998</v>
      </c>
      <c r="U23" s="164">
        <v>8.9949999999999992</v>
      </c>
      <c r="V23" s="164">
        <v>10.664999999999999</v>
      </c>
      <c r="W23" s="164">
        <v>5.7350000000000003</v>
      </c>
      <c r="X23" s="164">
        <v>5.1139999999999999</v>
      </c>
      <c r="Y23" s="164">
        <v>5.48</v>
      </c>
      <c r="Z23" s="164">
        <v>5.4320000000000004</v>
      </c>
      <c r="AA23" s="164">
        <v>6.1289999999999996</v>
      </c>
      <c r="AB23" s="183">
        <v>6.0620000000000003</v>
      </c>
      <c r="AC23" s="630">
        <v>5.2</v>
      </c>
      <c r="AD23" s="617">
        <f>AVERAGE(Y23:AC23)</f>
        <v>5.6606000000000005</v>
      </c>
      <c r="AE23" s="617">
        <f>AD23</f>
        <v>5.6606000000000005</v>
      </c>
      <c r="AF23" s="617">
        <f>AE23</f>
        <v>5.6606000000000005</v>
      </c>
    </row>
    <row r="24" spans="1:38" x14ac:dyDescent="0.25">
      <c r="A24" s="641" t="s">
        <v>145</v>
      </c>
      <c r="B24" s="165">
        <v>630</v>
      </c>
      <c r="C24" s="209">
        <v>609</v>
      </c>
      <c r="D24" s="164">
        <v>760</v>
      </c>
      <c r="E24" s="164">
        <v>814.1</v>
      </c>
      <c r="F24" s="164">
        <v>644.9</v>
      </c>
      <c r="G24" s="164">
        <v>697.9</v>
      </c>
      <c r="H24" s="164">
        <v>798.8</v>
      </c>
      <c r="I24" s="164">
        <v>656.7</v>
      </c>
      <c r="J24" s="164">
        <v>627.79999999999995</v>
      </c>
      <c r="K24" s="164">
        <v>449.4</v>
      </c>
      <c r="L24" s="164">
        <v>358.4</v>
      </c>
      <c r="M24" s="164">
        <v>637</v>
      </c>
      <c r="N24" s="164">
        <v>816.1</v>
      </c>
      <c r="O24" s="164">
        <v>762.5</v>
      </c>
      <c r="P24" s="164">
        <v>676.3</v>
      </c>
      <c r="Q24" s="164">
        <v>648.29999999999995</v>
      </c>
      <c r="R24" s="164">
        <v>619.78700000000003</v>
      </c>
      <c r="S24" s="164">
        <v>662.61199999999997</v>
      </c>
      <c r="T24" s="164">
        <v>844.322</v>
      </c>
      <c r="U24" s="164">
        <v>737.81</v>
      </c>
      <c r="V24" s="164">
        <v>695.47</v>
      </c>
      <c r="W24" s="164">
        <v>877.81500000000005</v>
      </c>
      <c r="X24" s="164">
        <v>893.322</v>
      </c>
      <c r="Y24" s="164">
        <v>657.03800000000001</v>
      </c>
      <c r="Z24" s="164">
        <v>854.21100000000001</v>
      </c>
      <c r="AA24" s="164">
        <v>717.26400000000001</v>
      </c>
      <c r="AB24" s="187">
        <v>807.54399999999998</v>
      </c>
      <c r="AC24" s="630">
        <v>675</v>
      </c>
      <c r="AD24" s="617">
        <v>749</v>
      </c>
      <c r="AE24" s="617">
        <v>839</v>
      </c>
      <c r="AF24" s="617">
        <v>874</v>
      </c>
      <c r="AG24" s="437"/>
      <c r="AH24" s="437"/>
      <c r="AI24" s="437"/>
      <c r="AJ24" s="437"/>
      <c r="AK24" s="437"/>
      <c r="AL24" s="437"/>
    </row>
    <row r="25" spans="1:38" x14ac:dyDescent="0.25">
      <c r="A25" s="646" t="s">
        <v>60</v>
      </c>
      <c r="B25" s="243">
        <f>SUM(B22:B24)</f>
        <v>630</v>
      </c>
      <c r="C25" s="213">
        <f t="shared" ref="C25:Q25" si="10">SUM(C22:C24)</f>
        <v>609</v>
      </c>
      <c r="D25" s="194">
        <f t="shared" si="10"/>
        <v>760</v>
      </c>
      <c r="E25" s="194">
        <f t="shared" si="10"/>
        <v>816</v>
      </c>
      <c r="F25" s="194">
        <f t="shared" si="10"/>
        <v>647.6</v>
      </c>
      <c r="G25" s="194">
        <f t="shared" si="10"/>
        <v>700.4</v>
      </c>
      <c r="H25" s="194">
        <f t="shared" si="10"/>
        <v>801.4</v>
      </c>
      <c r="I25" s="194">
        <f t="shared" si="10"/>
        <v>660.90000000000009</v>
      </c>
      <c r="J25" s="194">
        <f t="shared" si="10"/>
        <v>631.5</v>
      </c>
      <c r="K25" s="194">
        <f t="shared" si="10"/>
        <v>453.5</v>
      </c>
      <c r="L25" s="194">
        <f t="shared" si="10"/>
        <v>364.09999999999997</v>
      </c>
      <c r="M25" s="194">
        <f t="shared" si="10"/>
        <v>642.9</v>
      </c>
      <c r="N25" s="194">
        <f t="shared" si="10"/>
        <v>821.30000000000007</v>
      </c>
      <c r="O25" s="194">
        <f t="shared" si="10"/>
        <v>767.1</v>
      </c>
      <c r="P25" s="194">
        <f t="shared" si="10"/>
        <v>680.59999999999991</v>
      </c>
      <c r="Q25" s="194">
        <f t="shared" si="10"/>
        <v>652.29999999999995</v>
      </c>
      <c r="R25" s="194">
        <f t="shared" ref="R25:AB25" si="11">SUM(R22:R24)</f>
        <v>623.80400000000009</v>
      </c>
      <c r="S25" s="194">
        <f t="shared" si="11"/>
        <v>666.55099999999993</v>
      </c>
      <c r="T25" s="194">
        <f t="shared" si="11"/>
        <v>847.68200000000002</v>
      </c>
      <c r="U25" s="194">
        <f t="shared" si="11"/>
        <v>747.80799999999999</v>
      </c>
      <c r="V25" s="194">
        <f t="shared" si="11"/>
        <v>707.327</v>
      </c>
      <c r="W25" s="194">
        <f t="shared" si="11"/>
        <v>885.03700000000003</v>
      </c>
      <c r="X25" s="194">
        <f t="shared" si="11"/>
        <v>900.04499999999996</v>
      </c>
      <c r="Y25" s="194">
        <f t="shared" si="11"/>
        <v>663.99599999999998</v>
      </c>
      <c r="Z25" s="194">
        <f t="shared" si="11"/>
        <v>862.74300000000005</v>
      </c>
      <c r="AA25" s="194">
        <f t="shared" si="11"/>
        <v>724.94899999999996</v>
      </c>
      <c r="AB25" s="195">
        <f t="shared" si="11"/>
        <v>815.26199999999994</v>
      </c>
      <c r="AC25" s="627">
        <f>SUM(AC22:AC24)</f>
        <v>682.2</v>
      </c>
      <c r="AD25" s="614">
        <f t="shared" ref="AD25:AF25" si="12">SUM(AD22:AD24)</f>
        <v>756.61860000000001</v>
      </c>
      <c r="AE25" s="614">
        <f t="shared" si="12"/>
        <v>846.61860000000001</v>
      </c>
      <c r="AF25" s="614">
        <f t="shared" si="12"/>
        <v>881.61860000000001</v>
      </c>
      <c r="AG25" s="437"/>
      <c r="AH25" s="437"/>
      <c r="AI25" s="437"/>
      <c r="AJ25" s="437"/>
      <c r="AK25" s="437"/>
      <c r="AL25" s="437"/>
    </row>
    <row r="26" spans="1:38" x14ac:dyDescent="0.25">
      <c r="A26" s="641" t="s">
        <v>61</v>
      </c>
      <c r="B26" s="165"/>
      <c r="C26" s="209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>
        <v>6322</v>
      </c>
      <c r="Z26" s="164"/>
      <c r="AA26" s="164"/>
      <c r="AB26" s="187"/>
      <c r="AC26" s="630"/>
      <c r="AD26" s="617"/>
      <c r="AE26" s="617"/>
      <c r="AF26" s="617"/>
    </row>
    <row r="27" spans="1:38" hidden="1" x14ac:dyDescent="0.25">
      <c r="A27" s="641" t="s">
        <v>62</v>
      </c>
      <c r="B27" s="165">
        <v>0</v>
      </c>
      <c r="C27" s="209">
        <v>0</v>
      </c>
      <c r="D27" s="164">
        <v>0</v>
      </c>
      <c r="E27" s="164">
        <v>15.4</v>
      </c>
      <c r="F27" s="164">
        <v>19.399999999999999</v>
      </c>
      <c r="G27" s="164">
        <v>16.3</v>
      </c>
      <c r="H27" s="164">
        <v>8.1999999999999993</v>
      </c>
      <c r="I27" s="164">
        <v>2.5</v>
      </c>
      <c r="J27" s="164">
        <v>1.7</v>
      </c>
      <c r="K27" s="164">
        <v>1.8</v>
      </c>
      <c r="L27" s="164">
        <v>2.1</v>
      </c>
      <c r="M27" s="164">
        <v>3.8</v>
      </c>
      <c r="N27" s="164">
        <v>6.7</v>
      </c>
      <c r="O27" s="164">
        <v>1.8</v>
      </c>
      <c r="P27" s="164">
        <v>3.1</v>
      </c>
      <c r="Q27" s="164">
        <v>3.2</v>
      </c>
      <c r="R27" s="164">
        <v>2.2090000000000001</v>
      </c>
      <c r="S27" s="164">
        <v>2.524</v>
      </c>
      <c r="T27" s="164">
        <v>1.0680000000000001</v>
      </c>
      <c r="U27" s="164">
        <v>1.157</v>
      </c>
      <c r="V27" s="164">
        <v>0.60499999999999998</v>
      </c>
      <c r="W27" s="164">
        <v>0.442</v>
      </c>
      <c r="X27" s="164">
        <v>0.51900000000000002</v>
      </c>
      <c r="Y27" s="164">
        <v>1.3</v>
      </c>
      <c r="Z27" s="164">
        <v>0.46400000000000002</v>
      </c>
      <c r="AA27" s="164">
        <v>0.35899999999999999</v>
      </c>
      <c r="AB27" s="183">
        <v>0.39200000000000002</v>
      </c>
      <c r="AC27" s="630">
        <v>0.32</v>
      </c>
      <c r="AD27" s="617">
        <f>AVERAGE(Y27:AC27)</f>
        <v>0.56699999999999995</v>
      </c>
      <c r="AE27" s="617">
        <f t="shared" ref="AE27:AF29" si="13">AD27</f>
        <v>0.56699999999999995</v>
      </c>
      <c r="AF27" s="617">
        <f t="shared" si="13"/>
        <v>0.56699999999999995</v>
      </c>
    </row>
    <row r="28" spans="1:38" hidden="1" x14ac:dyDescent="0.25">
      <c r="A28" s="641" t="s">
        <v>63</v>
      </c>
      <c r="B28" s="165">
        <v>0</v>
      </c>
      <c r="C28" s="209">
        <v>0</v>
      </c>
      <c r="D28" s="164">
        <v>0</v>
      </c>
      <c r="E28" s="164">
        <v>2.4</v>
      </c>
      <c r="F28" s="164">
        <v>2.2999999999999998</v>
      </c>
      <c r="G28" s="164">
        <v>3.4</v>
      </c>
      <c r="H28" s="164">
        <v>1.9</v>
      </c>
      <c r="I28" s="164">
        <v>2.2999999999999998</v>
      </c>
      <c r="J28" s="164">
        <v>2.7</v>
      </c>
      <c r="K28" s="164">
        <v>3.2</v>
      </c>
      <c r="L28" s="164">
        <v>3.4</v>
      </c>
      <c r="M28" s="164">
        <v>2.6</v>
      </c>
      <c r="N28" s="164">
        <v>4.7</v>
      </c>
      <c r="O28" s="164">
        <v>4.2</v>
      </c>
      <c r="P28" s="164">
        <v>3.6</v>
      </c>
      <c r="Q28" s="164">
        <v>3.4</v>
      </c>
      <c r="R28" s="164">
        <v>2.8</v>
      </c>
      <c r="S28" s="164">
        <v>2.923</v>
      </c>
      <c r="T28" s="164">
        <v>2.7989999999999999</v>
      </c>
      <c r="U28" s="164">
        <v>2.9359999999999999</v>
      </c>
      <c r="V28" s="164">
        <v>2.867</v>
      </c>
      <c r="W28" s="164">
        <v>2.5939999999999999</v>
      </c>
      <c r="X28" s="164">
        <v>1.764</v>
      </c>
      <c r="Y28" s="164">
        <v>1.0229999999999999</v>
      </c>
      <c r="Z28" s="164">
        <v>1.1439999999999999</v>
      </c>
      <c r="AA28" s="164">
        <v>0.66600000000000004</v>
      </c>
      <c r="AB28" s="183">
        <v>0.106</v>
      </c>
      <c r="AC28" s="630">
        <v>0.28000000000000003</v>
      </c>
      <c r="AD28" s="617">
        <f t="shared" ref="AD28:AD29" si="14">AVERAGE(Y28:AC28)</f>
        <v>0.64379999999999993</v>
      </c>
      <c r="AE28" s="617">
        <f t="shared" si="13"/>
        <v>0.64379999999999993</v>
      </c>
      <c r="AF28" s="617">
        <f t="shared" si="13"/>
        <v>0.64379999999999993</v>
      </c>
    </row>
    <row r="29" spans="1:38" hidden="1" x14ac:dyDescent="0.25">
      <c r="A29" s="641" t="s">
        <v>64</v>
      </c>
      <c r="B29" s="165">
        <v>0</v>
      </c>
      <c r="C29" s="209">
        <v>3</v>
      </c>
      <c r="D29" s="164">
        <v>4</v>
      </c>
      <c r="E29" s="164">
        <v>1.5</v>
      </c>
      <c r="F29" s="164">
        <v>2.2000000000000002</v>
      </c>
      <c r="G29" s="164">
        <v>3</v>
      </c>
      <c r="H29" s="164">
        <v>1.4</v>
      </c>
      <c r="I29" s="164">
        <v>1.2</v>
      </c>
      <c r="J29" s="164">
        <v>2.7</v>
      </c>
      <c r="K29" s="164">
        <v>1.2</v>
      </c>
      <c r="L29" s="164">
        <v>1.8</v>
      </c>
      <c r="M29" s="164">
        <v>3.3</v>
      </c>
      <c r="N29" s="164">
        <v>2.7</v>
      </c>
      <c r="O29" s="164">
        <v>1.6</v>
      </c>
      <c r="P29" s="164">
        <v>2.6</v>
      </c>
      <c r="Q29" s="164">
        <v>2.7</v>
      </c>
      <c r="R29" s="164">
        <v>2.8929999999999998</v>
      </c>
      <c r="S29" s="164">
        <v>2.903</v>
      </c>
      <c r="T29" s="164">
        <v>3.8039999999999998</v>
      </c>
      <c r="U29" s="164">
        <v>2.8239999999999998</v>
      </c>
      <c r="V29" s="164">
        <v>3.4740000000000002</v>
      </c>
      <c r="W29" s="164">
        <v>3.0259999999999998</v>
      </c>
      <c r="X29" s="164">
        <v>3.5819999999999999</v>
      </c>
      <c r="Y29" s="164">
        <v>2.4470000000000001</v>
      </c>
      <c r="Z29" s="164">
        <v>2.4929999999999999</v>
      </c>
      <c r="AA29" s="164">
        <v>2.4950000000000001</v>
      </c>
      <c r="AB29" s="183">
        <v>1.774</v>
      </c>
      <c r="AC29" s="630">
        <v>3.1</v>
      </c>
      <c r="AD29" s="617">
        <f t="shared" si="14"/>
        <v>2.4617999999999998</v>
      </c>
      <c r="AE29" s="617">
        <f t="shared" si="13"/>
        <v>2.4617999999999998</v>
      </c>
      <c r="AF29" s="617">
        <f t="shared" si="13"/>
        <v>2.4617999999999998</v>
      </c>
    </row>
    <row r="30" spans="1:38" hidden="1" x14ac:dyDescent="0.25">
      <c r="A30" s="641" t="s">
        <v>146</v>
      </c>
      <c r="B30" s="244">
        <v>-216</v>
      </c>
      <c r="C30" s="214">
        <v>17</v>
      </c>
      <c r="D30" s="17">
        <v>11</v>
      </c>
      <c r="E30" s="17">
        <v>-5.2</v>
      </c>
      <c r="F30" s="17">
        <v>5.6</v>
      </c>
      <c r="G30" s="17">
        <v>10.8</v>
      </c>
      <c r="H30" s="17">
        <v>2</v>
      </c>
      <c r="I30" s="17">
        <v>6.9</v>
      </c>
      <c r="J30" s="17">
        <v>2.1</v>
      </c>
      <c r="K30" s="17">
        <v>-2.1</v>
      </c>
      <c r="L30" s="17">
        <v>0.3</v>
      </c>
      <c r="M30" s="17">
        <v>-2.8</v>
      </c>
      <c r="N30" s="17">
        <v>-1</v>
      </c>
      <c r="O30" s="17">
        <v>-3.6</v>
      </c>
      <c r="P30" s="17">
        <v>-0.8</v>
      </c>
      <c r="Q30" s="17">
        <v>-10.5</v>
      </c>
      <c r="R30" s="17">
        <v>-3.0169999999999999</v>
      </c>
      <c r="S30" s="17">
        <v>-4.0830000000000002</v>
      </c>
      <c r="T30" s="17">
        <v>-4.867</v>
      </c>
      <c r="U30" s="17">
        <v>-8.1880000000000006</v>
      </c>
      <c r="V30" s="17">
        <v>2.8279999999999998</v>
      </c>
      <c r="W30" s="17">
        <v>2.149</v>
      </c>
      <c r="X30" s="17">
        <v>-0.378</v>
      </c>
      <c r="Y30" s="17">
        <v>0.71199999999999997</v>
      </c>
      <c r="Z30" s="17">
        <v>1.0629999999999999</v>
      </c>
      <c r="AA30" s="17">
        <v>0.13300000000000001</v>
      </c>
      <c r="AB30" s="187">
        <v>0.61799999999999999</v>
      </c>
      <c r="AC30" s="630"/>
      <c r="AD30" s="617"/>
      <c r="AE30" s="617"/>
      <c r="AF30" s="617"/>
    </row>
    <row r="31" spans="1:38" x14ac:dyDescent="0.25">
      <c r="A31" s="591" t="s">
        <v>67</v>
      </c>
      <c r="B31" s="165">
        <v>0</v>
      </c>
      <c r="C31" s="214">
        <f t="shared" ref="C31:Q31" si="15">SUM(C27:C30)</f>
        <v>20</v>
      </c>
      <c r="D31" s="17">
        <f t="shared" si="15"/>
        <v>15</v>
      </c>
      <c r="E31" s="17">
        <f t="shared" si="15"/>
        <v>14.100000000000001</v>
      </c>
      <c r="F31" s="17">
        <f t="shared" si="15"/>
        <v>29.5</v>
      </c>
      <c r="G31" s="17">
        <f t="shared" si="15"/>
        <v>33.5</v>
      </c>
      <c r="H31" s="17">
        <f t="shared" si="15"/>
        <v>13.5</v>
      </c>
      <c r="I31" s="17">
        <f t="shared" si="15"/>
        <v>12.9</v>
      </c>
      <c r="J31" s="17">
        <f t="shared" si="15"/>
        <v>9.2000000000000011</v>
      </c>
      <c r="K31" s="17">
        <f t="shared" si="15"/>
        <v>4.0999999999999996</v>
      </c>
      <c r="L31" s="17">
        <f t="shared" si="15"/>
        <v>7.6</v>
      </c>
      <c r="M31" s="17">
        <f t="shared" si="15"/>
        <v>6.8999999999999995</v>
      </c>
      <c r="N31" s="17">
        <f t="shared" si="15"/>
        <v>13.100000000000001</v>
      </c>
      <c r="O31" s="17">
        <f t="shared" si="15"/>
        <v>3.9999999999999996</v>
      </c>
      <c r="P31" s="17">
        <f t="shared" si="15"/>
        <v>8.5</v>
      </c>
      <c r="Q31" s="17">
        <f t="shared" si="15"/>
        <v>-1.1999999999999993</v>
      </c>
      <c r="R31" s="17">
        <f t="shared" ref="R31:AB31" si="16">SUM(R27:R30)</f>
        <v>4.8849999999999998</v>
      </c>
      <c r="S31" s="17">
        <f t="shared" si="16"/>
        <v>4.2669999999999995</v>
      </c>
      <c r="T31" s="17">
        <f t="shared" si="16"/>
        <v>2.8039999999999994</v>
      </c>
      <c r="U31" s="17">
        <f t="shared" si="16"/>
        <v>-1.2710000000000008</v>
      </c>
      <c r="V31" s="17">
        <f t="shared" si="16"/>
        <v>9.7739999999999991</v>
      </c>
      <c r="W31" s="17">
        <f t="shared" si="16"/>
        <v>8.2109999999999985</v>
      </c>
      <c r="X31" s="17">
        <f t="shared" si="16"/>
        <v>5.4870000000000001</v>
      </c>
      <c r="Y31" s="17">
        <v>10</v>
      </c>
      <c r="Z31" s="17">
        <f t="shared" si="16"/>
        <v>5.1639999999999997</v>
      </c>
      <c r="AA31" s="17">
        <f t="shared" si="16"/>
        <v>3.653</v>
      </c>
      <c r="AB31" s="187">
        <f t="shared" si="16"/>
        <v>2.89</v>
      </c>
      <c r="AC31" s="630">
        <f>SUM(AC27:AC29)</f>
        <v>3.7</v>
      </c>
      <c r="AD31" s="617">
        <f t="shared" ref="AD31:AF31" si="17">SUM(AD27:AD29)</f>
        <v>3.6725999999999996</v>
      </c>
      <c r="AE31" s="617">
        <f t="shared" si="17"/>
        <v>3.6725999999999996</v>
      </c>
      <c r="AF31" s="617">
        <f t="shared" si="17"/>
        <v>3.6725999999999996</v>
      </c>
    </row>
    <row r="32" spans="1:38" x14ac:dyDescent="0.25">
      <c r="A32" s="647" t="s">
        <v>147</v>
      </c>
      <c r="B32" s="245">
        <f>B25+B31</f>
        <v>630</v>
      </c>
      <c r="C32" s="215">
        <f t="shared" ref="C32:Q32" si="18">C25+C31</f>
        <v>629</v>
      </c>
      <c r="D32" s="196">
        <f t="shared" si="18"/>
        <v>775</v>
      </c>
      <c r="E32" s="196">
        <f t="shared" si="18"/>
        <v>830.1</v>
      </c>
      <c r="F32" s="196">
        <f t="shared" si="18"/>
        <v>677.1</v>
      </c>
      <c r="G32" s="196">
        <f t="shared" si="18"/>
        <v>733.9</v>
      </c>
      <c r="H32" s="196">
        <f t="shared" si="18"/>
        <v>814.9</v>
      </c>
      <c r="I32" s="196">
        <f t="shared" si="18"/>
        <v>673.80000000000007</v>
      </c>
      <c r="J32" s="196">
        <f t="shared" si="18"/>
        <v>640.70000000000005</v>
      </c>
      <c r="K32" s="196">
        <f t="shared" si="18"/>
        <v>457.6</v>
      </c>
      <c r="L32" s="196">
        <f t="shared" si="18"/>
        <v>371.7</v>
      </c>
      <c r="M32" s="196">
        <f t="shared" si="18"/>
        <v>649.79999999999995</v>
      </c>
      <c r="N32" s="196">
        <f t="shared" si="18"/>
        <v>834.40000000000009</v>
      </c>
      <c r="O32" s="196">
        <f t="shared" si="18"/>
        <v>771.1</v>
      </c>
      <c r="P32" s="196">
        <f t="shared" si="18"/>
        <v>689.09999999999991</v>
      </c>
      <c r="Q32" s="196">
        <f t="shared" si="18"/>
        <v>651.09999999999991</v>
      </c>
      <c r="R32" s="196">
        <f t="shared" ref="R32:AA32" si="19">R25+R31</f>
        <v>628.68900000000008</v>
      </c>
      <c r="S32" s="196">
        <f t="shared" si="19"/>
        <v>670.81799999999998</v>
      </c>
      <c r="T32" s="196">
        <f t="shared" si="19"/>
        <v>850.48599999999999</v>
      </c>
      <c r="U32" s="196">
        <f t="shared" si="19"/>
        <v>746.53700000000003</v>
      </c>
      <c r="V32" s="196">
        <f t="shared" si="19"/>
        <v>717.101</v>
      </c>
      <c r="W32" s="196">
        <f>W25+W31</f>
        <v>893.24800000000005</v>
      </c>
      <c r="X32" s="196">
        <f>X25+X31</f>
        <v>905.53199999999993</v>
      </c>
      <c r="Y32" s="196">
        <f>Y25+Y31</f>
        <v>673.99599999999998</v>
      </c>
      <c r="Z32" s="196">
        <f>Z25+Z31</f>
        <v>867.90700000000004</v>
      </c>
      <c r="AA32" s="196">
        <f t="shared" si="19"/>
        <v>728.60199999999998</v>
      </c>
      <c r="AB32" s="195">
        <f>AB25+AB31</f>
        <v>818.15199999999993</v>
      </c>
      <c r="AC32" s="627">
        <f>AC25+AC31</f>
        <v>685.90000000000009</v>
      </c>
      <c r="AD32" s="614">
        <f t="shared" ref="AD32:AF32" si="20">AD25+AD31</f>
        <v>760.2912</v>
      </c>
      <c r="AE32" s="614">
        <f t="shared" si="20"/>
        <v>850.2912</v>
      </c>
      <c r="AF32" s="614">
        <f t="shared" si="20"/>
        <v>885.2912</v>
      </c>
    </row>
    <row r="33" spans="1:32" ht="13.8" thickBot="1" x14ac:dyDescent="0.3">
      <c r="A33" s="648" t="s">
        <v>69</v>
      </c>
      <c r="B33" s="244">
        <v>0</v>
      </c>
      <c r="C33" s="214">
        <v>0</v>
      </c>
      <c r="D33" s="17">
        <v>56</v>
      </c>
      <c r="E33" s="17">
        <v>0.3</v>
      </c>
      <c r="F33" s="17">
        <v>1.1000000000000001</v>
      </c>
      <c r="G33" s="17">
        <v>45.7</v>
      </c>
      <c r="H33" s="17">
        <v>0.2</v>
      </c>
      <c r="I33" s="17">
        <v>0.1</v>
      </c>
      <c r="J33" s="17">
        <v>0.1</v>
      </c>
      <c r="K33" s="17">
        <v>0.1</v>
      </c>
      <c r="L33" s="17">
        <v>0</v>
      </c>
      <c r="M33" s="17">
        <v>79.400000000000006</v>
      </c>
      <c r="N33" s="17">
        <v>0</v>
      </c>
      <c r="O33" s="17">
        <v>0.1</v>
      </c>
      <c r="P33" s="17">
        <v>0</v>
      </c>
      <c r="Q33" s="17">
        <v>0</v>
      </c>
      <c r="R33" s="17">
        <v>3.5000000000000003E-2</v>
      </c>
      <c r="S33" s="17">
        <v>8.0000000000000002E-3</v>
      </c>
      <c r="T33" s="17">
        <v>4.8000000000000001E-2</v>
      </c>
      <c r="U33" s="17">
        <v>0.25600000000000001</v>
      </c>
      <c r="V33" s="17">
        <v>0.20499999999999999</v>
      </c>
      <c r="W33" s="17">
        <v>0.20499999999999999</v>
      </c>
      <c r="X33" s="17">
        <v>0.51500000000000001</v>
      </c>
      <c r="Y33" s="17">
        <v>0.57599999999999996</v>
      </c>
      <c r="Z33" s="17">
        <v>1.1399999999999999</v>
      </c>
      <c r="AA33" s="17">
        <v>0.217</v>
      </c>
      <c r="AB33" s="188">
        <v>0.17</v>
      </c>
      <c r="AC33" s="631">
        <v>4.2999999999999997E-2</v>
      </c>
      <c r="AD33" s="618">
        <v>0</v>
      </c>
      <c r="AE33" s="618">
        <v>0</v>
      </c>
      <c r="AF33" s="618">
        <v>0</v>
      </c>
    </row>
    <row r="34" spans="1:32" s="438" customFormat="1" ht="13.8" thickBot="1" x14ac:dyDescent="0.3">
      <c r="A34" s="593" t="s">
        <v>70</v>
      </c>
      <c r="B34" s="230">
        <f>B32+B33</f>
        <v>630</v>
      </c>
      <c r="C34" s="121">
        <f t="shared" ref="C34:O34" si="21">C32+C33</f>
        <v>629</v>
      </c>
      <c r="D34" s="121">
        <f t="shared" si="21"/>
        <v>831</v>
      </c>
      <c r="E34" s="121">
        <f t="shared" si="21"/>
        <v>830.4</v>
      </c>
      <c r="F34" s="121">
        <f t="shared" si="21"/>
        <v>678.2</v>
      </c>
      <c r="G34" s="121">
        <f t="shared" si="21"/>
        <v>779.6</v>
      </c>
      <c r="H34" s="121">
        <f t="shared" si="21"/>
        <v>815.1</v>
      </c>
      <c r="I34" s="121">
        <f t="shared" si="21"/>
        <v>673.90000000000009</v>
      </c>
      <c r="J34" s="121">
        <f t="shared" si="21"/>
        <v>640.80000000000007</v>
      </c>
      <c r="K34" s="121">
        <f t="shared" si="21"/>
        <v>457.70000000000005</v>
      </c>
      <c r="L34" s="121">
        <f t="shared" si="21"/>
        <v>371.7</v>
      </c>
      <c r="M34" s="121">
        <f t="shared" si="21"/>
        <v>729.19999999999993</v>
      </c>
      <c r="N34" s="121">
        <f t="shared" si="21"/>
        <v>834.40000000000009</v>
      </c>
      <c r="O34" s="121">
        <f t="shared" si="21"/>
        <v>771.2</v>
      </c>
      <c r="P34" s="121">
        <f t="shared" ref="P34:U34" si="22">P32+P33</f>
        <v>689.09999999999991</v>
      </c>
      <c r="Q34" s="121">
        <f t="shared" si="22"/>
        <v>651.09999999999991</v>
      </c>
      <c r="R34" s="121">
        <f t="shared" si="22"/>
        <v>628.72400000000005</v>
      </c>
      <c r="S34" s="121">
        <f t="shared" si="22"/>
        <v>670.82600000000002</v>
      </c>
      <c r="T34" s="121">
        <f t="shared" si="22"/>
        <v>850.53399999999999</v>
      </c>
      <c r="U34" s="121">
        <f t="shared" si="22"/>
        <v>746.79300000000001</v>
      </c>
      <c r="V34" s="121">
        <f t="shared" ref="V34:AA34" si="23">V32+V33</f>
        <v>717.30600000000004</v>
      </c>
      <c r="W34" s="121">
        <f t="shared" si="23"/>
        <v>893.45300000000009</v>
      </c>
      <c r="X34" s="121">
        <f t="shared" si="23"/>
        <v>906.04699999999991</v>
      </c>
      <c r="Y34" s="121">
        <f t="shared" si="23"/>
        <v>674.572</v>
      </c>
      <c r="Z34" s="121">
        <v>8393</v>
      </c>
      <c r="AA34" s="121">
        <f t="shared" si="23"/>
        <v>728.81899999999996</v>
      </c>
      <c r="AB34" s="13">
        <f>AB32+AB33</f>
        <v>818.32199999999989</v>
      </c>
      <c r="AC34" s="278">
        <f>AC32+AC33</f>
        <v>685.9430000000001</v>
      </c>
      <c r="AD34" s="664">
        <f>AD32+AD33</f>
        <v>760.2912</v>
      </c>
      <c r="AE34" s="664">
        <f t="shared" ref="AE34:AF34" si="24">AE32+AE33</f>
        <v>850.2912</v>
      </c>
      <c r="AF34" s="664">
        <f t="shared" si="24"/>
        <v>885.2912</v>
      </c>
    </row>
    <row r="35" spans="1:32" ht="13.8" hidden="1" thickBot="1" x14ac:dyDescent="0.3">
      <c r="A35" s="64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90"/>
      <c r="AC35" s="659"/>
      <c r="AD35" s="662"/>
      <c r="AE35" s="662"/>
      <c r="AF35" s="662"/>
    </row>
    <row r="36" spans="1:32" s="1" customFormat="1" ht="13.8" thickBot="1" x14ac:dyDescent="0.3">
      <c r="A36" s="644" t="s">
        <v>71</v>
      </c>
      <c r="B36" s="13">
        <f t="shared" ref="B36:H36" si="25">(B18-B34)</f>
        <v>-9</v>
      </c>
      <c r="C36" s="13">
        <f t="shared" si="25"/>
        <v>-72</v>
      </c>
      <c r="D36" s="13">
        <f t="shared" si="25"/>
        <v>222</v>
      </c>
      <c r="E36" s="13">
        <f>(E18-E34)</f>
        <v>-63.200000000000045</v>
      </c>
      <c r="F36" s="13">
        <f t="shared" si="25"/>
        <v>-69.500000000000114</v>
      </c>
      <c r="G36" s="13">
        <f t="shared" si="25"/>
        <v>66.899999999999864</v>
      </c>
      <c r="H36" s="13">
        <f t="shared" si="25"/>
        <v>-90.700000000000159</v>
      </c>
      <c r="I36" s="13">
        <f>I18-I34</f>
        <v>-95.700000000000273</v>
      </c>
      <c r="J36" s="13">
        <f>(J18-J34)</f>
        <v>-116.20000000000039</v>
      </c>
      <c r="K36" s="13">
        <f>(K18-K34)</f>
        <v>-55.000000000000398</v>
      </c>
      <c r="L36" s="13">
        <f>(L18-L34)</f>
        <v>-120.90000000000038</v>
      </c>
      <c r="M36" s="13">
        <f>(M18-M34)</f>
        <v>20.199999999999704</v>
      </c>
      <c r="N36" s="13">
        <f>N18-N34</f>
        <v>50.299999999999613</v>
      </c>
      <c r="O36" s="13">
        <f t="shared" ref="O36:T36" si="26">O18-O34</f>
        <v>-168.40000000000032</v>
      </c>
      <c r="P36" s="13">
        <f t="shared" si="26"/>
        <v>16.699999999999704</v>
      </c>
      <c r="Q36" s="13">
        <f t="shared" si="26"/>
        <v>114.5</v>
      </c>
      <c r="R36" s="13">
        <f t="shared" si="26"/>
        <v>77.84599999999989</v>
      </c>
      <c r="S36" s="13">
        <f t="shared" si="26"/>
        <v>47.115999999999985</v>
      </c>
      <c r="T36" s="13">
        <f t="shared" si="26"/>
        <v>92.926999999999907</v>
      </c>
      <c r="U36" s="13">
        <f t="shared" ref="U36:AB36" si="27">U18-U34</f>
        <v>45.866999999999848</v>
      </c>
      <c r="V36" s="13">
        <f t="shared" si="27"/>
        <v>163.08600000000001</v>
      </c>
      <c r="W36" s="13">
        <f t="shared" si="27"/>
        <v>154.51900000000012</v>
      </c>
      <c r="X36" s="13">
        <f t="shared" si="27"/>
        <v>120.16500000000008</v>
      </c>
      <c r="Y36" s="13">
        <v>32297</v>
      </c>
      <c r="Z36" s="13">
        <f t="shared" si="27"/>
        <v>4761.4350000000013</v>
      </c>
      <c r="AA36" s="13">
        <f t="shared" si="27"/>
        <v>31.790000000000077</v>
      </c>
      <c r="AB36" s="191">
        <f t="shared" si="27"/>
        <v>73.298000000000116</v>
      </c>
      <c r="AC36" s="629">
        <f>AC18-AC34</f>
        <v>130.17700000000002</v>
      </c>
      <c r="AD36" s="616">
        <f t="shared" ref="AD36:AF36" si="28">AD18-AD34</f>
        <v>149.43233934791419</v>
      </c>
      <c r="AE36" s="616">
        <f t="shared" si="28"/>
        <v>160.30136920496034</v>
      </c>
      <c r="AF36" s="616">
        <f t="shared" si="28"/>
        <v>164.91817309055284</v>
      </c>
    </row>
    <row r="37" spans="1:32" hidden="1" x14ac:dyDescent="0.25">
      <c r="A37" s="65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84"/>
      <c r="AC37" s="659"/>
      <c r="AD37" s="662"/>
      <c r="AE37" s="662"/>
      <c r="AF37" s="662"/>
    </row>
    <row r="38" spans="1:32" ht="13.8" thickBot="1" x14ac:dyDescent="0.3">
      <c r="A38" s="641" t="s">
        <v>72</v>
      </c>
      <c r="B38" s="164">
        <f t="shared" ref="B38:Q38" si="29">(B25/12*3)</f>
        <v>157.5</v>
      </c>
      <c r="C38" s="164">
        <f t="shared" si="29"/>
        <v>152.25</v>
      </c>
      <c r="D38" s="164">
        <f t="shared" si="29"/>
        <v>190</v>
      </c>
      <c r="E38" s="164">
        <f t="shared" si="29"/>
        <v>204</v>
      </c>
      <c r="F38" s="164">
        <f t="shared" si="29"/>
        <v>161.9</v>
      </c>
      <c r="G38" s="164">
        <f t="shared" si="29"/>
        <v>175.1</v>
      </c>
      <c r="H38" s="164">
        <f t="shared" si="29"/>
        <v>200.35</v>
      </c>
      <c r="I38" s="164">
        <f t="shared" si="29"/>
        <v>165.22500000000002</v>
      </c>
      <c r="J38" s="164">
        <f t="shared" si="29"/>
        <v>157.875</v>
      </c>
      <c r="K38" s="164">
        <f t="shared" si="29"/>
        <v>113.375</v>
      </c>
      <c r="L38" s="164">
        <f t="shared" si="29"/>
        <v>91.024999999999991</v>
      </c>
      <c r="M38" s="164">
        <f t="shared" si="29"/>
        <v>160.72499999999999</v>
      </c>
      <c r="N38" s="164">
        <f t="shared" si="29"/>
        <v>205.32500000000005</v>
      </c>
      <c r="O38" s="164">
        <f t="shared" si="29"/>
        <v>191.77500000000001</v>
      </c>
      <c r="P38" s="164">
        <f t="shared" si="29"/>
        <v>170.14999999999998</v>
      </c>
      <c r="Q38" s="164">
        <f t="shared" si="29"/>
        <v>163.07499999999999</v>
      </c>
      <c r="R38" s="164">
        <f>(R25/12*3)</f>
        <v>155.95100000000002</v>
      </c>
      <c r="S38" s="164">
        <f t="shared" ref="S38:AB38" si="30">(S25/12*1.5)</f>
        <v>83.318874999999991</v>
      </c>
      <c r="T38" s="164">
        <f t="shared" si="30"/>
        <v>105.96025</v>
      </c>
      <c r="U38" s="164">
        <f t="shared" si="30"/>
        <v>93.475999999999999</v>
      </c>
      <c r="V38" s="164">
        <f t="shared" si="30"/>
        <v>88.415875</v>
      </c>
      <c r="W38" s="164">
        <f t="shared" si="30"/>
        <v>110.629625</v>
      </c>
      <c r="X38" s="164">
        <f t="shared" si="30"/>
        <v>112.50562499999999</v>
      </c>
      <c r="Y38" s="164">
        <f t="shared" si="30"/>
        <v>82.999499999999998</v>
      </c>
      <c r="Z38" s="164">
        <f t="shared" si="30"/>
        <v>107.84287500000001</v>
      </c>
      <c r="AA38" s="164">
        <f t="shared" si="30"/>
        <v>90.618624999999994</v>
      </c>
      <c r="AB38" s="187">
        <f t="shared" si="30"/>
        <v>101.90774999999999</v>
      </c>
      <c r="AC38" s="630">
        <f>(AC25/12*1.5)</f>
        <v>85.275000000000006</v>
      </c>
      <c r="AD38" s="617">
        <f t="shared" ref="AD38:AF38" si="31">(AD25/12*1.5)</f>
        <v>94.577325000000002</v>
      </c>
      <c r="AE38" s="617">
        <f t="shared" si="31"/>
        <v>105.827325</v>
      </c>
      <c r="AF38" s="617">
        <f t="shared" si="31"/>
        <v>110.202325</v>
      </c>
    </row>
    <row r="39" spans="1:32" ht="13.8" hidden="1" thickBot="1" x14ac:dyDescent="0.3">
      <c r="A39" s="641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92"/>
      <c r="AC39" s="661"/>
      <c r="AD39" s="665"/>
      <c r="AE39" s="665"/>
      <c r="AF39" s="665"/>
    </row>
    <row r="40" spans="1:32" ht="13.8" thickBot="1" x14ac:dyDescent="0.3">
      <c r="A40" s="651" t="s">
        <v>73</v>
      </c>
      <c r="B40" s="16">
        <f t="shared" ref="B40:K40" si="32">+B36-B38</f>
        <v>-166.5</v>
      </c>
      <c r="C40" s="16">
        <f t="shared" si="32"/>
        <v>-224.25</v>
      </c>
      <c r="D40" s="16">
        <f t="shared" si="32"/>
        <v>32</v>
      </c>
      <c r="E40" s="16">
        <f t="shared" si="32"/>
        <v>-267.20000000000005</v>
      </c>
      <c r="F40" s="16">
        <f t="shared" si="32"/>
        <v>-231.40000000000012</v>
      </c>
      <c r="G40" s="16">
        <f t="shared" si="32"/>
        <v>-108.20000000000013</v>
      </c>
      <c r="H40" s="16">
        <f t="shared" si="32"/>
        <v>-291.05000000000018</v>
      </c>
      <c r="I40" s="16">
        <f t="shared" si="32"/>
        <v>-260.9250000000003</v>
      </c>
      <c r="J40" s="16">
        <f t="shared" si="32"/>
        <v>-274.07500000000039</v>
      </c>
      <c r="K40" s="16">
        <f t="shared" si="32"/>
        <v>-168.3750000000004</v>
      </c>
      <c r="L40" s="16">
        <f t="shared" ref="L40:Q40" si="33">+L36-L38</f>
        <v>-211.92500000000035</v>
      </c>
      <c r="M40" s="16">
        <f t="shared" si="33"/>
        <v>-140.52500000000029</v>
      </c>
      <c r="N40" s="16">
        <f t="shared" si="33"/>
        <v>-155.02500000000043</v>
      </c>
      <c r="O40" s="16">
        <f t="shared" si="33"/>
        <v>-360.1750000000003</v>
      </c>
      <c r="P40" s="16">
        <f t="shared" si="33"/>
        <v>-153.45000000000027</v>
      </c>
      <c r="Q40" s="16">
        <f t="shared" si="33"/>
        <v>-48.574999999999989</v>
      </c>
      <c r="R40" s="16">
        <f t="shared" ref="R40:AB40" si="34">+R36-R38</f>
        <v>-78.105000000000132</v>
      </c>
      <c r="S40" s="16">
        <f t="shared" si="34"/>
        <v>-36.202875000000006</v>
      </c>
      <c r="T40" s="16">
        <f t="shared" si="34"/>
        <v>-13.033250000000095</v>
      </c>
      <c r="U40" s="16">
        <f t="shared" si="34"/>
        <v>-47.609000000000151</v>
      </c>
      <c r="V40" s="16">
        <f t="shared" si="34"/>
        <v>74.670125000000013</v>
      </c>
      <c r="W40" s="16">
        <f t="shared" si="34"/>
        <v>43.889375000000115</v>
      </c>
      <c r="X40" s="16">
        <f t="shared" si="34"/>
        <v>7.6593750000000824</v>
      </c>
      <c r="Y40" s="16">
        <f t="shared" si="34"/>
        <v>32214.000499999998</v>
      </c>
      <c r="Z40" s="16">
        <f t="shared" si="34"/>
        <v>4653.592125000001</v>
      </c>
      <c r="AA40" s="16">
        <f t="shared" si="34"/>
        <v>-58.828624999999917</v>
      </c>
      <c r="AB40" s="189">
        <f t="shared" si="34"/>
        <v>-28.609749999999877</v>
      </c>
      <c r="AC40" s="629">
        <f>+AC36-AC38</f>
        <v>44.902000000000015</v>
      </c>
      <c r="AD40" s="616">
        <f t="shared" ref="AD40:AF40" si="35">+AD36-AD38</f>
        <v>54.855014347914192</v>
      </c>
      <c r="AE40" s="616">
        <f t="shared" si="35"/>
        <v>54.474044204960336</v>
      </c>
      <c r="AF40" s="616">
        <f t="shared" si="35"/>
        <v>54.715848090552839</v>
      </c>
    </row>
    <row r="41" spans="1:32" ht="13.8" thickBot="1" x14ac:dyDescent="0.3">
      <c r="A41" s="652"/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39"/>
      <c r="AA41" s="439"/>
      <c r="AB41" s="457"/>
      <c r="AC41" s="458"/>
      <c r="AD41" s="459"/>
      <c r="AE41" s="460"/>
      <c r="AF41" s="460"/>
    </row>
    <row r="42" spans="1:32" ht="22.8" customHeight="1" x14ac:dyDescent="0.25">
      <c r="A42" s="653" t="s">
        <v>74</v>
      </c>
      <c r="B42" s="440">
        <f>B36/B32</f>
        <v>-1.4285714285714285E-2</v>
      </c>
      <c r="C42" s="440">
        <f t="shared" ref="C42:O42" si="36">C36/C32</f>
        <v>-0.11446740858505565</v>
      </c>
      <c r="D42" s="440">
        <f t="shared" si="36"/>
        <v>0.28645161290322579</v>
      </c>
      <c r="E42" s="440">
        <f t="shared" si="36"/>
        <v>-7.6135405372846701E-2</v>
      </c>
      <c r="F42" s="440">
        <f t="shared" si="36"/>
        <v>-0.10264362723379133</v>
      </c>
      <c r="G42" s="440">
        <f t="shared" si="36"/>
        <v>9.1156833356042868E-2</v>
      </c>
      <c r="H42" s="440">
        <f t="shared" si="36"/>
        <v>-0.11130200024542909</v>
      </c>
      <c r="I42" s="440">
        <f t="shared" si="36"/>
        <v>-0.14203027604630494</v>
      </c>
      <c r="J42" s="440">
        <f t="shared" si="36"/>
        <v>-0.1813641329795542</v>
      </c>
      <c r="K42" s="440">
        <f t="shared" si="36"/>
        <v>-0.12019230769230856</v>
      </c>
      <c r="L42" s="440">
        <f t="shared" si="36"/>
        <v>-0.32526230831315678</v>
      </c>
      <c r="M42" s="440">
        <f t="shared" si="36"/>
        <v>3.1086488150199609E-2</v>
      </c>
      <c r="N42" s="440">
        <f t="shared" si="36"/>
        <v>6.0282837967401255E-2</v>
      </c>
      <c r="O42" s="440">
        <f t="shared" si="36"/>
        <v>-0.21838931396706046</v>
      </c>
      <c r="P42" s="440">
        <f t="shared" ref="P42:U42" si="37">P36/P32</f>
        <v>2.4234508779567124E-2</v>
      </c>
      <c r="Q42" s="440">
        <f t="shared" si="37"/>
        <v>0.17585624328060209</v>
      </c>
      <c r="R42" s="440">
        <f t="shared" si="37"/>
        <v>0.12382274860861234</v>
      </c>
      <c r="S42" s="440">
        <f t="shared" si="37"/>
        <v>7.0236636464734076E-2</v>
      </c>
      <c r="T42" s="440">
        <f t="shared" si="37"/>
        <v>0.10926340939180645</v>
      </c>
      <c r="U42" s="440">
        <f t="shared" si="37"/>
        <v>6.1439687517162375E-2</v>
      </c>
      <c r="V42" s="440">
        <f t="shared" ref="V42:AA42" si="38">V36/V32</f>
        <v>0.22742403092451413</v>
      </c>
      <c r="W42" s="440">
        <f t="shared" si="38"/>
        <v>0.1729855538439494</v>
      </c>
      <c r="X42" s="440">
        <f t="shared" si="38"/>
        <v>0.13270099786644768</v>
      </c>
      <c r="Y42" s="349">
        <f t="shared" si="38"/>
        <v>47.918682009982255</v>
      </c>
      <c r="Z42" s="440">
        <f>Z36/Z32</f>
        <v>5.4861119912617378</v>
      </c>
      <c r="AA42" s="440">
        <f t="shared" si="38"/>
        <v>4.3631502521266866E-2</v>
      </c>
      <c r="AB42" s="461">
        <f>AB36/AB32</f>
        <v>8.9589709491634958E-2</v>
      </c>
      <c r="AC42" s="462">
        <f>AC36/AC32</f>
        <v>0.18979005685960054</v>
      </c>
      <c r="AD42" s="463">
        <f t="shared" ref="AD42:AF42" si="39">AD36/AD32</f>
        <v>0.19654619091726194</v>
      </c>
      <c r="AE42" s="464">
        <f t="shared" si="39"/>
        <v>0.18852525958749231</v>
      </c>
      <c r="AF42" s="464">
        <f t="shared" si="39"/>
        <v>0.18628692241666114</v>
      </c>
    </row>
    <row r="43" spans="1:32" ht="22.2" customHeight="1" thickBot="1" x14ac:dyDescent="0.3">
      <c r="A43" s="654" t="s">
        <v>75</v>
      </c>
      <c r="B43" s="441">
        <f>B36/B34</f>
        <v>-1.4285714285714285E-2</v>
      </c>
      <c r="C43" s="441">
        <f t="shared" ref="C43:O43" si="40">C36/C34</f>
        <v>-0.11446740858505565</v>
      </c>
      <c r="D43" s="441">
        <f t="shared" si="40"/>
        <v>0.26714801444043323</v>
      </c>
      <c r="E43" s="441">
        <f t="shared" si="40"/>
        <v>-7.6107899807321827E-2</v>
      </c>
      <c r="F43" s="441">
        <f t="shared" si="40"/>
        <v>-0.10247714538484239</v>
      </c>
      <c r="G43" s="441">
        <f t="shared" si="40"/>
        <v>8.581323755772173E-2</v>
      </c>
      <c r="H43" s="441">
        <f t="shared" si="40"/>
        <v>-0.11127469022205884</v>
      </c>
      <c r="I43" s="441">
        <f t="shared" si="40"/>
        <v>-0.14200920017806834</v>
      </c>
      <c r="J43" s="441">
        <f t="shared" si="40"/>
        <v>-0.18133583021223529</v>
      </c>
      <c r="K43" s="441">
        <f t="shared" si="40"/>
        <v>-0.12016604762945246</v>
      </c>
      <c r="L43" s="441">
        <f t="shared" si="40"/>
        <v>-0.32526230831315678</v>
      </c>
      <c r="M43" s="441">
        <f t="shared" si="40"/>
        <v>2.7701590784420881E-2</v>
      </c>
      <c r="N43" s="441">
        <f t="shared" si="40"/>
        <v>6.0282837967401255E-2</v>
      </c>
      <c r="O43" s="441">
        <f t="shared" si="40"/>
        <v>-0.2183609958506228</v>
      </c>
      <c r="P43" s="441">
        <f t="shared" ref="P43:U43" si="41">P36/P34</f>
        <v>2.4234508779567124E-2</v>
      </c>
      <c r="Q43" s="441">
        <f t="shared" si="41"/>
        <v>0.17585624328060209</v>
      </c>
      <c r="R43" s="441">
        <f t="shared" si="41"/>
        <v>0.12381585560595727</v>
      </c>
      <c r="S43" s="441">
        <f t="shared" si="41"/>
        <v>7.0235798850968784E-2</v>
      </c>
      <c r="T43" s="441">
        <f t="shared" si="41"/>
        <v>0.10925724309668973</v>
      </c>
      <c r="U43" s="441">
        <f t="shared" si="41"/>
        <v>6.1418626044968082E-2</v>
      </c>
      <c r="V43" s="441">
        <f t="shared" ref="V43:AA43" si="42">V36/V34</f>
        <v>0.2273590350561685</v>
      </c>
      <c r="W43" s="441">
        <f t="shared" si="42"/>
        <v>0.17294586284896923</v>
      </c>
      <c r="X43" s="441">
        <f t="shared" si="42"/>
        <v>0.13262557019668966</v>
      </c>
      <c r="Y43" s="442">
        <f t="shared" si="42"/>
        <v>47.877765457208419</v>
      </c>
      <c r="Z43" s="441">
        <f>Z36/Z34</f>
        <v>0.5673102585487908</v>
      </c>
      <c r="AA43" s="441">
        <f t="shared" si="42"/>
        <v>4.3618511592041477E-2</v>
      </c>
      <c r="AB43" s="465">
        <f>AB36/AB34</f>
        <v>8.9571097929665985E-2</v>
      </c>
      <c r="AC43" s="466">
        <f>AC36/AC34</f>
        <v>0.18977815940974688</v>
      </c>
      <c r="AD43" s="467">
        <f t="shared" ref="AD43:AF43" si="43">AD36/AD34</f>
        <v>0.19654619091726194</v>
      </c>
      <c r="AE43" s="468">
        <f t="shared" si="43"/>
        <v>0.18852525958749231</v>
      </c>
      <c r="AF43" s="468">
        <f t="shared" si="43"/>
        <v>0.18628692241666114</v>
      </c>
    </row>
    <row r="44" spans="1:32" ht="13.8" thickTop="1" x14ac:dyDescent="0.25">
      <c r="A44" s="655"/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444"/>
      <c r="P44" s="444"/>
      <c r="Q44" s="444"/>
      <c r="R44" s="444"/>
      <c r="S44" s="444"/>
      <c r="T44" s="444"/>
      <c r="U44" s="445"/>
      <c r="V44" s="445"/>
      <c r="W44" s="469"/>
      <c r="X44" s="469"/>
      <c r="Y44" s="469"/>
      <c r="Z44" s="469"/>
    </row>
    <row r="45" spans="1:32" x14ac:dyDescent="0.25">
      <c r="A45" s="655"/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444"/>
      <c r="P45" s="444"/>
      <c r="Q45" s="444"/>
      <c r="R45" s="444"/>
      <c r="S45" s="444"/>
      <c r="T45" s="444"/>
      <c r="U45" s="445"/>
      <c r="V45" s="445"/>
      <c r="W45" s="469"/>
      <c r="X45" s="469"/>
      <c r="Y45" s="469"/>
      <c r="Z45" s="469"/>
      <c r="AE45" s="364" t="s">
        <v>83</v>
      </c>
    </row>
    <row r="46" spans="1:32" x14ac:dyDescent="0.25">
      <c r="A46" s="656"/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444"/>
      <c r="P46" s="444"/>
      <c r="Q46" s="444"/>
      <c r="R46" s="444"/>
      <c r="S46" s="444"/>
      <c r="T46" s="444"/>
      <c r="U46" s="445"/>
      <c r="V46" s="445"/>
      <c r="W46" s="469"/>
      <c r="X46" s="469"/>
      <c r="Y46" s="469"/>
      <c r="Z46" s="469"/>
      <c r="AE46" s="364" t="s">
        <v>91</v>
      </c>
    </row>
    <row r="47" spans="1:32" x14ac:dyDescent="0.25">
      <c r="A47" s="656"/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  <c r="O47" s="444"/>
      <c r="P47" s="444"/>
      <c r="Q47" s="444"/>
      <c r="R47" s="444"/>
      <c r="S47" s="444"/>
      <c r="T47" s="444"/>
      <c r="U47" s="445"/>
      <c r="V47" s="445"/>
      <c r="W47" s="469"/>
      <c r="X47" s="469"/>
      <c r="Y47" s="469"/>
      <c r="Z47" s="469"/>
      <c r="AE47" s="364" t="s">
        <v>92</v>
      </c>
    </row>
    <row r="48" spans="1:32" x14ac:dyDescent="0.25">
      <c r="A48" s="656"/>
      <c r="B48" s="443"/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3"/>
      <c r="O48" s="444"/>
      <c r="P48" s="444"/>
      <c r="Q48" s="444"/>
      <c r="R48" s="444"/>
      <c r="S48" s="444"/>
      <c r="T48" s="444"/>
      <c r="U48" s="445"/>
      <c r="V48" s="445"/>
      <c r="W48" s="469"/>
      <c r="X48" s="469"/>
      <c r="Y48" s="469"/>
      <c r="Z48" s="469"/>
      <c r="AE48" s="364" t="s">
        <v>93</v>
      </c>
    </row>
    <row r="49" spans="1:31" x14ac:dyDescent="0.25">
      <c r="A49" s="656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4"/>
      <c r="P49" s="444"/>
      <c r="Q49" s="444"/>
      <c r="R49" s="444"/>
      <c r="S49" s="444"/>
      <c r="T49" s="444"/>
      <c r="U49" s="445"/>
      <c r="V49" s="445"/>
      <c r="W49" s="469"/>
      <c r="X49" s="469"/>
      <c r="Y49" s="469"/>
      <c r="Z49" s="469"/>
      <c r="AE49" s="364" t="s">
        <v>94</v>
      </c>
    </row>
    <row r="50" spans="1:31" x14ac:dyDescent="0.25">
      <c r="A50" s="656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4"/>
      <c r="P50" s="444"/>
      <c r="Q50" s="444"/>
      <c r="R50" s="444"/>
      <c r="S50" s="444"/>
      <c r="T50" s="444"/>
      <c r="U50" s="445"/>
      <c r="V50" s="445"/>
      <c r="W50" s="469"/>
      <c r="X50" s="469"/>
      <c r="Y50" s="469"/>
      <c r="Z50" s="469"/>
      <c r="AE50" s="364" t="s">
        <v>95</v>
      </c>
    </row>
    <row r="51" spans="1:31" x14ac:dyDescent="0.25">
      <c r="A51" s="655"/>
      <c r="B51" s="443"/>
      <c r="C51" s="443"/>
      <c r="D51" s="443"/>
      <c r="E51" s="443"/>
      <c r="F51" s="443"/>
      <c r="G51" s="443"/>
      <c r="H51" s="443"/>
      <c r="I51" s="443"/>
      <c r="J51" s="443"/>
      <c r="K51" s="443"/>
      <c r="L51" s="443"/>
      <c r="M51" s="443"/>
      <c r="N51" s="443"/>
      <c r="O51" s="444"/>
      <c r="P51" s="444"/>
      <c r="Q51" s="444"/>
      <c r="R51" s="444"/>
      <c r="S51" s="444"/>
      <c r="T51" s="444"/>
      <c r="U51" s="445"/>
      <c r="V51" s="445"/>
      <c r="W51" s="469"/>
      <c r="X51" s="469"/>
      <c r="Y51" s="469"/>
      <c r="Z51" s="469"/>
      <c r="AE51" s="364" t="s">
        <v>96</v>
      </c>
    </row>
    <row r="52" spans="1:31" x14ac:dyDescent="0.25">
      <c r="A52" s="655"/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4"/>
      <c r="P52" s="444"/>
      <c r="Q52" s="444"/>
      <c r="R52" s="444"/>
      <c r="S52" s="444"/>
      <c r="T52" s="444"/>
      <c r="U52" s="445"/>
      <c r="V52" s="445"/>
      <c r="W52" s="469"/>
      <c r="X52" s="469"/>
      <c r="Y52" s="469"/>
      <c r="Z52" s="469"/>
      <c r="AE52" s="364" t="s">
        <v>97</v>
      </c>
    </row>
    <row r="53" spans="1:31" x14ac:dyDescent="0.25">
      <c r="A53" s="655"/>
      <c r="B53" s="443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4"/>
      <c r="P53" s="444"/>
      <c r="Q53" s="444"/>
      <c r="R53" s="444"/>
      <c r="S53" s="444"/>
      <c r="T53" s="444"/>
      <c r="U53" s="445"/>
      <c r="V53" s="445"/>
      <c r="W53" s="469"/>
      <c r="X53" s="469"/>
      <c r="Y53" s="469"/>
      <c r="Z53" s="469"/>
      <c r="AE53" s="364" t="s">
        <v>98</v>
      </c>
    </row>
    <row r="54" spans="1:31" x14ac:dyDescent="0.25">
      <c r="A54" s="655"/>
      <c r="B54" s="443"/>
      <c r="C54" s="443"/>
      <c r="D54" s="443"/>
      <c r="E54" s="443"/>
      <c r="F54" s="443"/>
      <c r="G54" s="443"/>
      <c r="H54" s="443"/>
      <c r="I54" s="443"/>
      <c r="J54" s="443"/>
      <c r="K54" s="443"/>
      <c r="L54" s="443"/>
      <c r="M54" s="443"/>
      <c r="N54" s="443"/>
      <c r="O54" s="444"/>
      <c r="P54" s="444"/>
      <c r="Q54" s="444"/>
      <c r="R54" s="444"/>
      <c r="S54" s="444"/>
      <c r="T54" s="444"/>
      <c r="U54" s="445"/>
      <c r="V54" s="445"/>
      <c r="W54" s="469"/>
      <c r="X54" s="469"/>
      <c r="Y54" s="469"/>
      <c r="Z54" s="469"/>
    </row>
    <row r="55" spans="1:31" x14ac:dyDescent="0.25">
      <c r="A55" s="655"/>
      <c r="B55" s="443"/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4"/>
      <c r="P55" s="444"/>
      <c r="Q55" s="444"/>
      <c r="R55" s="444"/>
      <c r="S55" s="444"/>
      <c r="T55" s="444"/>
      <c r="U55" s="445"/>
      <c r="V55" s="445"/>
      <c r="W55" s="469"/>
      <c r="X55" s="469"/>
      <c r="Y55" s="469"/>
      <c r="Z55" s="469"/>
    </row>
    <row r="56" spans="1:31" x14ac:dyDescent="0.25">
      <c r="A56" s="655"/>
      <c r="B56" s="443"/>
      <c r="C56" s="443"/>
      <c r="D56" s="443"/>
      <c r="E56" s="443"/>
      <c r="F56" s="443"/>
      <c r="G56" s="443"/>
      <c r="H56" s="443"/>
      <c r="I56" s="443"/>
      <c r="J56" s="443"/>
      <c r="K56" s="443"/>
      <c r="L56" s="443"/>
      <c r="M56" s="443"/>
      <c r="N56" s="443"/>
      <c r="O56" s="444"/>
      <c r="P56" s="444"/>
      <c r="Q56" s="444"/>
      <c r="R56" s="444"/>
      <c r="S56" s="444"/>
      <c r="T56" s="444"/>
      <c r="U56" s="445"/>
      <c r="V56" s="445"/>
      <c r="W56" s="469"/>
      <c r="X56" s="469"/>
      <c r="Y56" s="469"/>
      <c r="Z56" s="469"/>
    </row>
    <row r="57" spans="1:31" x14ac:dyDescent="0.25">
      <c r="A57" s="655"/>
      <c r="B57" s="443"/>
      <c r="C57" s="443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444"/>
      <c r="P57" s="444"/>
      <c r="Q57" s="444"/>
      <c r="R57" s="444"/>
      <c r="S57" s="444"/>
      <c r="T57" s="444"/>
      <c r="U57" s="445"/>
      <c r="V57" s="445"/>
      <c r="W57" s="469"/>
      <c r="X57" s="469"/>
      <c r="Y57" s="469"/>
      <c r="Z57" s="469"/>
    </row>
    <row r="58" spans="1:31" x14ac:dyDescent="0.25">
      <c r="A58" s="655"/>
      <c r="B58" s="443"/>
      <c r="C58" s="443"/>
      <c r="D58" s="443"/>
      <c r="E58" s="443"/>
      <c r="F58" s="443"/>
      <c r="G58" s="443"/>
      <c r="H58" s="443"/>
      <c r="I58" s="443"/>
      <c r="J58" s="443"/>
      <c r="K58" s="443"/>
      <c r="L58" s="443"/>
      <c r="M58" s="443"/>
      <c r="N58" s="443"/>
      <c r="O58" s="444"/>
      <c r="P58" s="444"/>
      <c r="Q58" s="444"/>
      <c r="R58" s="444"/>
      <c r="S58" s="444"/>
      <c r="T58" s="444"/>
      <c r="U58" s="445"/>
      <c r="V58" s="445"/>
      <c r="W58" s="469"/>
      <c r="X58" s="469"/>
      <c r="Y58" s="469"/>
      <c r="Z58" s="469"/>
    </row>
    <row r="59" spans="1:31" x14ac:dyDescent="0.25">
      <c r="A59" s="655"/>
      <c r="B59" s="443"/>
      <c r="C59" s="443"/>
      <c r="D59" s="443"/>
      <c r="E59" s="443"/>
      <c r="F59" s="443"/>
      <c r="G59" s="443"/>
      <c r="H59" s="443"/>
      <c r="I59" s="443"/>
      <c r="J59" s="443"/>
      <c r="K59" s="443"/>
      <c r="L59" s="443"/>
      <c r="M59" s="443"/>
      <c r="N59" s="443"/>
      <c r="O59" s="444"/>
      <c r="P59" s="444"/>
      <c r="Q59" s="444"/>
      <c r="R59" s="444"/>
      <c r="S59" s="444"/>
      <c r="T59" s="444"/>
      <c r="U59" s="445"/>
      <c r="V59" s="445"/>
      <c r="W59" s="470"/>
      <c r="X59" s="470"/>
      <c r="Y59" s="470"/>
      <c r="Z59" s="470"/>
    </row>
    <row r="60" spans="1:31" x14ac:dyDescent="0.25">
      <c r="A60" s="657"/>
      <c r="B60" s="449"/>
      <c r="C60" s="449"/>
      <c r="D60" s="449"/>
      <c r="E60" s="449"/>
      <c r="F60" s="449"/>
      <c r="G60" s="449"/>
      <c r="H60" s="449"/>
      <c r="I60" s="449"/>
      <c r="J60" s="449"/>
      <c r="K60" s="450"/>
      <c r="L60" s="450"/>
      <c r="M60" s="450"/>
      <c r="N60" s="450"/>
      <c r="O60" s="450"/>
      <c r="P60" s="450"/>
      <c r="W60" s="471"/>
      <c r="X60" s="471"/>
      <c r="Y60" s="471"/>
      <c r="Z60" s="471"/>
      <c r="AB60" s="1"/>
      <c r="AD60" s="363"/>
    </row>
    <row r="61" spans="1:31" x14ac:dyDescent="0.25">
      <c r="A61" s="657"/>
      <c r="B61" s="449"/>
      <c r="C61" s="449"/>
      <c r="D61" s="449"/>
      <c r="E61" s="449"/>
      <c r="F61" s="449"/>
      <c r="G61" s="449"/>
      <c r="H61" s="449"/>
      <c r="I61" s="449"/>
      <c r="J61" s="449"/>
      <c r="K61" s="450"/>
      <c r="L61" s="450"/>
      <c r="M61" s="450"/>
      <c r="N61" s="450"/>
      <c r="O61" s="450"/>
      <c r="P61" s="450"/>
      <c r="W61" s="471"/>
      <c r="X61" s="471"/>
      <c r="Y61" s="471"/>
      <c r="Z61" s="471"/>
      <c r="AB61" s="1"/>
      <c r="AD61" s="363"/>
    </row>
    <row r="62" spans="1:31" x14ac:dyDescent="0.25">
      <c r="A62" s="657"/>
      <c r="B62" s="449"/>
      <c r="C62" s="449"/>
      <c r="D62" s="449"/>
      <c r="E62" s="449"/>
      <c r="F62" s="449"/>
      <c r="G62" s="449"/>
      <c r="H62" s="449"/>
      <c r="I62" s="449"/>
      <c r="J62" s="449"/>
      <c r="K62" s="449"/>
      <c r="L62" s="449"/>
      <c r="M62" s="450"/>
      <c r="N62" s="450"/>
      <c r="O62" s="450"/>
      <c r="P62" s="450"/>
      <c r="AB62" s="1"/>
      <c r="AD62" s="363"/>
    </row>
    <row r="63" spans="1:31" x14ac:dyDescent="0.25">
      <c r="AB63" s="1"/>
      <c r="AD63" s="363"/>
    </row>
    <row r="64" spans="1:31" x14ac:dyDescent="0.25">
      <c r="A64" s="656"/>
      <c r="C64" s="452"/>
      <c r="D64" s="452"/>
      <c r="E64" s="452"/>
      <c r="AB64" s="1"/>
      <c r="AD64" s="363"/>
    </row>
    <row r="65" spans="1:30" x14ac:dyDescent="0.25">
      <c r="A65" s="656"/>
      <c r="C65" s="452"/>
      <c r="D65" s="452"/>
      <c r="E65" s="452"/>
      <c r="AB65" s="1"/>
      <c r="AD65" s="363"/>
    </row>
    <row r="66" spans="1:30" x14ac:dyDescent="0.25">
      <c r="A66" s="859"/>
      <c r="B66" s="859"/>
      <c r="C66" s="859"/>
      <c r="D66" s="859"/>
      <c r="E66" s="859"/>
      <c r="F66" s="859"/>
      <c r="G66" s="859"/>
      <c r="H66" s="859"/>
      <c r="I66" s="859"/>
      <c r="J66" s="859"/>
      <c r="K66" s="859"/>
      <c r="L66" s="859"/>
      <c r="M66" s="859"/>
      <c r="N66" s="859"/>
      <c r="O66" s="859"/>
      <c r="P66" s="859"/>
      <c r="AB66" s="1"/>
      <c r="AD66" s="363"/>
    </row>
    <row r="67" spans="1:30" x14ac:dyDescent="0.25">
      <c r="C67" s="452"/>
      <c r="D67" s="452"/>
      <c r="E67" s="452"/>
      <c r="AB67" s="1"/>
      <c r="AD67" s="363"/>
    </row>
    <row r="68" spans="1:30" x14ac:dyDescent="0.25">
      <c r="A68" s="454"/>
      <c r="B68" s="454"/>
      <c r="C68" s="454"/>
      <c r="D68" s="454"/>
      <c r="E68" s="454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AD68" s="365"/>
    </row>
    <row r="69" spans="1:30" x14ac:dyDescent="0.25">
      <c r="C69" s="452"/>
      <c r="D69" s="452"/>
      <c r="E69" s="452"/>
      <c r="AD69" s="363"/>
    </row>
    <row r="70" spans="1:30" x14ac:dyDescent="0.25">
      <c r="A70" s="860"/>
      <c r="B70" s="860"/>
      <c r="C70" s="860"/>
      <c r="D70" s="860"/>
      <c r="E70" s="860"/>
      <c r="F70" s="860"/>
      <c r="G70" s="860"/>
      <c r="H70" s="860"/>
      <c r="I70" s="860"/>
      <c r="J70" s="860"/>
      <c r="K70" s="860"/>
      <c r="L70" s="860"/>
      <c r="M70" s="860"/>
      <c r="N70" s="860"/>
      <c r="O70" s="860"/>
      <c r="P70" s="860"/>
    </row>
    <row r="71" spans="1:30" x14ac:dyDescent="0.25">
      <c r="C71" s="452"/>
      <c r="D71" s="452"/>
      <c r="G71" s="452"/>
      <c r="H71" s="452"/>
    </row>
    <row r="72" spans="1:30" x14ac:dyDescent="0.25">
      <c r="A72" s="857"/>
      <c r="B72" s="857"/>
      <c r="C72" s="857"/>
      <c r="D72" s="857"/>
      <c r="E72" s="857"/>
      <c r="F72" s="857"/>
      <c r="G72" s="857"/>
      <c r="H72" s="857"/>
      <c r="I72" s="857"/>
      <c r="J72" s="857"/>
      <c r="K72" s="857"/>
      <c r="L72" s="857"/>
      <c r="M72" s="857"/>
      <c r="N72" s="857"/>
      <c r="O72" s="857"/>
      <c r="P72" s="857"/>
    </row>
    <row r="73" spans="1:30" x14ac:dyDescent="0.25">
      <c r="C73" s="452"/>
      <c r="D73" s="452"/>
      <c r="E73" s="452"/>
    </row>
    <row r="74" spans="1:30" x14ac:dyDescent="0.25">
      <c r="A74" s="857"/>
      <c r="B74" s="857"/>
      <c r="C74" s="857"/>
      <c r="D74" s="857"/>
      <c r="E74" s="857"/>
      <c r="F74" s="857"/>
      <c r="G74" s="857"/>
      <c r="H74" s="857"/>
      <c r="I74" s="857"/>
      <c r="J74" s="857"/>
      <c r="K74" s="857"/>
      <c r="L74" s="857"/>
      <c r="M74" s="857"/>
      <c r="N74" s="857"/>
      <c r="O74" s="857"/>
      <c r="P74" s="857"/>
    </row>
    <row r="75" spans="1:30" x14ac:dyDescent="0.25">
      <c r="C75" s="452"/>
      <c r="D75" s="452"/>
      <c r="E75" s="452"/>
    </row>
    <row r="76" spans="1:30" x14ac:dyDescent="0.25">
      <c r="A76" s="858"/>
      <c r="B76" s="858"/>
      <c r="C76" s="858"/>
      <c r="D76" s="858"/>
      <c r="E76" s="858"/>
      <c r="F76" s="858"/>
      <c r="G76" s="858"/>
      <c r="H76" s="858"/>
      <c r="I76" s="858"/>
      <c r="J76" s="858"/>
      <c r="K76" s="858"/>
      <c r="L76" s="858"/>
      <c r="M76" s="858"/>
      <c r="N76" s="858"/>
      <c r="O76" s="858"/>
      <c r="P76" s="858"/>
    </row>
    <row r="77" spans="1:30" x14ac:dyDescent="0.25">
      <c r="A77" s="455" t="s">
        <v>148</v>
      </c>
      <c r="C77" s="452"/>
      <c r="D77" s="452"/>
      <c r="E77" s="452"/>
    </row>
    <row r="78" spans="1:30" x14ac:dyDescent="0.25">
      <c r="C78" s="452"/>
      <c r="D78" s="452"/>
      <c r="E78" s="452"/>
    </row>
    <row r="79" spans="1:30" x14ac:dyDescent="0.25">
      <c r="C79" s="452"/>
      <c r="D79" s="452"/>
      <c r="E79" s="452"/>
    </row>
    <row r="80" spans="1:30" x14ac:dyDescent="0.25">
      <c r="C80" s="452"/>
      <c r="D80" s="452"/>
      <c r="E80" s="452"/>
    </row>
    <row r="81" spans="3:5" x14ac:dyDescent="0.25">
      <c r="C81" s="452"/>
      <c r="D81" s="452"/>
      <c r="E81" s="452"/>
    </row>
    <row r="82" spans="3:5" x14ac:dyDescent="0.25">
      <c r="C82" s="452"/>
      <c r="D82" s="452"/>
      <c r="E82" s="452"/>
    </row>
    <row r="83" spans="3:5" x14ac:dyDescent="0.25">
      <c r="C83" s="452"/>
      <c r="D83" s="452"/>
      <c r="E83" s="452"/>
    </row>
    <row r="84" spans="3:5" x14ac:dyDescent="0.25">
      <c r="C84" s="452"/>
      <c r="D84" s="452"/>
      <c r="E84" s="452"/>
    </row>
    <row r="85" spans="3:5" x14ac:dyDescent="0.25">
      <c r="C85" s="452"/>
      <c r="D85" s="452"/>
      <c r="E85" s="452"/>
    </row>
    <row r="86" spans="3:5" x14ac:dyDescent="0.25">
      <c r="C86" s="452"/>
      <c r="D86" s="452"/>
      <c r="E86" s="452"/>
    </row>
    <row r="87" spans="3:5" x14ac:dyDescent="0.25">
      <c r="C87" s="452"/>
      <c r="D87" s="452"/>
      <c r="E87" s="452"/>
    </row>
    <row r="88" spans="3:5" x14ac:dyDescent="0.25">
      <c r="C88" s="452"/>
      <c r="D88" s="452"/>
      <c r="E88" s="452"/>
    </row>
    <row r="89" spans="3:5" x14ac:dyDescent="0.25">
      <c r="C89" s="452"/>
      <c r="D89" s="452"/>
      <c r="E89" s="452"/>
    </row>
    <row r="90" spans="3:5" x14ac:dyDescent="0.25">
      <c r="C90" s="452"/>
      <c r="D90" s="452"/>
      <c r="E90" s="452"/>
    </row>
    <row r="91" spans="3:5" x14ac:dyDescent="0.25">
      <c r="C91" s="452"/>
      <c r="D91" s="452"/>
      <c r="E91" s="452"/>
    </row>
    <row r="92" spans="3:5" x14ac:dyDescent="0.25">
      <c r="C92" s="452"/>
      <c r="D92" s="452"/>
      <c r="E92" s="452"/>
    </row>
    <row r="93" spans="3:5" x14ac:dyDescent="0.25">
      <c r="C93" s="452"/>
      <c r="D93" s="452"/>
      <c r="E93" s="452"/>
    </row>
    <row r="94" spans="3:5" x14ac:dyDescent="0.25">
      <c r="C94" s="452"/>
      <c r="D94" s="452"/>
      <c r="E94" s="452"/>
    </row>
    <row r="95" spans="3:5" x14ac:dyDescent="0.25">
      <c r="C95" s="452"/>
      <c r="D95" s="452"/>
      <c r="E95" s="452"/>
    </row>
    <row r="96" spans="3:5" x14ac:dyDescent="0.25">
      <c r="C96" s="452"/>
      <c r="D96" s="452"/>
      <c r="E96" s="452"/>
    </row>
    <row r="97" spans="3:5" x14ac:dyDescent="0.25">
      <c r="C97" s="452"/>
      <c r="D97" s="452"/>
      <c r="E97" s="452"/>
    </row>
    <row r="98" spans="3:5" x14ac:dyDescent="0.25">
      <c r="C98" s="452"/>
      <c r="D98" s="452"/>
      <c r="E98" s="452"/>
    </row>
    <row r="99" spans="3:5" x14ac:dyDescent="0.25">
      <c r="C99" s="452"/>
      <c r="D99" s="452"/>
      <c r="E99" s="452"/>
    </row>
    <row r="100" spans="3:5" x14ac:dyDescent="0.25">
      <c r="C100" s="452"/>
      <c r="D100" s="452"/>
      <c r="E100" s="452"/>
    </row>
    <row r="101" spans="3:5" x14ac:dyDescent="0.25">
      <c r="C101" s="452"/>
      <c r="D101" s="452"/>
      <c r="E101" s="452"/>
    </row>
    <row r="102" spans="3:5" x14ac:dyDescent="0.25">
      <c r="C102" s="452"/>
      <c r="D102" s="452"/>
      <c r="E102" s="452"/>
    </row>
    <row r="103" spans="3:5" x14ac:dyDescent="0.25">
      <c r="C103" s="452"/>
      <c r="D103" s="452"/>
      <c r="E103" s="452"/>
    </row>
    <row r="104" spans="3:5" x14ac:dyDescent="0.25">
      <c r="C104" s="452"/>
      <c r="D104" s="452"/>
      <c r="E104" s="452"/>
    </row>
    <row r="105" spans="3:5" x14ac:dyDescent="0.25">
      <c r="C105" s="452"/>
      <c r="D105" s="452"/>
      <c r="E105" s="452"/>
    </row>
    <row r="106" spans="3:5" x14ac:dyDescent="0.25">
      <c r="C106" s="452"/>
      <c r="D106" s="452"/>
      <c r="E106" s="452"/>
    </row>
    <row r="107" spans="3:5" x14ac:dyDescent="0.25">
      <c r="C107" s="452"/>
      <c r="D107" s="452"/>
      <c r="E107" s="452"/>
    </row>
    <row r="108" spans="3:5" x14ac:dyDescent="0.25">
      <c r="C108" s="452" t="e">
        <f>(C36+#REF!-#REF!-#REF!)</f>
        <v>#REF!</v>
      </c>
      <c r="D108" s="452"/>
      <c r="E108" s="452"/>
    </row>
    <row r="109" spans="3:5" x14ac:dyDescent="0.25">
      <c r="E109" s="452"/>
    </row>
    <row r="110" spans="3:5" x14ac:dyDescent="0.25">
      <c r="E110" s="452"/>
    </row>
    <row r="111" spans="3:5" x14ac:dyDescent="0.25">
      <c r="E111" s="452"/>
    </row>
  </sheetData>
  <mergeCells count="5">
    <mergeCell ref="A72:P72"/>
    <mergeCell ref="A74:P74"/>
    <mergeCell ref="A76:P76"/>
    <mergeCell ref="A66:P66"/>
    <mergeCell ref="A70:P70"/>
  </mergeCells>
  <phoneticPr fontId="0" type="noConversion"/>
  <printOptions horizontalCentered="1"/>
  <pageMargins left="0.06" right="7.0000000000000007E-2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4C10B-3B33-4FC6-B78B-AF238DE5730F}">
  <dimension ref="A1:I12"/>
  <sheetViews>
    <sheetView workbookViewId="0">
      <selection sqref="A1:I12"/>
    </sheetView>
  </sheetViews>
  <sheetFormatPr defaultRowHeight="13.2" x14ac:dyDescent="0.25"/>
  <cols>
    <col min="1" max="1" width="12.44140625" customWidth="1"/>
    <col min="3" max="5" width="9.33203125" bestFit="1" customWidth="1"/>
    <col min="6" max="6" width="14.33203125" bestFit="1" customWidth="1"/>
    <col min="7" max="9" width="9.33203125" bestFit="1" customWidth="1"/>
    <col min="27" max="30" width="13.77734375" customWidth="1"/>
  </cols>
  <sheetData>
    <row r="1" spans="1:9" ht="13.8" thickBot="1" x14ac:dyDescent="0.3">
      <c r="A1" s="847" t="s">
        <v>199</v>
      </c>
      <c r="B1" s="848"/>
      <c r="C1" s="848"/>
      <c r="D1" s="848"/>
      <c r="E1" s="848"/>
      <c r="F1" s="848"/>
      <c r="G1" s="848"/>
      <c r="H1" s="848"/>
      <c r="I1" s="849"/>
    </row>
    <row r="2" spans="1:9" ht="13.8" thickBot="1" x14ac:dyDescent="0.3">
      <c r="A2" s="832"/>
      <c r="C2" s="861" t="s">
        <v>197</v>
      </c>
      <c r="D2" s="861"/>
      <c r="E2" s="861"/>
      <c r="F2" s="861"/>
      <c r="G2" s="861"/>
      <c r="I2" s="833"/>
    </row>
    <row r="3" spans="1:9" ht="13.8" thickBot="1" x14ac:dyDescent="0.3">
      <c r="A3" s="850"/>
      <c r="B3" s="851"/>
      <c r="C3" s="847" t="s">
        <v>131</v>
      </c>
      <c r="D3" s="848"/>
      <c r="E3" s="848"/>
      <c r="F3" s="848"/>
      <c r="G3" s="848"/>
      <c r="H3" s="848"/>
      <c r="I3" s="849"/>
    </row>
    <row r="4" spans="1:9" ht="17.399999999999999" customHeight="1" x14ac:dyDescent="0.25">
      <c r="A4" s="852"/>
      <c r="B4" s="853"/>
      <c r="C4" s="300">
        <v>-0.2</v>
      </c>
      <c r="D4" s="294">
        <v>-0.15</v>
      </c>
      <c r="E4" s="294">
        <v>-0.1</v>
      </c>
      <c r="F4" s="1" t="s">
        <v>132</v>
      </c>
      <c r="G4" s="294">
        <v>0.1</v>
      </c>
      <c r="H4" s="294">
        <v>0.15</v>
      </c>
      <c r="I4" s="295">
        <v>0.2</v>
      </c>
    </row>
    <row r="5" spans="1:9" ht="13.8" thickBot="1" x14ac:dyDescent="0.3">
      <c r="A5" s="854"/>
      <c r="B5" s="855"/>
      <c r="C5" s="296">
        <f t="shared" ref="C5:D5" si="0">$F$5+($F$5*C4)</f>
        <v>512</v>
      </c>
      <c r="D5" s="301">
        <f t="shared" si="0"/>
        <v>544</v>
      </c>
      <c r="E5" s="301">
        <f>$F$5+($F$5*E4)</f>
        <v>576</v>
      </c>
      <c r="F5" s="302">
        <v>640</v>
      </c>
      <c r="G5" s="302">
        <f>$F$5+($F$5*G4)</f>
        <v>704</v>
      </c>
      <c r="H5" s="302">
        <f t="shared" ref="H5:I5" si="1">$F$5+($F$5*H4)</f>
        <v>736</v>
      </c>
      <c r="I5" s="303">
        <f t="shared" si="1"/>
        <v>768</v>
      </c>
    </row>
    <row r="6" spans="1:9" x14ac:dyDescent="0.25">
      <c r="A6" s="844" t="s">
        <v>133</v>
      </c>
      <c r="B6" s="297">
        <v>1.2</v>
      </c>
      <c r="C6" s="304">
        <f t="shared" ref="C6:I6" si="2">C5*$B$6</f>
        <v>614.4</v>
      </c>
      <c r="D6" s="304">
        <f t="shared" si="2"/>
        <v>652.79999999999995</v>
      </c>
      <c r="E6" s="304">
        <f t="shared" si="2"/>
        <v>691.19999999999993</v>
      </c>
      <c r="F6" s="308">
        <f t="shared" si="2"/>
        <v>768</v>
      </c>
      <c r="G6" s="304">
        <f t="shared" si="2"/>
        <v>844.8</v>
      </c>
      <c r="H6" s="304">
        <f t="shared" si="2"/>
        <v>883.19999999999993</v>
      </c>
      <c r="I6" s="305">
        <f t="shared" si="2"/>
        <v>921.59999999999991</v>
      </c>
    </row>
    <row r="7" spans="1:9" x14ac:dyDescent="0.25">
      <c r="A7" s="845"/>
      <c r="B7" s="298">
        <v>1.25</v>
      </c>
      <c r="C7" s="304">
        <f t="shared" ref="C7:E7" si="3">C5*$B$7</f>
        <v>640</v>
      </c>
      <c r="D7" s="304">
        <f t="shared" si="3"/>
        <v>680</v>
      </c>
      <c r="E7" s="304">
        <f t="shared" si="3"/>
        <v>720</v>
      </c>
      <c r="F7" s="308">
        <f>F5*$B$7</f>
        <v>800</v>
      </c>
      <c r="G7" s="304">
        <f t="shared" ref="G7:I7" si="4">G5*$B$7</f>
        <v>880</v>
      </c>
      <c r="H7" s="304">
        <f t="shared" si="4"/>
        <v>920</v>
      </c>
      <c r="I7" s="305">
        <f t="shared" si="4"/>
        <v>960</v>
      </c>
    </row>
    <row r="8" spans="1:9" x14ac:dyDescent="0.25">
      <c r="A8" s="845"/>
      <c r="B8" s="298">
        <v>1.3</v>
      </c>
      <c r="C8" s="304">
        <f t="shared" ref="C8:E8" si="5">C5*$B$8</f>
        <v>665.6</v>
      </c>
      <c r="D8" s="304">
        <f t="shared" si="5"/>
        <v>707.2</v>
      </c>
      <c r="E8" s="304">
        <f t="shared" si="5"/>
        <v>748.80000000000007</v>
      </c>
      <c r="F8" s="308">
        <f>F5*$B$8</f>
        <v>832</v>
      </c>
      <c r="G8" s="304">
        <f t="shared" ref="G8:I8" si="6">G5*$B$8</f>
        <v>915.2</v>
      </c>
      <c r="H8" s="304">
        <f t="shared" si="6"/>
        <v>956.80000000000007</v>
      </c>
      <c r="I8" s="305">
        <f t="shared" si="6"/>
        <v>998.40000000000009</v>
      </c>
    </row>
    <row r="9" spans="1:9" x14ac:dyDescent="0.25">
      <c r="A9" s="845"/>
      <c r="B9" s="298">
        <v>1.35</v>
      </c>
      <c r="C9" s="304">
        <f>C5*$B$9</f>
        <v>691.2</v>
      </c>
      <c r="D9" s="304">
        <f>D5*$B$9</f>
        <v>734.40000000000009</v>
      </c>
      <c r="E9" s="304">
        <f>E5*$B$9</f>
        <v>777.6</v>
      </c>
      <c r="F9" s="308">
        <f>F5*$B$9</f>
        <v>864</v>
      </c>
      <c r="G9" s="304">
        <f t="shared" ref="G9:I9" si="7">G5*$B$9</f>
        <v>950.40000000000009</v>
      </c>
      <c r="H9" s="304">
        <f t="shared" si="7"/>
        <v>993.6</v>
      </c>
      <c r="I9" s="305">
        <f t="shared" si="7"/>
        <v>1036.8000000000002</v>
      </c>
    </row>
    <row r="10" spans="1:9" x14ac:dyDescent="0.25">
      <c r="A10" s="845"/>
      <c r="B10" s="298">
        <v>1.4</v>
      </c>
      <c r="C10" s="304">
        <f t="shared" ref="C10:E10" si="8">C5*$B$10</f>
        <v>716.8</v>
      </c>
      <c r="D10" s="304">
        <f t="shared" si="8"/>
        <v>761.59999999999991</v>
      </c>
      <c r="E10" s="304">
        <f t="shared" si="8"/>
        <v>806.4</v>
      </c>
      <c r="F10" s="308">
        <f>F5*$B$10</f>
        <v>896</v>
      </c>
      <c r="G10" s="304">
        <f t="shared" ref="G10:I10" si="9">G5*$B$10</f>
        <v>985.59999999999991</v>
      </c>
      <c r="H10" s="304">
        <f t="shared" si="9"/>
        <v>1030.3999999999999</v>
      </c>
      <c r="I10" s="305">
        <f t="shared" si="9"/>
        <v>1075.1999999999998</v>
      </c>
    </row>
    <row r="11" spans="1:9" x14ac:dyDescent="0.25">
      <c r="A11" s="845"/>
      <c r="B11" s="298">
        <v>1.45</v>
      </c>
      <c r="C11" s="304">
        <f t="shared" ref="C11:E11" si="10">C5*$B$11</f>
        <v>742.4</v>
      </c>
      <c r="D11" s="304">
        <f t="shared" si="10"/>
        <v>788.8</v>
      </c>
      <c r="E11" s="304">
        <f t="shared" si="10"/>
        <v>835.19999999999993</v>
      </c>
      <c r="F11" s="308">
        <f>F5*$B$11</f>
        <v>928</v>
      </c>
      <c r="G11" s="304">
        <f t="shared" ref="G11:I11" si="11">G5*$B$11</f>
        <v>1020.8</v>
      </c>
      <c r="H11" s="304">
        <f t="shared" si="11"/>
        <v>1067.2</v>
      </c>
      <c r="I11" s="305">
        <f t="shared" si="11"/>
        <v>1113.5999999999999</v>
      </c>
    </row>
    <row r="12" spans="1:9" ht="13.8" thickBot="1" x14ac:dyDescent="0.3">
      <c r="A12" s="846"/>
      <c r="B12" s="299">
        <v>1.5</v>
      </c>
      <c r="C12" s="306">
        <f t="shared" ref="C12:E12" si="12">C5*$B$12</f>
        <v>768</v>
      </c>
      <c r="D12" s="306">
        <f t="shared" si="12"/>
        <v>816</v>
      </c>
      <c r="E12" s="306">
        <f t="shared" si="12"/>
        <v>864</v>
      </c>
      <c r="F12" s="309">
        <f>F5*$B$12</f>
        <v>960</v>
      </c>
      <c r="G12" s="306">
        <f t="shared" ref="G12:I12" si="13">G5*$B$12</f>
        <v>1056</v>
      </c>
      <c r="H12" s="306">
        <f t="shared" si="13"/>
        <v>1104</v>
      </c>
      <c r="I12" s="307">
        <f t="shared" si="13"/>
        <v>1152</v>
      </c>
    </row>
  </sheetData>
  <mergeCells count="5">
    <mergeCell ref="A3:B5"/>
    <mergeCell ref="C3:I3"/>
    <mergeCell ref="A6:A12"/>
    <mergeCell ref="C2:G2"/>
    <mergeCell ref="A1:I1"/>
  </mergeCells>
  <conditionalFormatting sqref="C6:I12">
    <cfRule type="cellIs" dxfId="1" priority="1" operator="lessThan">
      <formula>850</formula>
    </cfRule>
    <cfRule type="cellIs" dxfId="0" priority="2" operator="greaterThan">
      <formula>850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83"/>
  <sheetViews>
    <sheetView zoomScaleNormal="100" workbookViewId="0">
      <pane xSplit="1" topLeftCell="AA1" activePane="topRight" state="frozen"/>
      <selection sqref="A1:I1"/>
      <selection pane="topRight" sqref="A1:I1"/>
    </sheetView>
  </sheetViews>
  <sheetFormatPr defaultColWidth="8.88671875" defaultRowHeight="13.2" x14ac:dyDescent="0.25"/>
  <cols>
    <col min="1" max="1" width="45.109375" style="545" customWidth="1"/>
    <col min="2" max="18" width="8.6640625" style="103" hidden="1" customWidth="1"/>
    <col min="19" max="21" width="8.6640625" style="543" hidden="1" customWidth="1"/>
    <col min="22" max="22" width="8.44140625" style="543" hidden="1" customWidth="1"/>
    <col min="23" max="23" width="8.109375" style="543" hidden="1" customWidth="1"/>
    <col min="24" max="24" width="8.109375" style="103" hidden="1" customWidth="1"/>
    <col min="25" max="25" width="9.6640625" style="104" hidden="1" customWidth="1"/>
    <col min="26" max="26" width="11" style="103" hidden="1" customWidth="1"/>
    <col min="27" max="30" width="13.77734375" style="386" customWidth="1"/>
    <col min="31" max="31" width="17.44140625" style="103" customWidth="1"/>
    <col min="32" max="16384" width="8.88671875" style="103"/>
  </cols>
  <sheetData>
    <row r="1" spans="1:30" ht="53.4" thickBot="1" x14ac:dyDescent="0.3">
      <c r="A1" s="585" t="s">
        <v>149</v>
      </c>
      <c r="B1" s="472" t="s">
        <v>4</v>
      </c>
      <c r="C1" s="473" t="s">
        <v>4</v>
      </c>
      <c r="D1" s="474" t="s">
        <v>4</v>
      </c>
      <c r="E1" s="474" t="s">
        <v>4</v>
      </c>
      <c r="F1" s="474" t="s">
        <v>4</v>
      </c>
      <c r="G1" s="474" t="s">
        <v>4</v>
      </c>
      <c r="H1" s="474" t="s">
        <v>4</v>
      </c>
      <c r="I1" s="474" t="s">
        <v>4</v>
      </c>
      <c r="J1" s="474" t="s">
        <v>4</v>
      </c>
      <c r="K1" s="474" t="s">
        <v>4</v>
      </c>
      <c r="L1" s="474" t="s">
        <v>4</v>
      </c>
      <c r="M1" s="474" t="s">
        <v>4</v>
      </c>
      <c r="N1" s="474" t="s">
        <v>4</v>
      </c>
      <c r="O1" s="474" t="s">
        <v>4</v>
      </c>
      <c r="P1" s="474" t="s">
        <v>4</v>
      </c>
      <c r="Q1" s="474" t="s">
        <v>4</v>
      </c>
      <c r="R1" s="474" t="s">
        <v>4</v>
      </c>
      <c r="S1" s="474" t="s">
        <v>4</v>
      </c>
      <c r="T1" s="474" t="s">
        <v>4</v>
      </c>
      <c r="U1" s="474" t="s">
        <v>4</v>
      </c>
      <c r="V1" s="474" t="s">
        <v>4</v>
      </c>
      <c r="W1" s="475" t="s">
        <v>4</v>
      </c>
      <c r="X1" s="476" t="s">
        <v>4</v>
      </c>
      <c r="Y1" s="476" t="s">
        <v>4</v>
      </c>
      <c r="Z1" s="549" t="s">
        <v>4</v>
      </c>
      <c r="AA1" s="575" t="s">
        <v>6</v>
      </c>
      <c r="AB1" s="388" t="s">
        <v>6</v>
      </c>
      <c r="AC1" s="388" t="s">
        <v>6</v>
      </c>
      <c r="AD1" s="388" t="s">
        <v>6</v>
      </c>
    </row>
    <row r="2" spans="1:30" ht="19.2" customHeight="1" thickBot="1" x14ac:dyDescent="0.3">
      <c r="A2" s="477">
        <f>'Voorblad-Front'!C5</f>
        <v>45322</v>
      </c>
      <c r="B2" s="247"/>
      <c r="C2" s="216"/>
      <c r="D2" s="107"/>
      <c r="E2" s="107"/>
      <c r="F2" s="107"/>
      <c r="G2" s="107"/>
      <c r="H2" s="107"/>
      <c r="I2" s="107"/>
      <c r="J2" s="107"/>
      <c r="K2" s="107"/>
      <c r="L2" s="478"/>
      <c r="M2" s="478"/>
      <c r="N2" s="107"/>
      <c r="O2" s="107"/>
      <c r="P2" s="479"/>
      <c r="Q2" s="480"/>
      <c r="R2" s="481"/>
      <c r="S2" s="482"/>
      <c r="T2" s="483"/>
      <c r="U2" s="483"/>
      <c r="V2" s="483"/>
      <c r="W2" s="483"/>
      <c r="X2" s="484"/>
      <c r="Y2" s="484"/>
      <c r="Z2" s="550"/>
      <c r="AA2" s="576" t="s">
        <v>4</v>
      </c>
      <c r="AB2" s="389" t="s">
        <v>7</v>
      </c>
      <c r="AC2" s="389" t="s">
        <v>8</v>
      </c>
      <c r="AD2" s="389" t="s">
        <v>9</v>
      </c>
    </row>
    <row r="3" spans="1:30" s="109" customFormat="1" ht="27" customHeight="1" thickBot="1" x14ac:dyDescent="0.3">
      <c r="A3" s="586" t="s">
        <v>10</v>
      </c>
      <c r="B3" s="485" t="s">
        <v>150</v>
      </c>
      <c r="C3" s="486" t="s">
        <v>151</v>
      </c>
      <c r="D3" s="487" t="s">
        <v>152</v>
      </c>
      <c r="E3" s="487" t="s">
        <v>153</v>
      </c>
      <c r="F3" s="487" t="s">
        <v>154</v>
      </c>
      <c r="G3" s="487" t="s">
        <v>155</v>
      </c>
      <c r="H3" s="487" t="s">
        <v>156</v>
      </c>
      <c r="I3" s="487" t="s">
        <v>157</v>
      </c>
      <c r="J3" s="487" t="s">
        <v>158</v>
      </c>
      <c r="K3" s="487" t="s">
        <v>159</v>
      </c>
      <c r="L3" s="487" t="s">
        <v>160</v>
      </c>
      <c r="M3" s="487" t="s">
        <v>161</v>
      </c>
      <c r="N3" s="487" t="s">
        <v>162</v>
      </c>
      <c r="O3" s="487" t="s">
        <v>163</v>
      </c>
      <c r="P3" s="487" t="s">
        <v>164</v>
      </c>
      <c r="Q3" s="487" t="s">
        <v>165</v>
      </c>
      <c r="R3" s="487" t="s">
        <v>137</v>
      </c>
      <c r="S3" s="487" t="s">
        <v>30</v>
      </c>
      <c r="T3" s="487" t="s">
        <v>31</v>
      </c>
      <c r="U3" s="487" t="s">
        <v>138</v>
      </c>
      <c r="V3" s="487" t="s">
        <v>32</v>
      </c>
      <c r="W3" s="487" t="s">
        <v>139</v>
      </c>
      <c r="X3" s="488" t="s">
        <v>33</v>
      </c>
      <c r="Y3" s="488" t="s">
        <v>166</v>
      </c>
      <c r="Z3" s="551" t="s">
        <v>35</v>
      </c>
      <c r="AA3" s="576" t="s">
        <v>36</v>
      </c>
      <c r="AB3" s="390" t="s">
        <v>37</v>
      </c>
      <c r="AC3" s="390" t="s">
        <v>37</v>
      </c>
      <c r="AD3" s="390" t="s">
        <v>37</v>
      </c>
    </row>
    <row r="4" spans="1:30" x14ac:dyDescent="0.25">
      <c r="A4" s="587" t="s">
        <v>167</v>
      </c>
      <c r="B4" s="489">
        <v>59.100000000000009</v>
      </c>
      <c r="C4" s="490">
        <v>94.550000000000011</v>
      </c>
      <c r="D4" s="491">
        <v>82.6</v>
      </c>
      <c r="E4" s="491">
        <v>165.25</v>
      </c>
      <c r="F4" s="491">
        <v>94.16</v>
      </c>
      <c r="G4" s="491">
        <v>49.85</v>
      </c>
      <c r="H4" s="491">
        <v>71.5</v>
      </c>
      <c r="I4" s="491">
        <v>40</v>
      </c>
      <c r="J4" s="491">
        <v>48.55</v>
      </c>
      <c r="K4" s="491">
        <v>40.769999999999996</v>
      </c>
      <c r="L4" s="491">
        <v>54.199999999999996</v>
      </c>
      <c r="M4" s="491">
        <v>54.55</v>
      </c>
      <c r="N4" s="491">
        <v>57.45</v>
      </c>
      <c r="O4" s="491">
        <v>55.15</v>
      </c>
      <c r="P4" s="491">
        <v>45.45</v>
      </c>
      <c r="Q4" s="491">
        <v>46.9</v>
      </c>
      <c r="R4" s="491">
        <v>52.125</v>
      </c>
      <c r="S4" s="491">
        <v>58</v>
      </c>
      <c r="T4" s="491">
        <v>22.6</v>
      </c>
      <c r="U4" s="491">
        <v>52.5</v>
      </c>
      <c r="V4" s="491">
        <v>56300</v>
      </c>
      <c r="W4" s="491">
        <v>20050</v>
      </c>
      <c r="X4" s="492">
        <v>40050</v>
      </c>
      <c r="Y4" s="492">
        <v>38550</v>
      </c>
      <c r="Z4" s="552">
        <v>43400</v>
      </c>
      <c r="AA4" s="623">
        <v>31300</v>
      </c>
      <c r="AB4" s="610">
        <v>42550</v>
      </c>
      <c r="AC4" s="610">
        <v>42550</v>
      </c>
      <c r="AD4" s="610">
        <v>42550</v>
      </c>
    </row>
    <row r="5" spans="1:30" x14ac:dyDescent="0.25">
      <c r="A5" s="588" t="s">
        <v>39</v>
      </c>
      <c r="B5" s="248">
        <f>B6/B4</f>
        <v>1.1025380710659898</v>
      </c>
      <c r="C5" s="219">
        <f t="shared" ref="C5:P5" si="0">C6/C4</f>
        <v>1.0391327340031729</v>
      </c>
      <c r="D5" s="111">
        <f t="shared" si="0"/>
        <v>1.3746973365617436</v>
      </c>
      <c r="E5" s="111">
        <f t="shared" si="0"/>
        <v>1.1124962178517397</v>
      </c>
      <c r="F5" s="111">
        <f t="shared" si="0"/>
        <v>1.2765505522514868</v>
      </c>
      <c r="G5" s="111">
        <f t="shared" si="0"/>
        <v>1.2037111334002004</v>
      </c>
      <c r="H5" s="111">
        <f t="shared" si="0"/>
        <v>1.6083916083916083</v>
      </c>
      <c r="I5" s="111">
        <f t="shared" si="0"/>
        <v>1.6</v>
      </c>
      <c r="J5" s="111">
        <f t="shared" si="0"/>
        <v>1.5242018537590114</v>
      </c>
      <c r="K5" s="111">
        <f t="shared" si="0"/>
        <v>1.4226146676477804</v>
      </c>
      <c r="L5" s="111">
        <f t="shared" si="0"/>
        <v>1.6383763837638379</v>
      </c>
      <c r="M5" s="111">
        <f t="shared" si="0"/>
        <v>1.8240146654445464</v>
      </c>
      <c r="N5" s="111">
        <f t="shared" si="0"/>
        <v>1.5317667536988686</v>
      </c>
      <c r="O5" s="111">
        <f t="shared" si="0"/>
        <v>1.1659111514052585</v>
      </c>
      <c r="P5" s="111">
        <f t="shared" si="0"/>
        <v>1.2981298129812981</v>
      </c>
      <c r="Q5" s="111">
        <f t="shared" ref="Q5:V5" si="1">Q6/Q4</f>
        <v>0.88486140724946694</v>
      </c>
      <c r="R5" s="111">
        <f t="shared" si="1"/>
        <v>1.4292565947242206</v>
      </c>
      <c r="S5" s="111">
        <f t="shared" si="1"/>
        <v>0.97715517241379302</v>
      </c>
      <c r="T5" s="111">
        <f t="shared" si="1"/>
        <v>0.78230088495575212</v>
      </c>
      <c r="U5" s="111">
        <f t="shared" si="1"/>
        <v>1.7533333333333332</v>
      </c>
      <c r="V5" s="111">
        <f t="shared" si="1"/>
        <v>1.0124333925399644</v>
      </c>
      <c r="W5" s="111">
        <f>W6/W4</f>
        <v>0.96758104738154616</v>
      </c>
      <c r="X5" s="493">
        <f>X6/X4</f>
        <v>1.2504369538077402</v>
      </c>
      <c r="Y5" s="494">
        <f>Y6/Y4</f>
        <v>1.6679636835278859</v>
      </c>
      <c r="Z5" s="553">
        <f>Z6/Z4</f>
        <v>1.1175115207373272</v>
      </c>
      <c r="AA5" s="624">
        <f>AA6/AA4</f>
        <v>1.6584664536741214</v>
      </c>
      <c r="AB5" s="831">
        <f>AVERAGE(T5,S5,V5,W5,Z5)</f>
        <v>0.97139640360567658</v>
      </c>
      <c r="AC5" s="831">
        <f>AVERAGE(W5:AA5)</f>
        <v>1.332391931825724</v>
      </c>
      <c r="AD5" s="831">
        <f>AVERAGE(U5,AA5,Y5,R5,X5)</f>
        <v>1.5518914038134601</v>
      </c>
    </row>
    <row r="6" spans="1:30" ht="13.8" thickBot="1" x14ac:dyDescent="0.3">
      <c r="A6" s="588" t="s">
        <v>168</v>
      </c>
      <c r="B6" s="495">
        <v>65.160000000000011</v>
      </c>
      <c r="C6" s="496">
        <v>98.25</v>
      </c>
      <c r="D6" s="497">
        <v>113.55000000000001</v>
      </c>
      <c r="E6" s="497">
        <v>183.83999999999997</v>
      </c>
      <c r="F6" s="497">
        <v>120.2</v>
      </c>
      <c r="G6" s="497">
        <v>60.004999999999995</v>
      </c>
      <c r="H6" s="497">
        <v>115</v>
      </c>
      <c r="I6" s="497">
        <v>64</v>
      </c>
      <c r="J6" s="497">
        <v>74</v>
      </c>
      <c r="K6" s="497">
        <v>58</v>
      </c>
      <c r="L6" s="497">
        <v>88.800000000000011</v>
      </c>
      <c r="M6" s="497">
        <v>99.5</v>
      </c>
      <c r="N6" s="497">
        <v>88</v>
      </c>
      <c r="O6" s="497">
        <v>64.3</v>
      </c>
      <c r="P6" s="497">
        <v>59</v>
      </c>
      <c r="Q6" s="497">
        <v>41.5</v>
      </c>
      <c r="R6" s="497">
        <v>74.5</v>
      </c>
      <c r="S6" s="497">
        <v>56.674999999999997</v>
      </c>
      <c r="T6" s="497">
        <v>17.68</v>
      </c>
      <c r="U6" s="497">
        <v>92.05</v>
      </c>
      <c r="V6" s="497">
        <v>57000</v>
      </c>
      <c r="W6" s="497">
        <v>19400</v>
      </c>
      <c r="X6" s="498">
        <v>50080</v>
      </c>
      <c r="Y6" s="498">
        <v>64300</v>
      </c>
      <c r="Z6" s="554">
        <v>48500</v>
      </c>
      <c r="AA6" s="625">
        <v>51910</v>
      </c>
      <c r="AB6" s="612">
        <f>AB4*AB5</f>
        <v>41332.916973421539</v>
      </c>
      <c r="AC6" s="612">
        <f>AC4*AC5</f>
        <v>56693.276699184556</v>
      </c>
      <c r="AD6" s="612">
        <f>AD4*AD5</f>
        <v>66032.979232262733</v>
      </c>
    </row>
    <row r="7" spans="1:30" hidden="1" x14ac:dyDescent="0.25">
      <c r="A7" s="588" t="s">
        <v>41</v>
      </c>
      <c r="B7" s="499"/>
      <c r="C7" s="500"/>
      <c r="D7" s="501"/>
      <c r="E7" s="501"/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  <c r="S7" s="501"/>
      <c r="T7" s="501"/>
      <c r="U7" s="501"/>
      <c r="V7" s="501"/>
      <c r="W7" s="501"/>
      <c r="X7" s="502"/>
      <c r="Y7" s="502"/>
      <c r="Z7" s="555">
        <v>712</v>
      </c>
      <c r="AA7" s="626"/>
      <c r="AB7" s="613"/>
      <c r="AC7" s="613"/>
      <c r="AD7" s="613"/>
    </row>
    <row r="8" spans="1:30" hidden="1" x14ac:dyDescent="0.25">
      <c r="A8" s="588" t="s">
        <v>42</v>
      </c>
      <c r="B8" s="249"/>
      <c r="C8" s="221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503"/>
      <c r="Y8" s="503"/>
      <c r="Z8" s="556"/>
      <c r="AA8" s="627"/>
      <c r="AB8" s="614"/>
      <c r="AC8" s="614"/>
      <c r="AD8" s="614"/>
    </row>
    <row r="9" spans="1:30" hidden="1" x14ac:dyDescent="0.25">
      <c r="A9" s="588" t="s">
        <v>43</v>
      </c>
      <c r="B9" s="249"/>
      <c r="C9" s="221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503"/>
      <c r="Y9" s="503"/>
      <c r="Z9" s="556"/>
      <c r="AA9" s="627"/>
      <c r="AB9" s="614"/>
      <c r="AC9" s="614"/>
      <c r="AD9" s="614"/>
    </row>
    <row r="10" spans="1:30" ht="27" thickBot="1" x14ac:dyDescent="0.3">
      <c r="A10" s="609" t="s">
        <v>44</v>
      </c>
      <c r="B10" s="249">
        <f>B6-B7-B8+B9</f>
        <v>65.160000000000011</v>
      </c>
      <c r="C10" s="221">
        <f t="shared" ref="C10:Q10" si="2">C6-C7-C8+C9</f>
        <v>98.25</v>
      </c>
      <c r="D10" s="113">
        <f t="shared" si="2"/>
        <v>113.55000000000001</v>
      </c>
      <c r="E10" s="113">
        <f t="shared" si="2"/>
        <v>183.83999999999997</v>
      </c>
      <c r="F10" s="113">
        <f t="shared" si="2"/>
        <v>120.2</v>
      </c>
      <c r="G10" s="113">
        <f t="shared" si="2"/>
        <v>60.004999999999995</v>
      </c>
      <c r="H10" s="113">
        <f t="shared" si="2"/>
        <v>115</v>
      </c>
      <c r="I10" s="113">
        <f t="shared" si="2"/>
        <v>64</v>
      </c>
      <c r="J10" s="113">
        <f t="shared" si="2"/>
        <v>74</v>
      </c>
      <c r="K10" s="113">
        <f t="shared" si="2"/>
        <v>58</v>
      </c>
      <c r="L10" s="113">
        <f t="shared" si="2"/>
        <v>88.800000000000011</v>
      </c>
      <c r="M10" s="113">
        <f t="shared" si="2"/>
        <v>99.5</v>
      </c>
      <c r="N10" s="113">
        <f t="shared" si="2"/>
        <v>88</v>
      </c>
      <c r="O10" s="113">
        <f t="shared" si="2"/>
        <v>64.3</v>
      </c>
      <c r="P10" s="113">
        <f t="shared" si="2"/>
        <v>59</v>
      </c>
      <c r="Q10" s="113">
        <f t="shared" si="2"/>
        <v>41.5</v>
      </c>
      <c r="R10" s="113">
        <f t="shared" ref="R10:Y10" si="3">R6-R7-R8+R9</f>
        <v>74.5</v>
      </c>
      <c r="S10" s="113">
        <f t="shared" si="3"/>
        <v>56.674999999999997</v>
      </c>
      <c r="T10" s="113">
        <v>17.212</v>
      </c>
      <c r="U10" s="113">
        <f t="shared" si="3"/>
        <v>92.05</v>
      </c>
      <c r="V10" s="113">
        <f>V6-V7-V8+V9</f>
        <v>57000</v>
      </c>
      <c r="W10" s="113">
        <f>W6-W7-W8+W9</f>
        <v>19400</v>
      </c>
      <c r="X10" s="503">
        <f>X6-X7-X8+X9</f>
        <v>50080</v>
      </c>
      <c r="Y10" s="503">
        <f t="shared" si="3"/>
        <v>64300</v>
      </c>
      <c r="Z10" s="557">
        <f>Z6-Z7-Z8+Z9</f>
        <v>47788</v>
      </c>
      <c r="AA10" s="628">
        <f>AA6-AA7-AA8+AA9</f>
        <v>51910</v>
      </c>
      <c r="AB10" s="615">
        <f t="shared" ref="AB10:AD10" si="4">AB6-AB7-AB8+AB9</f>
        <v>41332.916973421539</v>
      </c>
      <c r="AC10" s="615">
        <f t="shared" si="4"/>
        <v>56693.276699184556</v>
      </c>
      <c r="AD10" s="615">
        <f t="shared" si="4"/>
        <v>66032.979232262733</v>
      </c>
    </row>
    <row r="11" spans="1:30" ht="13.8" thickBot="1" x14ac:dyDescent="0.3">
      <c r="A11" s="589"/>
      <c r="B11" s="250" t="s">
        <v>4</v>
      </c>
      <c r="C11" s="222" t="s">
        <v>4</v>
      </c>
      <c r="D11" s="115" t="s">
        <v>4</v>
      </c>
      <c r="E11" s="115" t="s">
        <v>4</v>
      </c>
      <c r="F11" s="115" t="s">
        <v>4</v>
      </c>
      <c r="G11" s="115" t="s">
        <v>4</v>
      </c>
      <c r="H11" s="115" t="s">
        <v>4</v>
      </c>
      <c r="I11" s="115" t="s">
        <v>4</v>
      </c>
      <c r="J11" s="115" t="s">
        <v>4</v>
      </c>
      <c r="K11" s="115" t="s">
        <v>4</v>
      </c>
      <c r="L11" s="115" t="s">
        <v>4</v>
      </c>
      <c r="M11" s="115" t="s">
        <v>4</v>
      </c>
      <c r="N11" s="115" t="s">
        <v>4</v>
      </c>
      <c r="O11" s="115" t="s">
        <v>4</v>
      </c>
      <c r="P11" s="115" t="s">
        <v>4</v>
      </c>
      <c r="Q11" s="115" t="s">
        <v>4</v>
      </c>
      <c r="R11" s="115" t="s">
        <v>4</v>
      </c>
      <c r="S11" s="115" t="s">
        <v>4</v>
      </c>
      <c r="T11" s="115" t="s">
        <v>4</v>
      </c>
      <c r="U11" s="115" t="s">
        <v>4</v>
      </c>
      <c r="V11" s="115" t="s">
        <v>4</v>
      </c>
      <c r="W11" s="115" t="s">
        <v>4</v>
      </c>
      <c r="X11" s="504" t="s">
        <v>4</v>
      </c>
      <c r="Y11" s="504" t="s">
        <v>4</v>
      </c>
      <c r="Z11" s="558"/>
      <c r="AA11" s="629"/>
      <c r="AB11" s="616"/>
      <c r="AC11" s="616"/>
      <c r="AD11" s="616"/>
    </row>
    <row r="12" spans="1:30" ht="13.8" thickBot="1" x14ac:dyDescent="0.3">
      <c r="A12" s="590"/>
      <c r="B12" s="505" t="s">
        <v>47</v>
      </c>
      <c r="C12" s="506" t="s">
        <v>47</v>
      </c>
      <c r="D12" s="507" t="s">
        <v>47</v>
      </c>
      <c r="E12" s="507" t="s">
        <v>47</v>
      </c>
      <c r="F12" s="507" t="s">
        <v>47</v>
      </c>
      <c r="G12" s="507" t="s">
        <v>47</v>
      </c>
      <c r="H12" s="507" t="s">
        <v>47</v>
      </c>
      <c r="I12" s="507" t="s">
        <v>47</v>
      </c>
      <c r="J12" s="507" t="s">
        <v>47</v>
      </c>
      <c r="K12" s="507" t="s">
        <v>47</v>
      </c>
      <c r="L12" s="507" t="s">
        <v>47</v>
      </c>
      <c r="M12" s="507" t="s">
        <v>47</v>
      </c>
      <c r="N12" s="507" t="s">
        <v>47</v>
      </c>
      <c r="O12" s="507" t="s">
        <v>47</v>
      </c>
      <c r="P12" s="507" t="s">
        <v>47</v>
      </c>
      <c r="Q12" s="507" t="s">
        <v>47</v>
      </c>
      <c r="R12" s="507" t="s">
        <v>47</v>
      </c>
      <c r="S12" s="507" t="s">
        <v>47</v>
      </c>
      <c r="T12" s="507" t="s">
        <v>47</v>
      </c>
      <c r="U12" s="507" t="s">
        <v>47</v>
      </c>
      <c r="V12" s="507" t="s">
        <v>169</v>
      </c>
      <c r="W12" s="507" t="s">
        <v>169</v>
      </c>
      <c r="X12" s="508" t="s">
        <v>169</v>
      </c>
      <c r="Y12" s="508"/>
      <c r="Z12" s="559"/>
      <c r="AA12" s="628"/>
      <c r="AB12" s="615"/>
      <c r="AC12" s="615"/>
      <c r="AD12" s="615"/>
    </row>
    <row r="13" spans="1:30" ht="13.8" thickTop="1" x14ac:dyDescent="0.25">
      <c r="A13" s="509" t="s">
        <v>48</v>
      </c>
      <c r="B13" s="510"/>
      <c r="C13" s="511"/>
      <c r="D13" s="512"/>
      <c r="E13" s="512"/>
      <c r="F13" s="512"/>
      <c r="G13" s="512"/>
      <c r="H13" s="512" t="s">
        <v>49</v>
      </c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2"/>
      <c r="T13" s="512"/>
      <c r="U13" s="512"/>
      <c r="V13" s="512"/>
      <c r="W13" s="512"/>
      <c r="X13" s="513"/>
      <c r="Y13" s="513"/>
      <c r="Z13" s="560"/>
      <c r="AA13" s="626"/>
      <c r="AB13" s="613"/>
      <c r="AC13" s="613"/>
      <c r="AD13" s="613"/>
    </row>
    <row r="14" spans="1:30" ht="15" customHeight="1" x14ac:dyDescent="0.25">
      <c r="A14" s="591" t="s">
        <v>141</v>
      </c>
      <c r="B14" s="251">
        <v>44.4</v>
      </c>
      <c r="C14" s="225">
        <f>B37</f>
        <v>24.599999999999994</v>
      </c>
      <c r="D14" s="118">
        <f t="shared" ref="D14:P14" si="5">C37</f>
        <v>31.399999999999977</v>
      </c>
      <c r="E14" s="118">
        <f t="shared" si="5"/>
        <v>37.399999999999977</v>
      </c>
      <c r="F14" s="118">
        <f t="shared" si="5"/>
        <v>89.799999999999955</v>
      </c>
      <c r="G14" s="118">
        <f t="shared" si="5"/>
        <v>43.499999999999943</v>
      </c>
      <c r="H14" s="118">
        <f t="shared" si="5"/>
        <v>19.899999999999949</v>
      </c>
      <c r="I14" s="118">
        <f t="shared" si="5"/>
        <v>56.69999999999996</v>
      </c>
      <c r="J14" s="118">
        <f t="shared" si="5"/>
        <v>9.6999999999999602</v>
      </c>
      <c r="K14" s="118">
        <f t="shared" si="5"/>
        <v>18.799999999999955</v>
      </c>
      <c r="L14" s="118">
        <f t="shared" si="5"/>
        <v>21.799999999999969</v>
      </c>
      <c r="M14" s="118">
        <f t="shared" si="5"/>
        <v>30.099999999999966</v>
      </c>
      <c r="N14" s="118">
        <f t="shared" si="5"/>
        <v>46.999999999999972</v>
      </c>
      <c r="O14" s="118">
        <f t="shared" si="5"/>
        <v>31.399999999999949</v>
      </c>
      <c r="P14" s="118">
        <f t="shared" si="5"/>
        <v>16.599999999999952</v>
      </c>
      <c r="Q14" s="118">
        <v>15.093999999999999</v>
      </c>
      <c r="R14" s="118">
        <v>15.657999999999999</v>
      </c>
      <c r="S14" s="118">
        <v>25.056000000000001</v>
      </c>
      <c r="T14" s="118">
        <f>S37</f>
        <v>12.174000000000007</v>
      </c>
      <c r="U14" s="118">
        <v>8.2530000000000001</v>
      </c>
      <c r="V14" s="118">
        <v>38694</v>
      </c>
      <c r="W14" s="118">
        <v>25271</v>
      </c>
      <c r="X14" s="514">
        <v>7485</v>
      </c>
      <c r="Y14" s="514">
        <v>7353</v>
      </c>
      <c r="Z14" s="561">
        <v>22685</v>
      </c>
      <c r="AA14" s="630">
        <f>Z37</f>
        <v>9513</v>
      </c>
      <c r="AB14" s="617">
        <f>AA37</f>
        <v>20555</v>
      </c>
      <c r="AC14" s="617">
        <f>AB14</f>
        <v>20555</v>
      </c>
      <c r="AD14" s="617">
        <f>AB14</f>
        <v>20555</v>
      </c>
    </row>
    <row r="15" spans="1:30" s="119" customFormat="1" x14ac:dyDescent="0.25">
      <c r="A15" s="591" t="s">
        <v>51</v>
      </c>
      <c r="B15" s="251">
        <v>77.900000000000006</v>
      </c>
      <c r="C15" s="225">
        <v>138.1</v>
      </c>
      <c r="D15" s="118">
        <v>122.3</v>
      </c>
      <c r="E15" s="118">
        <v>186.1</v>
      </c>
      <c r="F15" s="118">
        <v>95.6</v>
      </c>
      <c r="G15" s="118">
        <v>52</v>
      </c>
      <c r="H15" s="118">
        <v>107.7</v>
      </c>
      <c r="I15" s="118">
        <v>51.4</v>
      </c>
      <c r="J15" s="118">
        <v>67.7</v>
      </c>
      <c r="K15" s="118">
        <v>52.4</v>
      </c>
      <c r="L15" s="118">
        <v>89.8</v>
      </c>
      <c r="M15" s="118">
        <v>88.9</v>
      </c>
      <c r="N15" s="118">
        <v>83.8</v>
      </c>
      <c r="O15" s="118">
        <v>59.3</v>
      </c>
      <c r="P15" s="118">
        <v>57.3</v>
      </c>
      <c r="Q15" s="118">
        <v>40.345999999999997</v>
      </c>
      <c r="R15" s="118">
        <v>71.564999999999998</v>
      </c>
      <c r="S15" s="118">
        <v>59.991999999999997</v>
      </c>
      <c r="T15" s="118">
        <f>T10</f>
        <v>17.212</v>
      </c>
      <c r="U15" s="118">
        <v>91.572000000000003</v>
      </c>
      <c r="V15" s="118">
        <v>56751</v>
      </c>
      <c r="W15" s="118">
        <v>19517</v>
      </c>
      <c r="X15" s="514">
        <v>50594</v>
      </c>
      <c r="Y15" s="514">
        <v>64150</v>
      </c>
      <c r="Z15" s="561">
        <f>Z10</f>
        <v>47788</v>
      </c>
      <c r="AA15" s="630">
        <f>AA10</f>
        <v>51910</v>
      </c>
      <c r="AB15" s="617">
        <f t="shared" ref="AB15:AD15" si="6">AB10</f>
        <v>41332.916973421539</v>
      </c>
      <c r="AC15" s="617">
        <f t="shared" si="6"/>
        <v>56693.276699184556</v>
      </c>
      <c r="AD15" s="617">
        <f t="shared" si="6"/>
        <v>66032.979232262733</v>
      </c>
    </row>
    <row r="16" spans="1:30" s="119" customFormat="1" ht="13.8" thickBot="1" x14ac:dyDescent="0.3">
      <c r="A16" s="591" t="s">
        <v>52</v>
      </c>
      <c r="B16" s="251">
        <v>9.6</v>
      </c>
      <c r="C16" s="225">
        <v>2.7</v>
      </c>
      <c r="D16" s="118">
        <v>12.2</v>
      </c>
      <c r="E16" s="118">
        <v>3.1</v>
      </c>
      <c r="F16" s="118">
        <v>0.6</v>
      </c>
      <c r="G16" s="118">
        <v>18.5</v>
      </c>
      <c r="H16" s="118">
        <v>12.3</v>
      </c>
      <c r="I16" s="118">
        <v>2.2000000000000002</v>
      </c>
      <c r="J16" s="118">
        <v>21.4</v>
      </c>
      <c r="K16" s="118">
        <v>21.4</v>
      </c>
      <c r="L16" s="118">
        <v>10.9</v>
      </c>
      <c r="M16" s="118">
        <v>6</v>
      </c>
      <c r="N16" s="118">
        <v>1.2</v>
      </c>
      <c r="O16" s="118">
        <v>14.1</v>
      </c>
      <c r="P16" s="118">
        <v>17.8</v>
      </c>
      <c r="Q16" s="118">
        <v>29.03</v>
      </c>
      <c r="R16" s="118">
        <v>11.337999999999999</v>
      </c>
      <c r="S16" s="118">
        <v>14.603999999999999</v>
      </c>
      <c r="T16" s="118">
        <v>52.112000000000002</v>
      </c>
      <c r="U16" s="118">
        <v>16.696000000000002</v>
      </c>
      <c r="V16" s="118">
        <v>10312</v>
      </c>
      <c r="W16" s="118">
        <v>33704</v>
      </c>
      <c r="X16" s="514">
        <v>30335</v>
      </c>
      <c r="Y16" s="514">
        <v>23949</v>
      </c>
      <c r="Z16" s="562">
        <v>12333</v>
      </c>
      <c r="AA16" s="631">
        <v>25000</v>
      </c>
      <c r="AB16" s="618">
        <v>18421</v>
      </c>
      <c r="AC16" s="618">
        <v>3060</v>
      </c>
      <c r="AD16" s="618"/>
    </row>
    <row r="17" spans="1:30" s="119" customFormat="1" ht="13.8" hidden="1" thickBot="1" x14ac:dyDescent="0.3">
      <c r="A17" s="592" t="s">
        <v>53</v>
      </c>
      <c r="B17" s="252"/>
      <c r="C17" s="22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>
        <v>0.55600000000000005</v>
      </c>
      <c r="V17" s="120">
        <v>1837</v>
      </c>
      <c r="W17" s="120">
        <v>1378</v>
      </c>
      <c r="X17" s="515">
        <v>1060</v>
      </c>
      <c r="Y17" s="341">
        <v>17341</v>
      </c>
      <c r="Z17" s="562">
        <v>3471</v>
      </c>
      <c r="AA17" s="632">
        <v>0</v>
      </c>
      <c r="AB17" s="619">
        <v>0</v>
      </c>
      <c r="AC17" s="619">
        <v>0</v>
      </c>
      <c r="AD17" s="619">
        <v>0</v>
      </c>
    </row>
    <row r="18" spans="1:30" s="109" customFormat="1" ht="13.8" thickBot="1" x14ac:dyDescent="0.3">
      <c r="A18" s="593" t="s">
        <v>54</v>
      </c>
      <c r="B18" s="253">
        <f t="shared" ref="B18:Q18" si="7">+B14+B15+B16</f>
        <v>131.9</v>
      </c>
      <c r="C18" s="227">
        <f t="shared" si="7"/>
        <v>165.39999999999998</v>
      </c>
      <c r="D18" s="121">
        <f t="shared" si="7"/>
        <v>165.89999999999998</v>
      </c>
      <c r="E18" s="121">
        <f t="shared" si="7"/>
        <v>226.59999999999997</v>
      </c>
      <c r="F18" s="121">
        <f t="shared" si="7"/>
        <v>185.99999999999994</v>
      </c>
      <c r="G18" s="121">
        <f t="shared" si="7"/>
        <v>113.99999999999994</v>
      </c>
      <c r="H18" s="121">
        <f t="shared" si="7"/>
        <v>139.89999999999995</v>
      </c>
      <c r="I18" s="121">
        <f t="shared" si="7"/>
        <v>110.29999999999997</v>
      </c>
      <c r="J18" s="121">
        <f t="shared" si="7"/>
        <v>98.799999999999955</v>
      </c>
      <c r="K18" s="121">
        <f t="shared" si="7"/>
        <v>92.599999999999966</v>
      </c>
      <c r="L18" s="121">
        <f t="shared" si="7"/>
        <v>122.49999999999997</v>
      </c>
      <c r="M18" s="121">
        <f t="shared" si="7"/>
        <v>124.99999999999997</v>
      </c>
      <c r="N18" s="121">
        <f t="shared" si="7"/>
        <v>131.99999999999994</v>
      </c>
      <c r="O18" s="121">
        <f t="shared" si="7"/>
        <v>104.79999999999994</v>
      </c>
      <c r="P18" s="121">
        <f t="shared" si="7"/>
        <v>91.699999999999946</v>
      </c>
      <c r="Q18" s="121">
        <f t="shared" si="7"/>
        <v>84.47</v>
      </c>
      <c r="R18" s="121">
        <f>+R14+R15+R16</f>
        <v>98.560999999999993</v>
      </c>
      <c r="S18" s="121">
        <f>+S14+S15+S16</f>
        <v>99.652000000000001</v>
      </c>
      <c r="T18" s="121">
        <f>+T14+T15+T16</f>
        <v>81.498000000000005</v>
      </c>
      <c r="U18" s="121">
        <f t="shared" ref="U18:Z18" si="8">+U14+U15+U16+U17</f>
        <v>117.077</v>
      </c>
      <c r="V18" s="121">
        <f t="shared" si="8"/>
        <v>107594</v>
      </c>
      <c r="W18" s="121">
        <f t="shared" si="8"/>
        <v>79870</v>
      </c>
      <c r="X18" s="516">
        <f t="shared" si="8"/>
        <v>89474</v>
      </c>
      <c r="Y18" s="516">
        <v>197938</v>
      </c>
      <c r="Z18" s="563">
        <f t="shared" si="8"/>
        <v>86277</v>
      </c>
      <c r="AA18" s="629">
        <f>+AA14+AA15+AA16</f>
        <v>86423</v>
      </c>
      <c r="AB18" s="616">
        <f t="shared" ref="AB18:AD18" si="9">+AB14+AB15+AB16</f>
        <v>80308.916973421539</v>
      </c>
      <c r="AC18" s="616">
        <f t="shared" si="9"/>
        <v>80308.276699184556</v>
      </c>
      <c r="AD18" s="616">
        <f t="shared" si="9"/>
        <v>86587.979232262733</v>
      </c>
    </row>
    <row r="19" spans="1:30" s="109" customFormat="1" hidden="1" x14ac:dyDescent="0.25">
      <c r="A19" s="594"/>
      <c r="B19" s="517"/>
      <c r="C19" s="518"/>
      <c r="D19" s="519"/>
      <c r="E19" s="519"/>
      <c r="F19" s="519"/>
      <c r="G19" s="519"/>
      <c r="H19" s="519"/>
      <c r="I19" s="519"/>
      <c r="J19" s="519"/>
      <c r="K19" s="519"/>
      <c r="L19" s="519"/>
      <c r="M19" s="519"/>
      <c r="N19" s="519"/>
      <c r="O19" s="519"/>
      <c r="P19" s="519"/>
      <c r="Q19" s="519"/>
      <c r="R19" s="519"/>
      <c r="S19" s="519"/>
      <c r="T19" s="519"/>
      <c r="U19" s="519"/>
      <c r="V19" s="519"/>
      <c r="W19" s="519"/>
      <c r="X19" s="520"/>
      <c r="Y19" s="520"/>
      <c r="Z19" s="564"/>
      <c r="AA19" s="626"/>
      <c r="AB19" s="613"/>
      <c r="AC19" s="613"/>
      <c r="AD19" s="613"/>
    </row>
    <row r="20" spans="1:30" x14ac:dyDescent="0.25">
      <c r="A20" s="595" t="s">
        <v>55</v>
      </c>
      <c r="B20" s="251"/>
      <c r="C20" s="225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514"/>
      <c r="Y20" s="514"/>
      <c r="Z20" s="565"/>
      <c r="AA20" s="627"/>
      <c r="AB20" s="614"/>
      <c r="AC20" s="614"/>
      <c r="AD20" s="614"/>
    </row>
    <row r="21" spans="1:30" hidden="1" x14ac:dyDescent="0.25">
      <c r="A21" s="591" t="s">
        <v>56</v>
      </c>
      <c r="B21" s="254"/>
      <c r="C21" s="228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521"/>
      <c r="Y21" s="521"/>
      <c r="Z21" s="565"/>
      <c r="AA21" s="627"/>
      <c r="AB21" s="614"/>
      <c r="AC21" s="614"/>
      <c r="AD21" s="614"/>
    </row>
    <row r="22" spans="1:30" ht="13.2" customHeight="1" x14ac:dyDescent="0.25">
      <c r="A22" s="591" t="s">
        <v>170</v>
      </c>
      <c r="B22" s="255"/>
      <c r="C22" s="225">
        <v>24.3</v>
      </c>
      <c r="D22" s="118">
        <v>23.8</v>
      </c>
      <c r="E22" s="118">
        <v>26.1</v>
      </c>
      <c r="F22" s="118">
        <v>37.6</v>
      </c>
      <c r="G22" s="118">
        <v>30.8</v>
      </c>
      <c r="H22" s="118">
        <v>29.7</v>
      </c>
      <c r="I22" s="118">
        <v>39.200000000000003</v>
      </c>
      <c r="J22" s="118">
        <v>35</v>
      </c>
      <c r="K22" s="118">
        <v>34.9</v>
      </c>
      <c r="L22" s="118">
        <v>39.200000000000003</v>
      </c>
      <c r="M22" s="118">
        <v>35.200000000000003</v>
      </c>
      <c r="N22" s="118">
        <v>38.5</v>
      </c>
      <c r="O22" s="118">
        <v>33.299999999999997</v>
      </c>
      <c r="P22" s="118">
        <v>29.4</v>
      </c>
      <c r="Q22" s="118">
        <v>26.216999999999999</v>
      </c>
      <c r="R22" s="118">
        <v>22.286000000000001</v>
      </c>
      <c r="S22" s="118">
        <v>32.659999999999997</v>
      </c>
      <c r="T22" s="118">
        <v>27.715</v>
      </c>
      <c r="U22" s="118">
        <v>28.558</v>
      </c>
      <c r="V22" s="522">
        <v>34480</v>
      </c>
      <c r="W22" s="522">
        <v>34764</v>
      </c>
      <c r="X22" s="522">
        <v>27161</v>
      </c>
      <c r="Y22" s="522">
        <v>27445</v>
      </c>
      <c r="Z22" s="522">
        <v>31217</v>
      </c>
      <c r="AA22" s="630">
        <v>23000</v>
      </c>
      <c r="AB22" s="617">
        <f>AVERAGE(W22:AA22)</f>
        <v>28717.4</v>
      </c>
      <c r="AC22" s="617">
        <f>AB22</f>
        <v>28717.4</v>
      </c>
      <c r="AD22" s="617">
        <f>AB22</f>
        <v>28717.4</v>
      </c>
    </row>
    <row r="23" spans="1:30" x14ac:dyDescent="0.25">
      <c r="A23" s="591" t="s">
        <v>171</v>
      </c>
      <c r="B23" s="251">
        <v>18.399999999999999</v>
      </c>
      <c r="C23" s="225">
        <v>23.7</v>
      </c>
      <c r="D23" s="118">
        <v>23.7</v>
      </c>
      <c r="E23" s="118">
        <v>22</v>
      </c>
      <c r="F23" s="118">
        <v>25.8</v>
      </c>
      <c r="G23" s="118">
        <v>24.1</v>
      </c>
      <c r="H23" s="118">
        <v>24.1</v>
      </c>
      <c r="I23" s="118">
        <v>22.5</v>
      </c>
      <c r="J23" s="118">
        <v>22.9</v>
      </c>
      <c r="K23" s="118">
        <v>22.6</v>
      </c>
      <c r="L23" s="118">
        <v>24.6</v>
      </c>
      <c r="M23" s="118">
        <v>22.5</v>
      </c>
      <c r="N23" s="118">
        <v>24.5</v>
      </c>
      <c r="O23" s="118">
        <v>23.8</v>
      </c>
      <c r="P23" s="118">
        <v>21.3</v>
      </c>
      <c r="Q23" s="118">
        <v>25.812000000000001</v>
      </c>
      <c r="R23" s="118">
        <v>27.564</v>
      </c>
      <c r="S23" s="118">
        <v>28.457999999999998</v>
      </c>
      <c r="T23" s="118">
        <v>31.806000000000001</v>
      </c>
      <c r="U23" s="118">
        <v>31.701000000000001</v>
      </c>
      <c r="V23" s="522">
        <v>30541</v>
      </c>
      <c r="W23" s="522">
        <v>28686</v>
      </c>
      <c r="X23" s="522">
        <v>36483</v>
      </c>
      <c r="Y23" s="522">
        <v>34585</v>
      </c>
      <c r="Z23" s="522">
        <v>31530</v>
      </c>
      <c r="AA23" s="630">
        <v>34246</v>
      </c>
      <c r="AB23" s="617">
        <f>AVERAGE(W23:AA23)</f>
        <v>33106</v>
      </c>
      <c r="AC23" s="617">
        <f>AB23</f>
        <v>33106</v>
      </c>
      <c r="AD23" s="617">
        <f>AB23</f>
        <v>33106</v>
      </c>
    </row>
    <row r="24" spans="1:30" x14ac:dyDescent="0.25">
      <c r="A24" s="591" t="s">
        <v>172</v>
      </c>
      <c r="B24" s="251">
        <v>15.8</v>
      </c>
      <c r="C24" s="225">
        <v>13.5</v>
      </c>
      <c r="D24" s="118">
        <v>7.8</v>
      </c>
      <c r="E24" s="118">
        <v>13.9</v>
      </c>
      <c r="F24" s="118">
        <v>15.2</v>
      </c>
      <c r="G24" s="118">
        <v>3.3</v>
      </c>
      <c r="H24" s="118">
        <v>2.6</v>
      </c>
      <c r="I24" s="118">
        <v>4.7</v>
      </c>
      <c r="J24" s="118">
        <v>0.1</v>
      </c>
      <c r="K24" s="118">
        <v>0.7</v>
      </c>
      <c r="L24" s="118">
        <v>1</v>
      </c>
      <c r="M24" s="118">
        <v>1.9</v>
      </c>
      <c r="N24" s="118">
        <v>6.1</v>
      </c>
      <c r="O24" s="118">
        <v>2.5</v>
      </c>
      <c r="P24" s="118">
        <v>2.4</v>
      </c>
      <c r="Q24" s="118">
        <v>1.4910000000000001</v>
      </c>
      <c r="R24" s="118">
        <v>2.988</v>
      </c>
      <c r="S24" s="118">
        <v>2.8820000000000001</v>
      </c>
      <c r="T24" s="118">
        <v>0.80300000000000005</v>
      </c>
      <c r="U24" s="118">
        <v>2.2429999999999999</v>
      </c>
      <c r="V24" s="522">
        <v>3221</v>
      </c>
      <c r="W24" s="522">
        <v>640</v>
      </c>
      <c r="X24" s="522">
        <v>113</v>
      </c>
      <c r="Y24" s="522">
        <v>367</v>
      </c>
      <c r="Z24" s="522">
        <v>1695</v>
      </c>
      <c r="AA24" s="630">
        <v>0</v>
      </c>
      <c r="AB24" s="617">
        <f>AVERAGE(W24:AA24)</f>
        <v>563</v>
      </c>
      <c r="AC24" s="617">
        <f>AB24</f>
        <v>563</v>
      </c>
      <c r="AD24" s="617">
        <f>AB24</f>
        <v>563</v>
      </c>
    </row>
    <row r="25" spans="1:30" x14ac:dyDescent="0.25">
      <c r="A25" s="591" t="s">
        <v>173</v>
      </c>
      <c r="B25" s="251">
        <v>0</v>
      </c>
      <c r="C25" s="225">
        <v>0</v>
      </c>
      <c r="D25" s="118">
        <v>0</v>
      </c>
      <c r="E25" s="118">
        <v>0.1</v>
      </c>
      <c r="F25" s="118">
        <v>1</v>
      </c>
      <c r="G25" s="118">
        <v>0.7</v>
      </c>
      <c r="H25" s="118">
        <v>0.9</v>
      </c>
      <c r="I25" s="118">
        <v>0.4</v>
      </c>
      <c r="J25" s="118">
        <v>0.3</v>
      </c>
      <c r="K25" s="118">
        <v>0.3</v>
      </c>
      <c r="L25" s="118">
        <v>0.5</v>
      </c>
      <c r="M25" s="118">
        <v>0.3</v>
      </c>
      <c r="N25" s="118">
        <v>0.2</v>
      </c>
      <c r="O25" s="118">
        <v>0.7</v>
      </c>
      <c r="P25" s="118">
        <v>0.6</v>
      </c>
      <c r="Q25" s="118">
        <v>0.20499999999999999</v>
      </c>
      <c r="R25" s="118">
        <v>0.69</v>
      </c>
      <c r="S25" s="118">
        <v>0.68200000000000005</v>
      </c>
      <c r="T25" s="118">
        <v>0.122</v>
      </c>
      <c r="U25" s="118">
        <v>0.11</v>
      </c>
      <c r="V25" s="522">
        <v>765</v>
      </c>
      <c r="W25" s="522">
        <v>454</v>
      </c>
      <c r="X25" s="522">
        <v>500</v>
      </c>
      <c r="Y25" s="522">
        <v>607</v>
      </c>
      <c r="Z25" s="522">
        <v>885</v>
      </c>
      <c r="AA25" s="630">
        <v>923</v>
      </c>
      <c r="AB25" s="617">
        <f>AVERAGE(W25:AA25)</f>
        <v>673.8</v>
      </c>
      <c r="AC25" s="617">
        <f>AB25</f>
        <v>673.8</v>
      </c>
      <c r="AD25" s="617">
        <f>AB25</f>
        <v>673.8</v>
      </c>
    </row>
    <row r="26" spans="1:30" x14ac:dyDescent="0.25">
      <c r="A26" s="591" t="s">
        <v>60</v>
      </c>
      <c r="B26" s="251">
        <f t="shared" ref="B26:P26" si="10">SUM(B22:B25)</f>
        <v>34.200000000000003</v>
      </c>
      <c r="C26" s="225">
        <f t="shared" si="10"/>
        <v>61.5</v>
      </c>
      <c r="D26" s="118">
        <f t="shared" si="10"/>
        <v>55.3</v>
      </c>
      <c r="E26" s="118">
        <f t="shared" si="10"/>
        <v>62.1</v>
      </c>
      <c r="F26" s="118">
        <f t="shared" si="10"/>
        <v>79.600000000000009</v>
      </c>
      <c r="G26" s="118">
        <f t="shared" si="10"/>
        <v>58.900000000000006</v>
      </c>
      <c r="H26" s="118">
        <f t="shared" si="10"/>
        <v>57.3</v>
      </c>
      <c r="I26" s="118">
        <f t="shared" si="10"/>
        <v>66.800000000000011</v>
      </c>
      <c r="J26" s="118">
        <f t="shared" si="10"/>
        <v>58.3</v>
      </c>
      <c r="K26" s="118">
        <f t="shared" si="10"/>
        <v>58.5</v>
      </c>
      <c r="L26" s="118">
        <f t="shared" si="10"/>
        <v>65.300000000000011</v>
      </c>
      <c r="M26" s="118">
        <f t="shared" si="10"/>
        <v>59.9</v>
      </c>
      <c r="N26" s="118">
        <f t="shared" si="10"/>
        <v>69.3</v>
      </c>
      <c r="O26" s="118">
        <f t="shared" si="10"/>
        <v>60.3</v>
      </c>
      <c r="P26" s="118">
        <f t="shared" si="10"/>
        <v>53.7</v>
      </c>
      <c r="Q26" s="118">
        <f t="shared" ref="Q26:V26" si="11">SUM(Q22:Q25)</f>
        <v>53.724999999999994</v>
      </c>
      <c r="R26" s="118">
        <f t="shared" si="11"/>
        <v>53.527999999999999</v>
      </c>
      <c r="S26" s="118">
        <f t="shared" si="11"/>
        <v>64.681999999999988</v>
      </c>
      <c r="T26" s="118">
        <f t="shared" si="11"/>
        <v>60.445999999999998</v>
      </c>
      <c r="U26" s="118">
        <f t="shared" si="11"/>
        <v>62.612000000000002</v>
      </c>
      <c r="V26" s="522">
        <f t="shared" si="11"/>
        <v>69007</v>
      </c>
      <c r="W26" s="522">
        <f>SUM(W22:W25)</f>
        <v>64544</v>
      </c>
      <c r="X26" s="522">
        <f>SUM(X22:X25)</f>
        <v>64257</v>
      </c>
      <c r="Y26" s="522">
        <v>6322</v>
      </c>
      <c r="Z26" s="522">
        <f>SUM(Z22:Z25)</f>
        <v>65327</v>
      </c>
      <c r="AA26" s="627">
        <f>SUM(AA22:AA25)</f>
        <v>58169</v>
      </c>
      <c r="AB26" s="614">
        <f t="shared" ref="AB26:AD26" si="12">SUM(AB22:AB25)</f>
        <v>63060.200000000004</v>
      </c>
      <c r="AC26" s="614">
        <f t="shared" si="12"/>
        <v>63060.200000000004</v>
      </c>
      <c r="AD26" s="614">
        <f t="shared" si="12"/>
        <v>63060.200000000004</v>
      </c>
    </row>
    <row r="27" spans="1:30" x14ac:dyDescent="0.25">
      <c r="A27" s="591" t="s">
        <v>61</v>
      </c>
      <c r="B27" s="251"/>
      <c r="C27" s="225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522"/>
      <c r="W27" s="522"/>
      <c r="X27" s="522"/>
      <c r="Y27" s="522">
        <v>134648</v>
      </c>
      <c r="Z27" s="522"/>
      <c r="AA27" s="627"/>
      <c r="AB27" s="614"/>
      <c r="AC27" s="614"/>
      <c r="AD27" s="614"/>
    </row>
    <row r="28" spans="1:30" hidden="1" x14ac:dyDescent="0.25">
      <c r="A28" s="591" t="s">
        <v>62</v>
      </c>
      <c r="B28" s="251">
        <v>0</v>
      </c>
      <c r="C28" s="225">
        <v>0</v>
      </c>
      <c r="D28" s="118">
        <v>0</v>
      </c>
      <c r="E28" s="118">
        <v>0</v>
      </c>
      <c r="F28" s="118">
        <v>0.1</v>
      </c>
      <c r="G28" s="118">
        <v>0</v>
      </c>
      <c r="H28" s="118">
        <v>0.6</v>
      </c>
      <c r="I28" s="118">
        <v>0.1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5.3999999999999999E-2</v>
      </c>
      <c r="V28" s="522">
        <v>0</v>
      </c>
      <c r="W28" s="522">
        <v>0</v>
      </c>
      <c r="X28" s="522">
        <v>0</v>
      </c>
      <c r="Y28" s="522">
        <v>0.1</v>
      </c>
      <c r="Z28" s="522">
        <v>0</v>
      </c>
      <c r="AA28" s="630">
        <v>0</v>
      </c>
      <c r="AB28" s="617">
        <v>0</v>
      </c>
      <c r="AC28" s="617">
        <v>0</v>
      </c>
      <c r="AD28" s="617">
        <v>0</v>
      </c>
    </row>
    <row r="29" spans="1:30" hidden="1" x14ac:dyDescent="0.25">
      <c r="A29" s="591" t="s">
        <v>63</v>
      </c>
      <c r="B29" s="251">
        <v>0</v>
      </c>
      <c r="C29" s="225">
        <v>0</v>
      </c>
      <c r="D29" s="118">
        <v>8.4</v>
      </c>
      <c r="E29" s="118">
        <v>4.5999999999999996</v>
      </c>
      <c r="F29" s="118">
        <v>6.7</v>
      </c>
      <c r="G29" s="118">
        <v>1.4</v>
      </c>
      <c r="H29" s="118">
        <v>0.6</v>
      </c>
      <c r="I29" s="118">
        <v>0.7</v>
      </c>
      <c r="J29" s="118">
        <v>0.6</v>
      </c>
      <c r="K29" s="118">
        <v>0.5</v>
      </c>
      <c r="L29" s="118">
        <v>0.7</v>
      </c>
      <c r="M29" s="118">
        <v>0.7</v>
      </c>
      <c r="N29" s="118">
        <v>0.9</v>
      </c>
      <c r="O29" s="118">
        <v>1.2</v>
      </c>
      <c r="P29" s="118">
        <v>1.3</v>
      </c>
      <c r="Q29" s="118">
        <v>1.23</v>
      </c>
      <c r="R29" s="118">
        <v>1.8220000000000001</v>
      </c>
      <c r="S29" s="118">
        <v>2.032</v>
      </c>
      <c r="T29" s="118">
        <v>1.145</v>
      </c>
      <c r="U29" s="118">
        <v>0.66300000000000003</v>
      </c>
      <c r="V29" s="522">
        <v>457</v>
      </c>
      <c r="W29" s="522">
        <v>789</v>
      </c>
      <c r="X29" s="522">
        <v>1251</v>
      </c>
      <c r="Y29" s="522">
        <v>1050</v>
      </c>
      <c r="Z29" s="522">
        <v>994</v>
      </c>
      <c r="AA29" s="630">
        <v>864</v>
      </c>
      <c r="AB29" s="617">
        <f>AVERAGE(W29:AA29)</f>
        <v>989.6</v>
      </c>
      <c r="AC29" s="617">
        <f>AB29</f>
        <v>989.6</v>
      </c>
      <c r="AD29" s="617">
        <f>AB29</f>
        <v>989.6</v>
      </c>
    </row>
    <row r="30" spans="1:30" hidden="1" x14ac:dyDescent="0.25">
      <c r="A30" s="591" t="s">
        <v>64</v>
      </c>
      <c r="B30" s="251">
        <v>13.5</v>
      </c>
      <c r="C30" s="225">
        <v>3.3</v>
      </c>
      <c r="D30" s="118">
        <v>9.6999999999999993</v>
      </c>
      <c r="E30" s="118">
        <v>3.8</v>
      </c>
      <c r="F30" s="118">
        <v>2.6</v>
      </c>
      <c r="G30" s="118">
        <v>4.9000000000000004</v>
      </c>
      <c r="H30" s="118">
        <v>1.8</v>
      </c>
      <c r="I30" s="118">
        <v>2.9</v>
      </c>
      <c r="J30" s="118">
        <v>3.8</v>
      </c>
      <c r="K30" s="118">
        <v>3.5</v>
      </c>
      <c r="L30" s="118">
        <v>3.4</v>
      </c>
      <c r="M30" s="118">
        <v>2.2999999999999998</v>
      </c>
      <c r="N30" s="118">
        <v>2</v>
      </c>
      <c r="O30" s="118">
        <v>2.2000000000000002</v>
      </c>
      <c r="P30" s="118">
        <v>2.2999999999999998</v>
      </c>
      <c r="Q30" s="118">
        <v>3.3839999999999999</v>
      </c>
      <c r="R30" s="118">
        <v>3.1589999999999998</v>
      </c>
      <c r="S30" s="118">
        <v>1.5329999999999999</v>
      </c>
      <c r="T30" s="118">
        <v>2.8479999999999999</v>
      </c>
      <c r="U30" s="118">
        <v>3.5470000000000002</v>
      </c>
      <c r="V30" s="522">
        <v>1936</v>
      </c>
      <c r="W30" s="522">
        <v>1982</v>
      </c>
      <c r="X30" s="522">
        <v>3235</v>
      </c>
      <c r="Y30" s="522">
        <v>3019</v>
      </c>
      <c r="Z30" s="522">
        <v>1817</v>
      </c>
      <c r="AA30" s="630">
        <v>2</v>
      </c>
      <c r="AB30" s="617">
        <f>AVERAGE(W30:AA30)</f>
        <v>2011</v>
      </c>
      <c r="AC30" s="617">
        <f>AB30</f>
        <v>2011</v>
      </c>
      <c r="AD30" s="617">
        <f>AB30</f>
        <v>2011</v>
      </c>
    </row>
    <row r="31" spans="1:30" hidden="1" x14ac:dyDescent="0.25">
      <c r="A31" s="596" t="s">
        <v>174</v>
      </c>
      <c r="B31" s="256">
        <v>36.700000000000003</v>
      </c>
      <c r="C31" s="229">
        <v>35.299999999999997</v>
      </c>
      <c r="D31" s="123">
        <v>10.199999999999999</v>
      </c>
      <c r="E31" s="123">
        <v>15.8</v>
      </c>
      <c r="F31" s="123">
        <v>4.5999999999999996</v>
      </c>
      <c r="G31" s="123">
        <v>8.5</v>
      </c>
      <c r="H31" s="123">
        <v>1.8</v>
      </c>
      <c r="I31" s="123">
        <v>7.9</v>
      </c>
      <c r="J31" s="123">
        <v>-0.5</v>
      </c>
      <c r="K31" s="123">
        <v>-3</v>
      </c>
      <c r="L31" s="123">
        <v>0.4</v>
      </c>
      <c r="M31" s="123">
        <v>-0.5</v>
      </c>
      <c r="N31" s="123">
        <v>-0.3</v>
      </c>
      <c r="O31" s="123">
        <v>4.4000000000000004</v>
      </c>
      <c r="P31" s="123">
        <v>0.8</v>
      </c>
      <c r="Q31" s="123">
        <v>0.03</v>
      </c>
      <c r="R31" s="123">
        <v>2.86</v>
      </c>
      <c r="S31" s="123">
        <v>3.8050000000000002</v>
      </c>
      <c r="T31" s="123">
        <v>0.39800000000000002</v>
      </c>
      <c r="U31" s="123">
        <v>-0.20399999999999999</v>
      </c>
      <c r="V31" s="523">
        <v>558</v>
      </c>
      <c r="W31" s="523">
        <v>201</v>
      </c>
      <c r="X31" s="523">
        <v>166</v>
      </c>
      <c r="Y31" s="523">
        <v>10</v>
      </c>
      <c r="Z31" s="523">
        <v>283</v>
      </c>
      <c r="AA31" s="632">
        <v>0</v>
      </c>
      <c r="AB31" s="617">
        <f>AVERAGE(W31:AA31)</f>
        <v>132</v>
      </c>
      <c r="AC31" s="617">
        <f>AB31</f>
        <v>132</v>
      </c>
      <c r="AD31" s="617">
        <f>AB31</f>
        <v>132</v>
      </c>
    </row>
    <row r="32" spans="1:30" x14ac:dyDescent="0.25">
      <c r="A32" s="597" t="s">
        <v>67</v>
      </c>
      <c r="B32" s="251">
        <f>SUM(B28:B31)</f>
        <v>50.2</v>
      </c>
      <c r="C32" s="251">
        <f t="shared" ref="C32:Q32" si="13">SUM(C28:C31)</f>
        <v>38.599999999999994</v>
      </c>
      <c r="D32" s="251">
        <f t="shared" si="13"/>
        <v>28.3</v>
      </c>
      <c r="E32" s="251">
        <f t="shared" si="13"/>
        <v>24.2</v>
      </c>
      <c r="F32" s="251">
        <f t="shared" si="13"/>
        <v>14</v>
      </c>
      <c r="G32" s="251">
        <f t="shared" si="13"/>
        <v>14.8</v>
      </c>
      <c r="H32" s="251">
        <f t="shared" si="13"/>
        <v>4.8</v>
      </c>
      <c r="I32" s="251">
        <f t="shared" si="13"/>
        <v>11.6</v>
      </c>
      <c r="J32" s="251">
        <f t="shared" si="13"/>
        <v>3.8999999999999995</v>
      </c>
      <c r="K32" s="251">
        <f t="shared" si="13"/>
        <v>1</v>
      </c>
      <c r="L32" s="251">
        <f t="shared" si="13"/>
        <v>4.5</v>
      </c>
      <c r="M32" s="251">
        <f t="shared" si="13"/>
        <v>2.5</v>
      </c>
      <c r="N32" s="251">
        <f t="shared" si="13"/>
        <v>2.6</v>
      </c>
      <c r="O32" s="251">
        <f t="shared" si="13"/>
        <v>7.8000000000000007</v>
      </c>
      <c r="P32" s="251">
        <f t="shared" si="13"/>
        <v>4.3999999999999995</v>
      </c>
      <c r="Q32" s="251">
        <f t="shared" si="13"/>
        <v>4.6440000000000001</v>
      </c>
      <c r="R32" s="251">
        <f>SUM('DATA-Grondbone - Groundnuts'!R28:R31)</f>
        <v>7.8409999999999993</v>
      </c>
      <c r="S32" s="251">
        <f t="shared" ref="S32:Z32" si="14">SUM(S28:S31)</f>
        <v>7.37</v>
      </c>
      <c r="T32" s="251">
        <f t="shared" si="14"/>
        <v>4.391</v>
      </c>
      <c r="U32" s="251">
        <f t="shared" si="14"/>
        <v>4.0600000000000005</v>
      </c>
      <c r="V32" s="524">
        <f>SUM(V28:V31)</f>
        <v>2951</v>
      </c>
      <c r="W32" s="524">
        <f>SUM(W28:W31)</f>
        <v>2972</v>
      </c>
      <c r="X32" s="524">
        <f>SUM(X28:X31)</f>
        <v>4652</v>
      </c>
      <c r="Y32" s="524">
        <f>SUM(Y28:Y31)</f>
        <v>4079.1</v>
      </c>
      <c r="Z32" s="524">
        <f t="shared" si="14"/>
        <v>3094</v>
      </c>
      <c r="AA32" s="633">
        <f>SUM(AA28:AA31)</f>
        <v>866</v>
      </c>
      <c r="AB32" s="620">
        <f>SUM(AB28:AB31)</f>
        <v>3132.6</v>
      </c>
      <c r="AC32" s="617">
        <f>AB32</f>
        <v>3132.6</v>
      </c>
      <c r="AD32" s="617">
        <f>AB32</f>
        <v>3132.6</v>
      </c>
    </row>
    <row r="33" spans="1:30" x14ac:dyDescent="0.25">
      <c r="A33" s="598" t="s">
        <v>175</v>
      </c>
      <c r="B33" s="251">
        <f>B26+B32</f>
        <v>84.4</v>
      </c>
      <c r="C33" s="251">
        <f t="shared" ref="C33:Q33" si="15">C26+C32</f>
        <v>100.1</v>
      </c>
      <c r="D33" s="251">
        <f t="shared" si="15"/>
        <v>83.6</v>
      </c>
      <c r="E33" s="251">
        <f t="shared" si="15"/>
        <v>86.3</v>
      </c>
      <c r="F33" s="251">
        <f t="shared" si="15"/>
        <v>93.600000000000009</v>
      </c>
      <c r="G33" s="251">
        <f t="shared" si="15"/>
        <v>73.7</v>
      </c>
      <c r="H33" s="251">
        <f t="shared" si="15"/>
        <v>62.099999999999994</v>
      </c>
      <c r="I33" s="251">
        <f t="shared" si="15"/>
        <v>78.400000000000006</v>
      </c>
      <c r="J33" s="251">
        <f t="shared" si="15"/>
        <v>62.199999999999996</v>
      </c>
      <c r="K33" s="251">
        <f t="shared" si="15"/>
        <v>59.5</v>
      </c>
      <c r="L33" s="251">
        <f t="shared" si="15"/>
        <v>69.800000000000011</v>
      </c>
      <c r="M33" s="251">
        <f t="shared" si="15"/>
        <v>62.4</v>
      </c>
      <c r="N33" s="251">
        <f t="shared" si="15"/>
        <v>71.899999999999991</v>
      </c>
      <c r="O33" s="251">
        <f t="shared" si="15"/>
        <v>68.099999999999994</v>
      </c>
      <c r="P33" s="251">
        <f t="shared" si="15"/>
        <v>58.1</v>
      </c>
      <c r="Q33" s="251">
        <f t="shared" si="15"/>
        <v>58.368999999999993</v>
      </c>
      <c r="R33" s="251">
        <f t="shared" ref="R33:Z33" si="16">R26+R32</f>
        <v>61.369</v>
      </c>
      <c r="S33" s="251">
        <f t="shared" si="16"/>
        <v>72.051999999999992</v>
      </c>
      <c r="T33" s="251">
        <f t="shared" si="16"/>
        <v>64.837000000000003</v>
      </c>
      <c r="U33" s="251">
        <f t="shared" si="16"/>
        <v>66.671999999999997</v>
      </c>
      <c r="V33" s="524">
        <f>V26+V32</f>
        <v>71958</v>
      </c>
      <c r="W33" s="524">
        <f>W26+W32</f>
        <v>67516</v>
      </c>
      <c r="X33" s="524">
        <f>X26+X32</f>
        <v>68909</v>
      </c>
      <c r="Y33" s="524">
        <f t="shared" si="16"/>
        <v>10401.1</v>
      </c>
      <c r="Z33" s="524">
        <f t="shared" si="16"/>
        <v>68421</v>
      </c>
      <c r="AA33" s="627">
        <f>AA26+AA32</f>
        <v>59035</v>
      </c>
      <c r="AB33" s="614">
        <f t="shared" ref="AB33:AD33" si="17">AB26+AB32</f>
        <v>66192.800000000003</v>
      </c>
      <c r="AC33" s="614">
        <f t="shared" si="17"/>
        <v>66192.800000000003</v>
      </c>
      <c r="AD33" s="614">
        <f t="shared" si="17"/>
        <v>66192.800000000003</v>
      </c>
    </row>
    <row r="34" spans="1:30" x14ac:dyDescent="0.25">
      <c r="A34" s="597" t="s">
        <v>69</v>
      </c>
      <c r="B34" s="251">
        <v>22.9</v>
      </c>
      <c r="C34" s="251">
        <v>33.9</v>
      </c>
      <c r="D34" s="251">
        <v>44.9</v>
      </c>
      <c r="E34" s="251">
        <v>50.5</v>
      </c>
      <c r="F34" s="251">
        <v>48.9</v>
      </c>
      <c r="G34" s="251">
        <v>20.399999999999999</v>
      </c>
      <c r="H34" s="251">
        <v>21.1</v>
      </c>
      <c r="I34" s="251">
        <v>22.2</v>
      </c>
      <c r="J34" s="251">
        <v>17.8</v>
      </c>
      <c r="K34" s="251">
        <v>11.3</v>
      </c>
      <c r="L34" s="251">
        <v>22.6</v>
      </c>
      <c r="M34" s="251">
        <v>15.6</v>
      </c>
      <c r="N34" s="251">
        <v>28.7</v>
      </c>
      <c r="O34" s="251">
        <v>20.100000000000001</v>
      </c>
      <c r="P34" s="251">
        <v>15.3</v>
      </c>
      <c r="Q34" s="251">
        <v>10.443</v>
      </c>
      <c r="R34" s="251">
        <v>12.135999999999999</v>
      </c>
      <c r="S34" s="251">
        <v>15.426</v>
      </c>
      <c r="T34" s="251">
        <v>8.4079999999999995</v>
      </c>
      <c r="U34" s="251">
        <v>11.505000000000001</v>
      </c>
      <c r="V34" s="524">
        <v>10372</v>
      </c>
      <c r="W34" s="524">
        <v>4913</v>
      </c>
      <c r="X34" s="524">
        <v>6253</v>
      </c>
      <c r="Y34" s="524">
        <v>6831</v>
      </c>
      <c r="Z34" s="524">
        <v>8343</v>
      </c>
      <c r="AA34" s="630">
        <v>6833</v>
      </c>
      <c r="AB34" s="617">
        <f>AVERAGE(W34:AA34)</f>
        <v>6634.6</v>
      </c>
      <c r="AC34" s="617">
        <f>AB34</f>
        <v>6634.6</v>
      </c>
      <c r="AD34" s="617">
        <v>12125</v>
      </c>
    </row>
    <row r="35" spans="1:30" s="109" customFormat="1" ht="13.8" thickBot="1" x14ac:dyDescent="0.3">
      <c r="A35" s="599" t="s">
        <v>70</v>
      </c>
      <c r="B35" s="230">
        <f>B33+B34</f>
        <v>107.30000000000001</v>
      </c>
      <c r="C35" s="230">
        <f t="shared" ref="C35:O35" si="18">C33+C34</f>
        <v>134</v>
      </c>
      <c r="D35" s="230">
        <f t="shared" si="18"/>
        <v>128.5</v>
      </c>
      <c r="E35" s="230">
        <f t="shared" si="18"/>
        <v>136.80000000000001</v>
      </c>
      <c r="F35" s="230">
        <f t="shared" si="18"/>
        <v>142.5</v>
      </c>
      <c r="G35" s="230">
        <f t="shared" si="18"/>
        <v>94.1</v>
      </c>
      <c r="H35" s="230">
        <f t="shared" si="18"/>
        <v>83.199999999999989</v>
      </c>
      <c r="I35" s="230">
        <f t="shared" si="18"/>
        <v>100.60000000000001</v>
      </c>
      <c r="J35" s="230">
        <f t="shared" si="18"/>
        <v>80</v>
      </c>
      <c r="K35" s="230">
        <f t="shared" si="18"/>
        <v>70.8</v>
      </c>
      <c r="L35" s="230">
        <f t="shared" si="18"/>
        <v>92.4</v>
      </c>
      <c r="M35" s="230">
        <f t="shared" si="18"/>
        <v>78</v>
      </c>
      <c r="N35" s="230">
        <f t="shared" si="18"/>
        <v>100.6</v>
      </c>
      <c r="O35" s="230">
        <f t="shared" si="18"/>
        <v>88.199999999999989</v>
      </c>
      <c r="P35" s="230">
        <f t="shared" ref="P35:Z35" si="19">P33+P34</f>
        <v>73.400000000000006</v>
      </c>
      <c r="Q35" s="230">
        <f t="shared" si="19"/>
        <v>68.811999999999998</v>
      </c>
      <c r="R35" s="230">
        <f t="shared" si="19"/>
        <v>73.504999999999995</v>
      </c>
      <c r="S35" s="230">
        <f t="shared" si="19"/>
        <v>87.477999999999994</v>
      </c>
      <c r="T35" s="230">
        <f t="shared" si="19"/>
        <v>73.245000000000005</v>
      </c>
      <c r="U35" s="230">
        <f t="shared" si="19"/>
        <v>78.176999999999992</v>
      </c>
      <c r="V35" s="525">
        <f>V33+V34</f>
        <v>82330</v>
      </c>
      <c r="W35" s="525">
        <f t="shared" si="19"/>
        <v>72429</v>
      </c>
      <c r="X35" s="525">
        <f>X33+X34</f>
        <v>75162</v>
      </c>
      <c r="Y35" s="525">
        <f>Y33+Y34</f>
        <v>17232.099999999999</v>
      </c>
      <c r="Z35" s="525">
        <f t="shared" si="19"/>
        <v>76764</v>
      </c>
      <c r="AA35" s="628">
        <f>AA33+AA34</f>
        <v>65868</v>
      </c>
      <c r="AB35" s="615">
        <f t="shared" ref="AB35:AD35" si="20">AB33+AB34</f>
        <v>72827.400000000009</v>
      </c>
      <c r="AC35" s="615">
        <f t="shared" si="20"/>
        <v>72827.400000000009</v>
      </c>
      <c r="AD35" s="615">
        <f t="shared" si="20"/>
        <v>78317.8</v>
      </c>
    </row>
    <row r="36" spans="1:30" ht="9.6" customHeight="1" thickBot="1" x14ac:dyDescent="0.3">
      <c r="A36" s="60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526"/>
      <c r="W36" s="526"/>
      <c r="X36" s="527"/>
      <c r="Y36" s="527">
        <v>32297</v>
      </c>
      <c r="Z36" s="566"/>
      <c r="AA36" s="628"/>
      <c r="AB36" s="615"/>
      <c r="AC36" s="615"/>
      <c r="AD36" s="615"/>
    </row>
    <row r="37" spans="1:30" s="109" customFormat="1" ht="13.8" thickBot="1" x14ac:dyDescent="0.3">
      <c r="A37" s="593" t="s">
        <v>176</v>
      </c>
      <c r="B37" s="121">
        <f t="shared" ref="B37:H37" si="21">(B18-B35)</f>
        <v>24.599999999999994</v>
      </c>
      <c r="C37" s="121">
        <f t="shared" si="21"/>
        <v>31.399999999999977</v>
      </c>
      <c r="D37" s="121">
        <f t="shared" si="21"/>
        <v>37.399999999999977</v>
      </c>
      <c r="E37" s="121">
        <f t="shared" si="21"/>
        <v>89.799999999999955</v>
      </c>
      <c r="F37" s="121">
        <f t="shared" si="21"/>
        <v>43.499999999999943</v>
      </c>
      <c r="G37" s="121">
        <f t="shared" si="21"/>
        <v>19.899999999999949</v>
      </c>
      <c r="H37" s="121">
        <f t="shared" si="21"/>
        <v>56.69999999999996</v>
      </c>
      <c r="I37" s="121">
        <f>I18-I35</f>
        <v>9.6999999999999602</v>
      </c>
      <c r="J37" s="121">
        <f>(J18-J35)</f>
        <v>18.799999999999955</v>
      </c>
      <c r="K37" s="121">
        <f>(K18-K35)</f>
        <v>21.799999999999969</v>
      </c>
      <c r="L37" s="121">
        <f>(L18-L35)</f>
        <v>30.099999999999966</v>
      </c>
      <c r="M37" s="121">
        <f>(M18-M35)</f>
        <v>46.999999999999972</v>
      </c>
      <c r="N37" s="121">
        <f t="shared" ref="N37:S37" si="22">N18-N35</f>
        <v>31.399999999999949</v>
      </c>
      <c r="O37" s="121">
        <f t="shared" si="22"/>
        <v>16.599999999999952</v>
      </c>
      <c r="P37" s="121">
        <f t="shared" si="22"/>
        <v>18.29999999999994</v>
      </c>
      <c r="Q37" s="121">
        <f t="shared" si="22"/>
        <v>15.658000000000001</v>
      </c>
      <c r="R37" s="121">
        <f t="shared" si="22"/>
        <v>25.055999999999997</v>
      </c>
      <c r="S37" s="121">
        <f t="shared" si="22"/>
        <v>12.174000000000007</v>
      </c>
      <c r="T37" s="121">
        <f>T18-T35</f>
        <v>8.2530000000000001</v>
      </c>
      <c r="U37" s="121">
        <f>U18-U35</f>
        <v>38.900000000000006</v>
      </c>
      <c r="V37" s="528">
        <f>V18-V35</f>
        <v>25264</v>
      </c>
      <c r="W37" s="528">
        <f>W18-W35</f>
        <v>7441</v>
      </c>
      <c r="X37" s="529">
        <f>X18-X35</f>
        <v>14312</v>
      </c>
      <c r="Y37" s="529">
        <v>22658</v>
      </c>
      <c r="Z37" s="567">
        <f>+(Z18-Z35)</f>
        <v>9513</v>
      </c>
      <c r="AA37" s="634">
        <f>+(AA18-AA35)</f>
        <v>20555</v>
      </c>
      <c r="AB37" s="621">
        <f t="shared" ref="AB37:AD37" si="23">+(AB18-AB35)</f>
        <v>7481.5169734215306</v>
      </c>
      <c r="AC37" s="621">
        <f t="shared" si="23"/>
        <v>7480.8766991845478</v>
      </c>
      <c r="AD37" s="621">
        <f t="shared" si="23"/>
        <v>8270.1792322627298</v>
      </c>
    </row>
    <row r="38" spans="1:30" ht="9.6" customHeight="1" thickBot="1" x14ac:dyDescent="0.3">
      <c r="A38" s="601"/>
      <c r="B38" s="530"/>
      <c r="C38" s="530"/>
      <c r="D38" s="530"/>
      <c r="E38" s="530"/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1"/>
      <c r="W38" s="531"/>
      <c r="X38" s="532"/>
      <c r="Y38" s="532"/>
      <c r="Z38" s="568"/>
      <c r="AA38" s="629"/>
      <c r="AB38" s="616"/>
      <c r="AC38" s="616"/>
      <c r="AD38" s="616"/>
    </row>
    <row r="39" spans="1:30" ht="13.8" thickBot="1" x14ac:dyDescent="0.3">
      <c r="A39" s="591" t="s">
        <v>72</v>
      </c>
      <c r="B39" s="118">
        <f t="shared" ref="B39:Q39" si="24">(B26/12*3)</f>
        <v>8.5500000000000007</v>
      </c>
      <c r="C39" s="118">
        <f t="shared" si="24"/>
        <v>15.375</v>
      </c>
      <c r="D39" s="118">
        <f t="shared" si="24"/>
        <v>13.824999999999999</v>
      </c>
      <c r="E39" s="118">
        <f t="shared" si="24"/>
        <v>15.524999999999999</v>
      </c>
      <c r="F39" s="118">
        <f t="shared" si="24"/>
        <v>19.900000000000002</v>
      </c>
      <c r="G39" s="118">
        <f t="shared" si="24"/>
        <v>14.725000000000001</v>
      </c>
      <c r="H39" s="118">
        <f t="shared" si="24"/>
        <v>14.324999999999999</v>
      </c>
      <c r="I39" s="118">
        <f t="shared" si="24"/>
        <v>16.700000000000003</v>
      </c>
      <c r="J39" s="118">
        <f t="shared" si="24"/>
        <v>14.574999999999999</v>
      </c>
      <c r="K39" s="118">
        <f t="shared" si="24"/>
        <v>14.625</v>
      </c>
      <c r="L39" s="118">
        <f t="shared" si="24"/>
        <v>16.325000000000003</v>
      </c>
      <c r="M39" s="118">
        <f t="shared" si="24"/>
        <v>14.974999999999998</v>
      </c>
      <c r="N39" s="118">
        <f t="shared" si="24"/>
        <v>17.324999999999999</v>
      </c>
      <c r="O39" s="118">
        <f t="shared" si="24"/>
        <v>15.074999999999999</v>
      </c>
      <c r="P39" s="118">
        <f t="shared" si="24"/>
        <v>13.425000000000001</v>
      </c>
      <c r="Q39" s="118">
        <f t="shared" si="24"/>
        <v>13.431249999999999</v>
      </c>
      <c r="R39" s="118">
        <f>(R26/12*3)</f>
        <v>13.382</v>
      </c>
      <c r="S39" s="118">
        <f>(S26/12*3)</f>
        <v>16.170499999999997</v>
      </c>
      <c r="T39" s="118">
        <f>(T26/12*3)</f>
        <v>15.111499999999999</v>
      </c>
      <c r="U39" s="118">
        <f>(U26/12*3)</f>
        <v>15.653000000000002</v>
      </c>
      <c r="V39" s="522">
        <f>(V26/12*1.5)</f>
        <v>8625.875</v>
      </c>
      <c r="W39" s="522">
        <f>(W26/12*1.5)</f>
        <v>8068</v>
      </c>
      <c r="X39" s="533">
        <f>(X26/12*1.5)</f>
        <v>8032.125</v>
      </c>
      <c r="Y39" s="533">
        <f>(Y26/12)*1.5</f>
        <v>790.25</v>
      </c>
      <c r="Z39" s="569">
        <f>(Z26/12)*1.5</f>
        <v>8165.875</v>
      </c>
      <c r="AA39" s="635">
        <f>(AA26/12)*1.5</f>
        <v>7271.125</v>
      </c>
      <c r="AB39" s="622">
        <f t="shared" ref="AB39:AD39" si="25">(AB26/12)*1.5</f>
        <v>7882.5250000000015</v>
      </c>
      <c r="AC39" s="622">
        <f t="shared" si="25"/>
        <v>7882.5250000000015</v>
      </c>
      <c r="AD39" s="622">
        <f t="shared" si="25"/>
        <v>7882.5250000000015</v>
      </c>
    </row>
    <row r="40" spans="1:30" ht="9" customHeight="1" thickBot="1" x14ac:dyDescent="0.3">
      <c r="A40" s="591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522"/>
      <c r="W40" s="522"/>
      <c r="X40" s="533"/>
      <c r="Y40" s="533"/>
      <c r="Z40" s="568"/>
      <c r="AA40" s="629"/>
      <c r="AB40" s="616"/>
      <c r="AC40" s="616"/>
      <c r="AD40" s="616"/>
    </row>
    <row r="41" spans="1:30" ht="13.8" thickBot="1" x14ac:dyDescent="0.3">
      <c r="A41" s="602" t="s">
        <v>73</v>
      </c>
      <c r="B41" s="120">
        <f t="shared" ref="B41:P41" si="26">+B37-B39</f>
        <v>16.049999999999994</v>
      </c>
      <c r="C41" s="120">
        <f t="shared" si="26"/>
        <v>16.024999999999977</v>
      </c>
      <c r="D41" s="120">
        <f t="shared" si="26"/>
        <v>23.574999999999978</v>
      </c>
      <c r="E41" s="120">
        <f t="shared" si="26"/>
        <v>74.274999999999949</v>
      </c>
      <c r="F41" s="120">
        <f t="shared" si="26"/>
        <v>23.599999999999941</v>
      </c>
      <c r="G41" s="120">
        <f t="shared" si="26"/>
        <v>5.1749999999999474</v>
      </c>
      <c r="H41" s="120">
        <f t="shared" si="26"/>
        <v>42.374999999999957</v>
      </c>
      <c r="I41" s="120">
        <f t="shared" si="26"/>
        <v>-7.0000000000000426</v>
      </c>
      <c r="J41" s="120">
        <f t="shared" si="26"/>
        <v>4.2249999999999552</v>
      </c>
      <c r="K41" s="120">
        <f t="shared" si="26"/>
        <v>7.1749999999999687</v>
      </c>
      <c r="L41" s="120">
        <f t="shared" si="26"/>
        <v>13.774999999999963</v>
      </c>
      <c r="M41" s="120">
        <f t="shared" si="26"/>
        <v>32.024999999999977</v>
      </c>
      <c r="N41" s="120">
        <f t="shared" si="26"/>
        <v>14.07499999999995</v>
      </c>
      <c r="O41" s="120">
        <f t="shared" si="26"/>
        <v>1.5249999999999524</v>
      </c>
      <c r="P41" s="120">
        <f t="shared" si="26"/>
        <v>4.8749999999999396</v>
      </c>
      <c r="Q41" s="120">
        <f t="shared" ref="Q41:Z41" si="27">+Q37-Q39</f>
        <v>2.2267500000000027</v>
      </c>
      <c r="R41" s="120">
        <f t="shared" si="27"/>
        <v>11.673999999999998</v>
      </c>
      <c r="S41" s="120">
        <f t="shared" si="27"/>
        <v>-3.9964999999999904</v>
      </c>
      <c r="T41" s="120">
        <f t="shared" si="27"/>
        <v>-6.8584999999999994</v>
      </c>
      <c r="U41" s="120">
        <f t="shared" si="27"/>
        <v>23.247000000000003</v>
      </c>
      <c r="V41" s="534">
        <f t="shared" si="27"/>
        <v>16638.125</v>
      </c>
      <c r="W41" s="534">
        <f>+W37-W39</f>
        <v>-627</v>
      </c>
      <c r="X41" s="535">
        <f>+X37-X39</f>
        <v>6279.875</v>
      </c>
      <c r="Y41" s="535">
        <f t="shared" si="27"/>
        <v>21867.75</v>
      </c>
      <c r="Z41" s="566">
        <f t="shared" si="27"/>
        <v>1347.125</v>
      </c>
      <c r="AA41" s="628">
        <f>+AA37-AA39</f>
        <v>13283.875</v>
      </c>
      <c r="AB41" s="615">
        <f t="shared" ref="AB41:AD41" si="28">+AB37-AB39</f>
        <v>-401.00802657847089</v>
      </c>
      <c r="AC41" s="615">
        <f t="shared" si="28"/>
        <v>-401.64830081545369</v>
      </c>
      <c r="AD41" s="615">
        <f t="shared" si="28"/>
        <v>387.65423226272833</v>
      </c>
    </row>
    <row r="42" spans="1:30" ht="7.2" customHeight="1" x14ac:dyDescent="0.25">
      <c r="A42" s="603"/>
      <c r="B42" s="536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6"/>
      <c r="W42" s="536"/>
      <c r="X42" s="537"/>
      <c r="Y42" s="537"/>
      <c r="Z42" s="570"/>
      <c r="AA42" s="577"/>
      <c r="AB42" s="582"/>
      <c r="AC42" s="582"/>
      <c r="AD42" s="582"/>
    </row>
    <row r="43" spans="1:30" ht="26.4" x14ac:dyDescent="0.25">
      <c r="A43" s="604" t="s">
        <v>74</v>
      </c>
      <c r="B43" s="125">
        <f>B37/B33</f>
        <v>0.29146919431279611</v>
      </c>
      <c r="C43" s="125">
        <f t="shared" ref="C43:O43" si="29">C37/C33</f>
        <v>0.3136863136863135</v>
      </c>
      <c r="D43" s="125">
        <f t="shared" si="29"/>
        <v>0.44736842105263136</v>
      </c>
      <c r="E43" s="125">
        <f t="shared" si="29"/>
        <v>1.0405561993047503</v>
      </c>
      <c r="F43" s="125">
        <f t="shared" si="29"/>
        <v>0.46474358974358909</v>
      </c>
      <c r="G43" s="125">
        <f t="shared" si="29"/>
        <v>0.27001356852103048</v>
      </c>
      <c r="H43" s="125">
        <f t="shared" si="29"/>
        <v>0.91304347826086896</v>
      </c>
      <c r="I43" s="125">
        <f t="shared" si="29"/>
        <v>0.12372448979591785</v>
      </c>
      <c r="J43" s="125">
        <f t="shared" si="29"/>
        <v>0.30225080385852021</v>
      </c>
      <c r="K43" s="125">
        <f t="shared" si="29"/>
        <v>0.36638655462184821</v>
      </c>
      <c r="L43" s="125">
        <f t="shared" si="29"/>
        <v>0.43123209169054383</v>
      </c>
      <c r="M43" s="125">
        <f t="shared" si="29"/>
        <v>0.75320512820512775</v>
      </c>
      <c r="N43" s="125">
        <f t="shared" si="29"/>
        <v>0.43671766342141799</v>
      </c>
      <c r="O43" s="125">
        <f t="shared" si="29"/>
        <v>0.24375917767988184</v>
      </c>
      <c r="P43" s="125">
        <f t="shared" ref="P43:Y43" si="30">P37/P33</f>
        <v>0.31497418244406095</v>
      </c>
      <c r="Q43" s="125">
        <f t="shared" si="30"/>
        <v>0.26825883602597272</v>
      </c>
      <c r="R43" s="125">
        <f t="shared" si="30"/>
        <v>0.4082843129267219</v>
      </c>
      <c r="S43" s="125">
        <f t="shared" si="30"/>
        <v>0.16896130572364415</v>
      </c>
      <c r="T43" s="125">
        <f t="shared" si="30"/>
        <v>0.12728843098847881</v>
      </c>
      <c r="U43" s="125">
        <f t="shared" si="30"/>
        <v>0.58345332373410141</v>
      </c>
      <c r="V43" s="125">
        <f t="shared" si="30"/>
        <v>0.35109369354345593</v>
      </c>
      <c r="W43" s="125">
        <f>W37/W33</f>
        <v>0.11021091296877777</v>
      </c>
      <c r="X43" s="538">
        <f>X37/X33</f>
        <v>0.20769420540132638</v>
      </c>
      <c r="Y43" s="539">
        <f t="shared" si="30"/>
        <v>2.1784234359827326</v>
      </c>
      <c r="Z43" s="571">
        <f>Z37/Z33</f>
        <v>0.1390362607971237</v>
      </c>
      <c r="AA43" s="578">
        <f>AA37/AA33</f>
        <v>0.34818328110442959</v>
      </c>
      <c r="AB43" s="583">
        <f t="shared" ref="AB43:AD43" si="31">AB37/AB33</f>
        <v>0.11302614443597385</v>
      </c>
      <c r="AC43" s="583">
        <f t="shared" si="31"/>
        <v>0.11301647156767122</v>
      </c>
      <c r="AD43" s="583">
        <f t="shared" si="31"/>
        <v>0.1249407674590398</v>
      </c>
    </row>
    <row r="44" spans="1:30" ht="27" thickBot="1" x14ac:dyDescent="0.3">
      <c r="A44" s="605" t="s">
        <v>75</v>
      </c>
      <c r="B44" s="126">
        <f>B37/B35</f>
        <v>0.22926374650512574</v>
      </c>
      <c r="C44" s="126">
        <f t="shared" ref="C44:O44" si="32">C37/C35</f>
        <v>0.23432835820895506</v>
      </c>
      <c r="D44" s="126">
        <f t="shared" si="32"/>
        <v>0.29105058365758735</v>
      </c>
      <c r="E44" s="126">
        <f t="shared" si="32"/>
        <v>0.65643274853801126</v>
      </c>
      <c r="F44" s="126">
        <f t="shared" si="32"/>
        <v>0.30526315789473646</v>
      </c>
      <c r="G44" s="126">
        <f t="shared" si="32"/>
        <v>0.21147715196599309</v>
      </c>
      <c r="H44" s="126">
        <f t="shared" si="32"/>
        <v>0.68149038461538425</v>
      </c>
      <c r="I44" s="126">
        <f t="shared" si="32"/>
        <v>9.642147117296182E-2</v>
      </c>
      <c r="J44" s="126">
        <f t="shared" si="32"/>
        <v>0.23499999999999943</v>
      </c>
      <c r="K44" s="126">
        <f t="shared" si="32"/>
        <v>0.30790960451977356</v>
      </c>
      <c r="L44" s="126">
        <f t="shared" si="32"/>
        <v>0.32575757575757536</v>
      </c>
      <c r="M44" s="126">
        <f t="shared" si="32"/>
        <v>0.6025641025641022</v>
      </c>
      <c r="N44" s="126">
        <f t="shared" si="32"/>
        <v>0.31212723658051639</v>
      </c>
      <c r="O44" s="126">
        <f t="shared" si="32"/>
        <v>0.18820861678004483</v>
      </c>
      <c r="P44" s="126">
        <f t="shared" ref="P44:Z44" si="33">P37/P35</f>
        <v>0.24931880108991741</v>
      </c>
      <c r="Q44" s="126">
        <f t="shared" si="33"/>
        <v>0.22754752078125912</v>
      </c>
      <c r="R44" s="126">
        <f t="shared" si="33"/>
        <v>0.34087477042378067</v>
      </c>
      <c r="S44" s="126">
        <f t="shared" si="33"/>
        <v>0.13916641898534496</v>
      </c>
      <c r="T44" s="126">
        <f t="shared" si="33"/>
        <v>0.11267663321728445</v>
      </c>
      <c r="U44" s="126">
        <f t="shared" si="33"/>
        <v>0.49758880489146434</v>
      </c>
      <c r="V44" s="126">
        <f t="shared" si="33"/>
        <v>0.30686262601724767</v>
      </c>
      <c r="W44" s="126">
        <f>W37/W35</f>
        <v>0.10273509229728424</v>
      </c>
      <c r="X44" s="540">
        <f>X37/X35</f>
        <v>0.19041536946861445</v>
      </c>
      <c r="Y44" s="541">
        <f t="shared" si="33"/>
        <v>1.314871663929527</v>
      </c>
      <c r="Z44" s="572">
        <f t="shared" si="33"/>
        <v>0.12392527747381585</v>
      </c>
      <c r="AA44" s="579">
        <f>AA37/AA35</f>
        <v>0.31206352098135665</v>
      </c>
      <c r="AB44" s="584">
        <f t="shared" ref="AB44:AD44" si="34">AB37/AB35</f>
        <v>0.10272942564778545</v>
      </c>
      <c r="AC44" s="584">
        <f t="shared" si="34"/>
        <v>0.10272063398095424</v>
      </c>
      <c r="AD44" s="584">
        <f t="shared" si="34"/>
        <v>0.10559769595497741</v>
      </c>
    </row>
    <row r="45" spans="1:30" ht="13.8" thickTop="1" x14ac:dyDescent="0.25">
      <c r="A45" s="606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8"/>
      <c r="P45" s="128"/>
      <c r="Q45" s="128"/>
      <c r="R45" s="128"/>
      <c r="S45" s="542"/>
      <c r="Y45" s="361"/>
      <c r="Z45" s="358"/>
      <c r="AA45" s="580"/>
    </row>
    <row r="46" spans="1:30" x14ac:dyDescent="0.25">
      <c r="A46" s="60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8"/>
      <c r="P46" s="128"/>
      <c r="Q46" s="128"/>
      <c r="R46" s="128"/>
      <c r="S46" s="542"/>
      <c r="Y46" s="361"/>
      <c r="AA46" s="580"/>
      <c r="AC46" s="364" t="s">
        <v>83</v>
      </c>
    </row>
    <row r="47" spans="1:30" x14ac:dyDescent="0.25">
      <c r="A47" s="60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8"/>
      <c r="P47" s="128"/>
      <c r="Q47" s="128"/>
      <c r="R47" s="128"/>
      <c r="S47" s="542"/>
      <c r="Y47" s="573"/>
      <c r="AA47" s="580"/>
      <c r="AC47" s="364" t="s">
        <v>91</v>
      </c>
    </row>
    <row r="48" spans="1:30" x14ac:dyDescent="0.25">
      <c r="A48" s="606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8"/>
      <c r="P48" s="128"/>
      <c r="Q48" s="128"/>
      <c r="R48" s="128"/>
      <c r="S48" s="542"/>
      <c r="Y48" s="573"/>
      <c r="AA48" s="580"/>
      <c r="AC48" s="364" t="s">
        <v>92</v>
      </c>
    </row>
    <row r="49" spans="1:29" x14ac:dyDescent="0.25">
      <c r="A49" s="60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8"/>
      <c r="P49" s="128"/>
      <c r="Q49" s="128"/>
      <c r="R49" s="128"/>
      <c r="S49" s="542"/>
      <c r="Y49" s="573"/>
      <c r="AA49" s="580"/>
      <c r="AC49" s="364" t="s">
        <v>93</v>
      </c>
    </row>
    <row r="50" spans="1:29" x14ac:dyDescent="0.25">
      <c r="A50" s="606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8"/>
      <c r="P50" s="128"/>
      <c r="Q50" s="128"/>
      <c r="R50" s="128"/>
      <c r="S50" s="542"/>
      <c r="Y50" s="573"/>
      <c r="AA50" s="580"/>
      <c r="AC50" s="364" t="s">
        <v>94</v>
      </c>
    </row>
    <row r="51" spans="1:29" x14ac:dyDescent="0.25">
      <c r="A51" s="607"/>
      <c r="B51" s="12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Y51" s="574"/>
      <c r="AA51" s="581"/>
      <c r="AC51" s="364" t="s">
        <v>95</v>
      </c>
    </row>
    <row r="52" spans="1:29" x14ac:dyDescent="0.25">
      <c r="A52" s="607"/>
      <c r="B52" s="12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Y52" s="362"/>
      <c r="AA52" s="581"/>
      <c r="AC52" s="364" t="s">
        <v>96</v>
      </c>
    </row>
    <row r="53" spans="1:29" x14ac:dyDescent="0.25">
      <c r="A53" s="134"/>
      <c r="B53" s="12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AC53" s="364" t="s">
        <v>98</v>
      </c>
    </row>
    <row r="54" spans="1:29" ht="19.2" customHeight="1" x14ac:dyDescent="0.25">
      <c r="A54" s="544"/>
      <c r="B54" s="544"/>
      <c r="C54" s="544"/>
      <c r="D54" s="544"/>
      <c r="E54" s="544"/>
      <c r="F54" s="544"/>
      <c r="G54" s="544"/>
      <c r="H54" s="544"/>
      <c r="I54" s="544"/>
      <c r="J54" s="544"/>
      <c r="K54" s="544"/>
      <c r="L54" s="544"/>
      <c r="M54" s="544"/>
      <c r="N54" s="544"/>
      <c r="O54" s="544"/>
    </row>
    <row r="55" spans="1:29" ht="12.75" customHeight="1" x14ac:dyDescent="0.25">
      <c r="B55" s="545"/>
      <c r="C55" s="545"/>
      <c r="D55" s="545"/>
      <c r="E55" s="545"/>
      <c r="F55" s="545"/>
      <c r="G55" s="545"/>
      <c r="H55" s="545"/>
      <c r="I55" s="545"/>
      <c r="J55" s="546"/>
      <c r="K55" s="546"/>
      <c r="L55" s="546"/>
      <c r="M55" s="546"/>
      <c r="N55" s="546"/>
      <c r="O55" s="546"/>
    </row>
    <row r="56" spans="1:29" x14ac:dyDescent="0.25">
      <c r="A56" s="544"/>
      <c r="B56" s="545"/>
      <c r="C56" s="545"/>
      <c r="D56" s="545"/>
      <c r="E56" s="545"/>
      <c r="F56" s="545"/>
      <c r="G56" s="545"/>
      <c r="H56" s="545"/>
      <c r="I56" s="545"/>
      <c r="J56" s="545"/>
      <c r="K56" s="545"/>
      <c r="L56" s="545"/>
      <c r="M56" s="545"/>
      <c r="N56" s="545"/>
      <c r="O56" s="545"/>
      <c r="Z56" s="1"/>
    </row>
    <row r="57" spans="1:29" x14ac:dyDescent="0.25">
      <c r="D57" s="546"/>
      <c r="E57" s="547"/>
      <c r="F57" s="547"/>
      <c r="G57" s="547"/>
      <c r="H57" s="547"/>
      <c r="I57" s="546"/>
      <c r="J57" s="546"/>
      <c r="K57" s="546"/>
      <c r="L57" s="546"/>
      <c r="M57" s="546"/>
      <c r="N57" s="546"/>
      <c r="O57" s="546"/>
      <c r="Z57" s="1"/>
    </row>
    <row r="58" spans="1:29" x14ac:dyDescent="0.25">
      <c r="B58" s="545"/>
      <c r="C58" s="545"/>
      <c r="D58" s="545"/>
      <c r="E58" s="545"/>
      <c r="F58" s="545"/>
      <c r="G58" s="545"/>
      <c r="H58" s="545"/>
      <c r="I58" s="545"/>
      <c r="J58" s="545"/>
      <c r="K58" s="545"/>
      <c r="L58" s="545"/>
      <c r="M58" s="545"/>
      <c r="N58" s="545"/>
      <c r="O58" s="545"/>
      <c r="Z58" s="1"/>
    </row>
    <row r="59" spans="1:29" x14ac:dyDescent="0.25">
      <c r="D59" s="546"/>
      <c r="E59" s="547"/>
      <c r="F59" s="547"/>
      <c r="G59" s="547"/>
      <c r="H59" s="547"/>
      <c r="I59" s="546"/>
      <c r="J59" s="546"/>
      <c r="K59" s="546"/>
      <c r="L59" s="546"/>
      <c r="M59" s="546"/>
      <c r="N59" s="546"/>
      <c r="O59" s="546"/>
      <c r="Z59" s="1"/>
    </row>
    <row r="60" spans="1:29" x14ac:dyDescent="0.25">
      <c r="B60" s="545"/>
      <c r="C60" s="545"/>
      <c r="D60" s="545"/>
      <c r="E60" s="545"/>
      <c r="F60" s="545"/>
      <c r="G60" s="545"/>
      <c r="H60" s="545"/>
      <c r="I60" s="545"/>
      <c r="J60" s="545"/>
      <c r="K60" s="545"/>
      <c r="L60" s="545"/>
      <c r="M60" s="545"/>
      <c r="N60" s="545"/>
      <c r="O60" s="545"/>
      <c r="Z60" s="1"/>
    </row>
    <row r="61" spans="1:29" x14ac:dyDescent="0.25">
      <c r="D61" s="546"/>
      <c r="E61" s="547"/>
      <c r="F61" s="547"/>
      <c r="G61" s="547"/>
      <c r="H61" s="547"/>
      <c r="I61" s="546"/>
      <c r="J61" s="546"/>
      <c r="K61" s="546"/>
      <c r="L61" s="546"/>
      <c r="M61" s="546"/>
      <c r="N61" s="546"/>
      <c r="O61" s="546"/>
    </row>
    <row r="62" spans="1:29" x14ac:dyDescent="0.25">
      <c r="A62" s="548"/>
      <c r="B62" s="548"/>
      <c r="C62" s="548"/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</row>
    <row r="63" spans="1:29" ht="12.75" customHeight="1" x14ac:dyDescent="0.25">
      <c r="A63" s="608"/>
      <c r="C63" s="135"/>
      <c r="D63" s="135"/>
      <c r="E63" s="135"/>
    </row>
    <row r="64" spans="1:29" x14ac:dyDescent="0.25">
      <c r="B64" s="545"/>
      <c r="C64" s="545"/>
      <c r="D64" s="545"/>
      <c r="E64" s="545"/>
      <c r="F64" s="545"/>
      <c r="G64" s="545"/>
      <c r="H64" s="545"/>
      <c r="I64" s="545"/>
      <c r="J64" s="545"/>
      <c r="K64" s="545"/>
      <c r="L64" s="545"/>
      <c r="M64" s="545"/>
      <c r="N64" s="545"/>
      <c r="O64" s="545"/>
    </row>
    <row r="65" spans="3:5" x14ac:dyDescent="0.25">
      <c r="C65" s="135"/>
      <c r="D65" s="135"/>
      <c r="E65" s="135"/>
    </row>
    <row r="66" spans="3:5" x14ac:dyDescent="0.25">
      <c r="C66" s="135"/>
      <c r="D66" s="135"/>
      <c r="E66" s="135"/>
    </row>
    <row r="67" spans="3:5" x14ac:dyDescent="0.25">
      <c r="C67" s="135"/>
      <c r="D67" s="135"/>
      <c r="E67" s="135"/>
    </row>
    <row r="68" spans="3:5" x14ac:dyDescent="0.25">
      <c r="C68" s="135"/>
      <c r="D68" s="135"/>
      <c r="E68" s="135"/>
    </row>
    <row r="69" spans="3:5" x14ac:dyDescent="0.25">
      <c r="C69" s="135"/>
      <c r="D69" s="135"/>
      <c r="E69" s="135"/>
    </row>
    <row r="70" spans="3:5" x14ac:dyDescent="0.25">
      <c r="C70" s="135"/>
      <c r="D70" s="135"/>
      <c r="E70" s="135"/>
    </row>
    <row r="71" spans="3:5" x14ac:dyDescent="0.25">
      <c r="C71" s="135"/>
      <c r="D71" s="135"/>
      <c r="E71" s="135"/>
    </row>
    <row r="72" spans="3:5" x14ac:dyDescent="0.25">
      <c r="C72" s="135"/>
      <c r="D72" s="135"/>
      <c r="E72" s="135"/>
    </row>
    <row r="73" spans="3:5" x14ac:dyDescent="0.25">
      <c r="C73" s="135"/>
      <c r="D73" s="135"/>
      <c r="E73" s="135"/>
    </row>
    <row r="74" spans="3:5" x14ac:dyDescent="0.25">
      <c r="C74" s="135"/>
      <c r="D74" s="135"/>
      <c r="E74" s="135"/>
    </row>
    <row r="75" spans="3:5" x14ac:dyDescent="0.25">
      <c r="C75" s="135"/>
      <c r="D75" s="135"/>
      <c r="E75" s="135"/>
    </row>
    <row r="76" spans="3:5" x14ac:dyDescent="0.25">
      <c r="C76" s="135"/>
      <c r="D76" s="135"/>
      <c r="E76" s="135"/>
    </row>
    <row r="77" spans="3:5" x14ac:dyDescent="0.25">
      <c r="C77" s="135"/>
      <c r="D77" s="135"/>
      <c r="E77" s="135"/>
    </row>
    <row r="78" spans="3:5" x14ac:dyDescent="0.25">
      <c r="C78" s="135"/>
      <c r="D78" s="135"/>
      <c r="E78" s="135"/>
    </row>
    <row r="79" spans="3:5" x14ac:dyDescent="0.25">
      <c r="C79" s="135"/>
      <c r="D79" s="135"/>
      <c r="E79" s="135"/>
    </row>
    <row r="80" spans="3:5" x14ac:dyDescent="0.25">
      <c r="C80" s="135"/>
      <c r="D80" s="135"/>
      <c r="E80" s="135"/>
    </row>
    <row r="81" spans="5:5" x14ac:dyDescent="0.25">
      <c r="E81" s="135"/>
    </row>
    <row r="82" spans="5:5" x14ac:dyDescent="0.25">
      <c r="E82" s="135"/>
    </row>
    <row r="83" spans="5:5" x14ac:dyDescent="0.25">
      <c r="E83" s="135"/>
    </row>
  </sheetData>
  <phoneticPr fontId="12" type="noConversion"/>
  <printOptions horizontalCentered="1"/>
  <pageMargins left="0.14000000000000001" right="0.14000000000000001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104"/>
  <sheetViews>
    <sheetView zoomScaleNormal="100" workbookViewId="0">
      <pane xSplit="1" ySplit="4" topLeftCell="O9" activePane="bottomRight" state="frozen"/>
      <selection sqref="A1:I1"/>
      <selection pane="topRight" sqref="A1:I1"/>
      <selection pane="bottomLeft" sqref="A1:I1"/>
      <selection pane="bottomRight" sqref="A1:I1"/>
    </sheetView>
  </sheetViews>
  <sheetFormatPr defaultColWidth="8.88671875" defaultRowHeight="13.2" x14ac:dyDescent="0.25"/>
  <cols>
    <col min="1" max="1" width="65.6640625" style="455" customWidth="1"/>
    <col min="2" max="16" width="8.6640625" style="260" hidden="1" customWidth="1"/>
    <col min="17" max="19" width="7.5546875" style="260" hidden="1" customWidth="1"/>
    <col min="20" max="20" width="9.33203125" style="260" hidden="1" customWidth="1"/>
    <col min="21" max="21" width="13.109375" style="260" hidden="1" customWidth="1"/>
    <col min="22" max="22" width="9.33203125" style="260" hidden="1" customWidth="1"/>
    <col min="23" max="23" width="13.109375" style="260" hidden="1" customWidth="1"/>
    <col min="24" max="24" width="9.33203125" style="260" hidden="1" customWidth="1"/>
    <col min="25" max="25" width="10.44140625" style="260" hidden="1" customWidth="1"/>
    <col min="26" max="26" width="14.44140625" style="447" bestFit="1" customWidth="1"/>
    <col min="27" max="27" width="16.109375" style="447" customWidth="1"/>
    <col min="28" max="28" width="10.6640625" style="260" customWidth="1"/>
    <col min="29" max="29" width="10.109375" style="260" customWidth="1"/>
    <col min="30" max="31" width="8.88671875" style="260"/>
    <col min="32" max="32" width="17.44140625" style="260" customWidth="1"/>
    <col min="33" max="16384" width="8.88671875" style="260"/>
  </cols>
  <sheetData>
    <row r="1" spans="1:27" ht="13.8" thickTop="1" x14ac:dyDescent="0.25">
      <c r="A1" s="685" t="s">
        <v>177</v>
      </c>
      <c r="B1" s="697"/>
      <c r="C1" s="698"/>
      <c r="D1" s="6"/>
      <c r="E1" s="698"/>
      <c r="F1" s="6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9"/>
      <c r="T1" s="700"/>
      <c r="U1" s="701"/>
      <c r="V1" s="701"/>
      <c r="W1" s="701"/>
      <c r="X1" s="701"/>
      <c r="Y1" s="701"/>
      <c r="Z1" s="794"/>
    </row>
    <row r="2" spans="1:27" x14ac:dyDescent="0.25">
      <c r="A2" s="686" t="s">
        <v>178</v>
      </c>
      <c r="B2" s="702"/>
      <c r="C2" s="168"/>
      <c r="D2" s="7"/>
      <c r="E2" s="168"/>
      <c r="F2" s="7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703"/>
      <c r="T2" s="704"/>
      <c r="U2" s="705"/>
      <c r="V2" s="705"/>
      <c r="W2" s="705"/>
      <c r="X2" s="705"/>
      <c r="Y2" s="705"/>
      <c r="Z2" s="795"/>
    </row>
    <row r="3" spans="1:27" ht="13.8" thickBot="1" x14ac:dyDescent="0.3">
      <c r="A3" s="706"/>
      <c r="B3" s="707"/>
      <c r="C3" s="708"/>
      <c r="D3" s="708"/>
      <c r="E3" s="161"/>
      <c r="F3" s="708"/>
      <c r="G3" s="708"/>
      <c r="H3" s="708"/>
      <c r="I3" s="708"/>
      <c r="J3" s="708"/>
      <c r="K3" s="708"/>
      <c r="L3" s="708"/>
      <c r="M3" s="8"/>
      <c r="N3" s="708"/>
      <c r="O3" s="708"/>
      <c r="P3" s="708"/>
      <c r="Q3" s="708"/>
      <c r="R3" s="708"/>
      <c r="S3" s="709"/>
      <c r="T3" s="710"/>
      <c r="U3" s="711"/>
      <c r="V3" s="711"/>
      <c r="W3" s="711"/>
      <c r="X3" s="711"/>
      <c r="Y3" s="711"/>
      <c r="Z3" s="732"/>
    </row>
    <row r="4" spans="1:27" ht="13.8" thickBot="1" x14ac:dyDescent="0.3">
      <c r="A4" s="712" t="s">
        <v>179</v>
      </c>
      <c r="B4" s="713"/>
      <c r="C4" s="714"/>
      <c r="D4" s="714"/>
      <c r="E4" s="714"/>
      <c r="F4" s="714"/>
      <c r="G4" s="714"/>
      <c r="H4" s="714"/>
      <c r="I4" s="714"/>
      <c r="J4" s="714"/>
      <c r="K4" s="714"/>
      <c r="L4" s="715"/>
      <c r="M4" s="715"/>
      <c r="N4" s="714"/>
      <c r="O4" s="714"/>
      <c r="P4" s="20" t="s">
        <v>4</v>
      </c>
      <c r="Q4" s="21" t="s">
        <v>4</v>
      </c>
      <c r="R4" s="21" t="s">
        <v>4</v>
      </c>
      <c r="S4" s="77" t="s">
        <v>4</v>
      </c>
      <c r="T4" s="78" t="s">
        <v>4</v>
      </c>
      <c r="U4" s="79" t="s">
        <v>180</v>
      </c>
      <c r="V4" s="80" t="s">
        <v>4</v>
      </c>
      <c r="W4" s="80" t="s">
        <v>180</v>
      </c>
      <c r="X4" s="80" t="s">
        <v>4</v>
      </c>
      <c r="Y4" s="268" t="s">
        <v>4</v>
      </c>
      <c r="Z4" s="21" t="s">
        <v>181</v>
      </c>
      <c r="AA4" s="276" t="s">
        <v>181</v>
      </c>
    </row>
    <row r="5" spans="1:27" ht="33.6" customHeight="1" thickBot="1" x14ac:dyDescent="0.3">
      <c r="A5" s="716">
        <f>'Voorblad-Front'!C5</f>
        <v>45322</v>
      </c>
      <c r="B5" s="707"/>
      <c r="C5" s="708"/>
      <c r="D5" s="708"/>
      <c r="E5" s="708"/>
      <c r="F5" s="708"/>
      <c r="G5" s="708"/>
      <c r="H5" s="708"/>
      <c r="I5" s="708"/>
      <c r="J5" s="708"/>
      <c r="K5" s="708"/>
      <c r="L5" s="717"/>
      <c r="M5" s="717"/>
      <c r="N5" s="708"/>
      <c r="O5" s="708"/>
      <c r="P5" s="22"/>
      <c r="Q5" s="5"/>
      <c r="R5" s="75"/>
      <c r="S5" s="81"/>
      <c r="T5" s="76"/>
      <c r="U5" s="82"/>
      <c r="V5" s="76"/>
      <c r="W5" s="76"/>
      <c r="X5" s="83"/>
      <c r="Y5" s="269"/>
      <c r="Z5" s="310" t="s">
        <v>4</v>
      </c>
      <c r="AA5" s="197" t="s">
        <v>200</v>
      </c>
    </row>
    <row r="6" spans="1:27" s="1" customFormat="1" ht="13.8" thickBot="1" x14ac:dyDescent="0.3">
      <c r="A6" s="687" t="s">
        <v>10</v>
      </c>
      <c r="B6" s="198" t="s">
        <v>182</v>
      </c>
      <c r="C6" s="9" t="s">
        <v>151</v>
      </c>
      <c r="D6" s="19" t="s">
        <v>152</v>
      </c>
      <c r="E6" s="19" t="s">
        <v>153</v>
      </c>
      <c r="F6" s="19" t="s">
        <v>154</v>
      </c>
      <c r="G6" s="19" t="s">
        <v>155</v>
      </c>
      <c r="H6" s="19" t="s">
        <v>156</v>
      </c>
      <c r="I6" s="19" t="s">
        <v>157</v>
      </c>
      <c r="J6" s="19" t="s">
        <v>158</v>
      </c>
      <c r="K6" s="19" t="s">
        <v>159</v>
      </c>
      <c r="L6" s="19" t="s">
        <v>160</v>
      </c>
      <c r="M6" s="19" t="s">
        <v>161</v>
      </c>
      <c r="N6" s="19" t="s">
        <v>162</v>
      </c>
      <c r="O6" s="19" t="s">
        <v>163</v>
      </c>
      <c r="P6" s="19" t="s">
        <v>164</v>
      </c>
      <c r="Q6" s="23" t="s">
        <v>165</v>
      </c>
      <c r="R6" s="23" t="s">
        <v>137</v>
      </c>
      <c r="S6" s="81" t="s">
        <v>30</v>
      </c>
      <c r="T6" s="84" t="s">
        <v>31</v>
      </c>
      <c r="U6" s="85" t="s">
        <v>138</v>
      </c>
      <c r="V6" s="84" t="s">
        <v>32</v>
      </c>
      <c r="W6" s="84" t="s">
        <v>139</v>
      </c>
      <c r="X6" s="84" t="s">
        <v>33</v>
      </c>
      <c r="Y6" s="270" t="s">
        <v>183</v>
      </c>
      <c r="Z6" s="19" t="s">
        <v>35</v>
      </c>
      <c r="AA6" s="277" t="s">
        <v>184</v>
      </c>
    </row>
    <row r="7" spans="1:27" x14ac:dyDescent="0.25">
      <c r="A7" s="688" t="s">
        <v>167</v>
      </c>
      <c r="B7" s="208">
        <v>17</v>
      </c>
      <c r="C7" s="163">
        <v>25</v>
      </c>
      <c r="D7" s="163">
        <v>19.145</v>
      </c>
      <c r="E7" s="163">
        <v>27</v>
      </c>
      <c r="F7" s="718">
        <v>33</v>
      </c>
      <c r="G7" s="718">
        <v>44.2</v>
      </c>
      <c r="H7" s="163">
        <v>45.5</v>
      </c>
      <c r="I7" s="718">
        <v>40.200000000000003</v>
      </c>
      <c r="J7" s="718">
        <v>32</v>
      </c>
      <c r="K7" s="718">
        <v>33.200000000000003</v>
      </c>
      <c r="L7" s="718">
        <v>34</v>
      </c>
      <c r="M7" s="718">
        <v>35.06</v>
      </c>
      <c r="N7" s="719">
        <v>34.82</v>
      </c>
      <c r="O7" s="718">
        <v>43.51</v>
      </c>
      <c r="P7" s="718">
        <v>44.1</v>
      </c>
      <c r="Q7" s="718">
        <v>72.165000000000006</v>
      </c>
      <c r="R7" s="718">
        <v>95</v>
      </c>
      <c r="S7" s="720"/>
      <c r="T7" s="721">
        <v>68.075000000000003</v>
      </c>
      <c r="U7" s="722">
        <v>84</v>
      </c>
      <c r="V7" s="723">
        <v>77000</v>
      </c>
      <c r="W7" s="723">
        <v>74000</v>
      </c>
      <c r="X7" s="723">
        <v>74120</v>
      </c>
      <c r="Y7" s="724">
        <v>100000</v>
      </c>
      <c r="Z7" s="799">
        <v>123510</v>
      </c>
      <c r="AA7" s="812">
        <v>131200</v>
      </c>
    </row>
    <row r="8" spans="1:27" x14ac:dyDescent="0.25">
      <c r="A8" s="689" t="s">
        <v>39</v>
      </c>
      <c r="B8" s="199">
        <f>B9/B7</f>
        <v>1.2352941176470589</v>
      </c>
      <c r="C8" s="11">
        <f t="shared" ref="C8:O8" si="0">C9/C7</f>
        <v>0.92</v>
      </c>
      <c r="D8" s="11">
        <f t="shared" si="0"/>
        <v>1.0603290676416819</v>
      </c>
      <c r="E8" s="11">
        <f t="shared" si="0"/>
        <v>0.9555555555555556</v>
      </c>
      <c r="F8" s="11">
        <f t="shared" si="0"/>
        <v>1.1507575757575759</v>
      </c>
      <c r="G8" s="11">
        <f t="shared" si="0"/>
        <v>0.92307692307692291</v>
      </c>
      <c r="H8" s="11">
        <f t="shared" si="0"/>
        <v>0.70329670329670335</v>
      </c>
      <c r="I8" s="11">
        <f t="shared" si="0"/>
        <v>1.099502487562189</v>
      </c>
      <c r="J8" s="11">
        <f t="shared" si="0"/>
        <v>1.140625</v>
      </c>
      <c r="K8" s="11">
        <f t="shared" si="0"/>
        <v>1.1506024096385543</v>
      </c>
      <c r="L8" s="11">
        <f t="shared" si="0"/>
        <v>0.90588235294117647</v>
      </c>
      <c r="M8" s="11">
        <f t="shared" si="0"/>
        <v>1.1523103251568738</v>
      </c>
      <c r="N8" s="11">
        <f t="shared" si="0"/>
        <v>1.0597357840321653</v>
      </c>
      <c r="O8" s="11">
        <f t="shared" si="0"/>
        <v>1.3514134681682373</v>
      </c>
      <c r="P8" s="11">
        <f>P9/P7</f>
        <v>1.7913832199546484</v>
      </c>
      <c r="Q8" s="11">
        <f>Q9/Q7</f>
        <v>1.5525670338806898</v>
      </c>
      <c r="R8" s="11">
        <f>R9/R7</f>
        <v>1.2736842105263158</v>
      </c>
      <c r="S8" s="86"/>
      <c r="T8" s="71">
        <f t="shared" ref="T8:Y8" si="1">T9/T7</f>
        <v>1.5424164524421593</v>
      </c>
      <c r="U8" s="87">
        <f t="shared" si="1"/>
        <v>1.1130952380952381</v>
      </c>
      <c r="V8" s="88">
        <f t="shared" si="1"/>
        <v>1.3571428571428572</v>
      </c>
      <c r="W8" s="71">
        <f t="shared" si="1"/>
        <v>1.3</v>
      </c>
      <c r="X8" s="71">
        <f t="shared" si="1"/>
        <v>2.2288181327576901</v>
      </c>
      <c r="Y8" s="86">
        <f t="shared" si="1"/>
        <v>1.9810000000000001</v>
      </c>
      <c r="Z8" s="800">
        <v>1.57</v>
      </c>
      <c r="AA8" s="813">
        <f>AA9/AA7</f>
        <v>1.8098323170731707</v>
      </c>
    </row>
    <row r="9" spans="1:27" x14ac:dyDescent="0.25">
      <c r="A9" s="689" t="s">
        <v>185</v>
      </c>
      <c r="B9" s="725">
        <v>21</v>
      </c>
      <c r="C9" s="726">
        <v>23</v>
      </c>
      <c r="D9" s="726">
        <v>20.3</v>
      </c>
      <c r="E9" s="726">
        <v>25.8</v>
      </c>
      <c r="F9" s="726">
        <v>37.975000000000001</v>
      </c>
      <c r="G9" s="726">
        <v>40.799999999999997</v>
      </c>
      <c r="H9" s="726">
        <v>32</v>
      </c>
      <c r="I9" s="726">
        <v>44.2</v>
      </c>
      <c r="J9" s="726">
        <v>36.5</v>
      </c>
      <c r="K9" s="726">
        <v>38.200000000000003</v>
      </c>
      <c r="L9" s="726">
        <v>30.8</v>
      </c>
      <c r="M9" s="726">
        <v>40.4</v>
      </c>
      <c r="N9" s="726">
        <v>36.9</v>
      </c>
      <c r="O9" s="726">
        <v>58.8</v>
      </c>
      <c r="P9" s="726">
        <v>79</v>
      </c>
      <c r="Q9" s="726">
        <v>112.041</v>
      </c>
      <c r="R9" s="726">
        <v>121</v>
      </c>
      <c r="S9" s="727">
        <v>93</v>
      </c>
      <c r="T9" s="728">
        <v>105</v>
      </c>
      <c r="U9" s="729">
        <v>93.5</v>
      </c>
      <c r="V9" s="730">
        <v>104500</v>
      </c>
      <c r="W9" s="730">
        <v>96200</v>
      </c>
      <c r="X9" s="730">
        <v>165200</v>
      </c>
      <c r="Y9" s="731">
        <v>198100</v>
      </c>
      <c r="Z9" s="801">
        <v>210000</v>
      </c>
      <c r="AA9" s="814">
        <v>237450</v>
      </c>
    </row>
    <row r="10" spans="1:27" hidden="1" x14ac:dyDescent="0.25">
      <c r="A10" s="689" t="s">
        <v>41</v>
      </c>
      <c r="B10" s="200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24">
        <v>0.2</v>
      </c>
      <c r="Q10" s="12"/>
      <c r="R10" s="12"/>
      <c r="S10" s="89"/>
      <c r="T10" s="72"/>
      <c r="U10" s="90"/>
      <c r="V10" s="72"/>
      <c r="W10" s="72"/>
      <c r="X10" s="72"/>
      <c r="Y10" s="89">
        <v>162</v>
      </c>
      <c r="Z10" s="800"/>
      <c r="AA10" s="813"/>
    </row>
    <row r="11" spans="1:27" hidden="1" x14ac:dyDescent="0.25">
      <c r="A11" s="689" t="s">
        <v>42</v>
      </c>
      <c r="B11" s="200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89"/>
      <c r="T11" s="72"/>
      <c r="U11" s="90"/>
      <c r="V11" s="72"/>
      <c r="W11" s="72"/>
      <c r="X11" s="72"/>
      <c r="Y11" s="89"/>
      <c r="Z11" s="800"/>
      <c r="AA11" s="813"/>
    </row>
    <row r="12" spans="1:27" hidden="1" x14ac:dyDescent="0.25">
      <c r="A12" s="689" t="s">
        <v>43</v>
      </c>
      <c r="B12" s="200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89"/>
      <c r="T12" s="72"/>
      <c r="U12" s="90"/>
      <c r="V12" s="72"/>
      <c r="W12" s="72"/>
      <c r="X12" s="72"/>
      <c r="Y12" s="89"/>
      <c r="Z12" s="800"/>
      <c r="AA12" s="813"/>
    </row>
    <row r="13" spans="1:27" ht="13.8" thickBot="1" x14ac:dyDescent="0.3">
      <c r="A13" s="689" t="s">
        <v>44</v>
      </c>
      <c r="B13" s="200">
        <f>B9-B10-B11+B12</f>
        <v>21</v>
      </c>
      <c r="C13" s="12">
        <f t="shared" ref="C13:O13" si="2">C9-C10-C11+C12</f>
        <v>23</v>
      </c>
      <c r="D13" s="12">
        <f t="shared" si="2"/>
        <v>20.3</v>
      </c>
      <c r="E13" s="12">
        <f t="shared" si="2"/>
        <v>25.8</v>
      </c>
      <c r="F13" s="12">
        <f t="shared" si="2"/>
        <v>37.975000000000001</v>
      </c>
      <c r="G13" s="12">
        <f t="shared" si="2"/>
        <v>40.799999999999997</v>
      </c>
      <c r="H13" s="12">
        <f t="shared" si="2"/>
        <v>32</v>
      </c>
      <c r="I13" s="12">
        <f t="shared" si="2"/>
        <v>44.2</v>
      </c>
      <c r="J13" s="12">
        <f t="shared" si="2"/>
        <v>36.5</v>
      </c>
      <c r="K13" s="12">
        <f t="shared" si="2"/>
        <v>38.200000000000003</v>
      </c>
      <c r="L13" s="12">
        <f t="shared" si="2"/>
        <v>30.8</v>
      </c>
      <c r="M13" s="12">
        <f t="shared" si="2"/>
        <v>40.4</v>
      </c>
      <c r="N13" s="12">
        <f t="shared" si="2"/>
        <v>36.9</v>
      </c>
      <c r="O13" s="12">
        <f t="shared" si="2"/>
        <v>58.8</v>
      </c>
      <c r="P13" s="12">
        <f>P9-P10-P11+P12</f>
        <v>78.8</v>
      </c>
      <c r="Q13" s="12">
        <f>Q9-Q10-Q11+Q12</f>
        <v>112.041</v>
      </c>
      <c r="R13" s="12">
        <f>R9-R10-R11+R12</f>
        <v>121</v>
      </c>
      <c r="S13" s="89"/>
      <c r="T13" s="72">
        <f t="shared" ref="T13:Z13" si="3">T9-T10-T11+T12</f>
        <v>105</v>
      </c>
      <c r="U13" s="90">
        <f t="shared" si="3"/>
        <v>93.5</v>
      </c>
      <c r="V13" s="91">
        <f t="shared" si="3"/>
        <v>104500</v>
      </c>
      <c r="W13" s="91">
        <f t="shared" si="3"/>
        <v>96200</v>
      </c>
      <c r="X13" s="91">
        <f t="shared" si="3"/>
        <v>165200</v>
      </c>
      <c r="Y13" s="271">
        <f t="shared" si="3"/>
        <v>197938</v>
      </c>
      <c r="Z13" s="802">
        <f t="shared" si="3"/>
        <v>210000</v>
      </c>
      <c r="AA13" s="815">
        <f t="shared" ref="AA13" si="4">AA9-AA10-AA11+AA12</f>
        <v>237450</v>
      </c>
    </row>
    <row r="14" spans="1:27" ht="13.8" hidden="1" thickBot="1" x14ac:dyDescent="0.3">
      <c r="A14" s="690"/>
      <c r="B14" s="201" t="s">
        <v>4</v>
      </c>
      <c r="C14" s="10" t="s">
        <v>4</v>
      </c>
      <c r="D14" s="10" t="s">
        <v>4</v>
      </c>
      <c r="E14" s="10" t="s">
        <v>4</v>
      </c>
      <c r="F14" s="10" t="s">
        <v>4</v>
      </c>
      <c r="G14" s="10" t="s">
        <v>4</v>
      </c>
      <c r="H14" s="10" t="s">
        <v>4</v>
      </c>
      <c r="I14" s="10" t="s">
        <v>4</v>
      </c>
      <c r="J14" s="10" t="s">
        <v>4</v>
      </c>
      <c r="K14" s="10" t="s">
        <v>4</v>
      </c>
      <c r="L14" s="10" t="s">
        <v>4</v>
      </c>
      <c r="M14" s="10" t="s">
        <v>4</v>
      </c>
      <c r="N14" s="10" t="s">
        <v>4</v>
      </c>
      <c r="O14" s="10" t="s">
        <v>4</v>
      </c>
      <c r="P14" s="10" t="s">
        <v>4</v>
      </c>
      <c r="Q14" s="10" t="s">
        <v>4</v>
      </c>
      <c r="R14" s="10" t="s">
        <v>4</v>
      </c>
      <c r="S14" s="25"/>
      <c r="T14" s="92" t="s">
        <v>126</v>
      </c>
      <c r="U14" s="93" t="s">
        <v>126</v>
      </c>
      <c r="V14" s="92" t="s">
        <v>126</v>
      </c>
      <c r="W14" s="94" t="s">
        <v>126</v>
      </c>
      <c r="X14" s="94" t="s">
        <v>4</v>
      </c>
      <c r="Y14" s="272" t="s">
        <v>126</v>
      </c>
      <c r="Z14" s="803" t="s">
        <v>126</v>
      </c>
      <c r="AA14" s="816" t="s">
        <v>126</v>
      </c>
    </row>
    <row r="15" spans="1:27" ht="13.8" hidden="1" thickBot="1" x14ac:dyDescent="0.3">
      <c r="A15" s="691"/>
      <c r="B15" s="207" t="s">
        <v>47</v>
      </c>
      <c r="C15" s="161" t="s">
        <v>47</v>
      </c>
      <c r="D15" s="161" t="s">
        <v>47</v>
      </c>
      <c r="E15" s="161" t="s">
        <v>47</v>
      </c>
      <c r="F15" s="161" t="s">
        <v>47</v>
      </c>
      <c r="G15" s="161" t="s">
        <v>47</v>
      </c>
      <c r="H15" s="161" t="s">
        <v>47</v>
      </c>
      <c r="I15" s="161" t="s">
        <v>47</v>
      </c>
      <c r="J15" s="161" t="s">
        <v>47</v>
      </c>
      <c r="K15" s="161" t="s">
        <v>47</v>
      </c>
      <c r="L15" s="161" t="s">
        <v>47</v>
      </c>
      <c r="M15" s="161" t="s">
        <v>47</v>
      </c>
      <c r="N15" s="161" t="s">
        <v>47</v>
      </c>
      <c r="O15" s="161" t="s">
        <v>47</v>
      </c>
      <c r="P15" s="161" t="s">
        <v>47</v>
      </c>
      <c r="Q15" s="161"/>
      <c r="R15" s="161"/>
      <c r="S15" s="732"/>
      <c r="T15" s="733"/>
      <c r="U15" s="734"/>
      <c r="V15" s="733" t="s">
        <v>169</v>
      </c>
      <c r="W15" s="735" t="s">
        <v>169</v>
      </c>
      <c r="X15" s="735" t="s">
        <v>169</v>
      </c>
      <c r="Y15" s="736" t="s">
        <v>169</v>
      </c>
      <c r="Z15" s="804" t="s">
        <v>169</v>
      </c>
      <c r="AA15" s="817">
        <f>AA10</f>
        <v>0</v>
      </c>
    </row>
    <row r="16" spans="1:27" ht="13.8" thickTop="1" x14ac:dyDescent="0.25">
      <c r="A16" s="231" t="s">
        <v>48</v>
      </c>
      <c r="B16" s="202"/>
      <c r="C16" s="344"/>
      <c r="D16" s="163"/>
      <c r="E16" s="344"/>
      <c r="F16" s="163"/>
      <c r="G16" s="344"/>
      <c r="H16" s="737" t="s">
        <v>49</v>
      </c>
      <c r="I16" s="738"/>
      <c r="J16" s="163"/>
      <c r="K16" s="344"/>
      <c r="L16" s="163"/>
      <c r="M16" s="344"/>
      <c r="N16" s="163"/>
      <c r="O16" s="344"/>
      <c r="P16" s="163"/>
      <c r="Q16" s="163"/>
      <c r="R16" s="163"/>
      <c r="S16" s="739"/>
      <c r="T16" s="721"/>
      <c r="U16" s="722"/>
      <c r="V16" s="721"/>
      <c r="W16" s="723"/>
      <c r="X16" s="723"/>
      <c r="Y16" s="724"/>
      <c r="Z16" s="799"/>
      <c r="AA16" s="812"/>
    </row>
    <row r="17" spans="1:27" x14ac:dyDescent="0.25">
      <c r="A17" s="740" t="s">
        <v>186</v>
      </c>
      <c r="B17" s="209">
        <v>0.1</v>
      </c>
      <c r="C17" s="164">
        <f>B39</f>
        <v>6.600000000000005</v>
      </c>
      <c r="D17" s="164">
        <f t="shared" ref="D17:O17" si="5">C39</f>
        <v>8.0000000000000036</v>
      </c>
      <c r="E17" s="164">
        <f t="shared" si="5"/>
        <v>3.4000000000000057</v>
      </c>
      <c r="F17" s="164">
        <f t="shared" si="5"/>
        <v>1.100000000000005</v>
      </c>
      <c r="G17" s="164">
        <f t="shared" si="5"/>
        <v>7.5</v>
      </c>
      <c r="H17" s="164">
        <f t="shared" si="5"/>
        <v>10.5</v>
      </c>
      <c r="I17" s="164">
        <f t="shared" si="5"/>
        <v>10.700000000000003</v>
      </c>
      <c r="J17" s="164">
        <f t="shared" si="5"/>
        <v>15.300000000000004</v>
      </c>
      <c r="K17" s="164">
        <f t="shared" si="5"/>
        <v>10.900000000000006</v>
      </c>
      <c r="L17" s="164">
        <f t="shared" si="5"/>
        <v>10.900000000000006</v>
      </c>
      <c r="M17" s="164">
        <f t="shared" si="5"/>
        <v>10.700000000000006</v>
      </c>
      <c r="N17" s="164">
        <f t="shared" si="5"/>
        <v>9.5000000000000071</v>
      </c>
      <c r="O17" s="164">
        <f t="shared" si="5"/>
        <v>4.4000000000000057</v>
      </c>
      <c r="P17" s="164">
        <f>O39</f>
        <v>6.8999999999999986</v>
      </c>
      <c r="Q17" s="164">
        <v>12.478999999999999</v>
      </c>
      <c r="R17" s="164">
        <v>29.355</v>
      </c>
      <c r="S17" s="741">
        <f>R39</f>
        <v>50.313000000000002</v>
      </c>
      <c r="T17" s="742">
        <v>16.385999999999999</v>
      </c>
      <c r="U17" s="743">
        <v>21.35</v>
      </c>
      <c r="V17" s="730">
        <v>6527</v>
      </c>
      <c r="W17" s="730">
        <f>V39</f>
        <v>18091</v>
      </c>
      <c r="X17" s="730">
        <f>W39</f>
        <v>12526.970000000001</v>
      </c>
      <c r="Y17" s="731">
        <f>X39</f>
        <v>17340.97</v>
      </c>
      <c r="Z17" s="801">
        <v>17341</v>
      </c>
      <c r="AA17" s="814">
        <f>Z39</f>
        <v>35725</v>
      </c>
    </row>
    <row r="18" spans="1:27" s="435" customFormat="1" x14ac:dyDescent="0.25">
      <c r="A18" s="740" t="s">
        <v>51</v>
      </c>
      <c r="B18" s="209">
        <v>22.6</v>
      </c>
      <c r="C18" s="164">
        <v>18.399999999999999</v>
      </c>
      <c r="D18" s="164">
        <v>19</v>
      </c>
      <c r="E18" s="164">
        <v>19.899999999999999</v>
      </c>
      <c r="F18" s="164">
        <v>33.9</v>
      </c>
      <c r="G18" s="164">
        <v>40.799999999999997</v>
      </c>
      <c r="H18" s="164">
        <v>31.5</v>
      </c>
      <c r="I18" s="164">
        <v>42.4</v>
      </c>
      <c r="J18" s="164">
        <v>35.6</v>
      </c>
      <c r="K18" s="164">
        <v>37.6</v>
      </c>
      <c r="L18" s="164">
        <v>30.6</v>
      </c>
      <c r="M18" s="164">
        <v>40.1</v>
      </c>
      <c r="N18" s="164">
        <v>36.9</v>
      </c>
      <c r="O18" s="164">
        <v>58.8</v>
      </c>
      <c r="P18" s="164">
        <v>79.540999999999997</v>
      </c>
      <c r="Q18" s="164">
        <v>112.345</v>
      </c>
      <c r="R18" s="164">
        <v>120.974</v>
      </c>
      <c r="S18" s="741">
        <v>93.543000000000006</v>
      </c>
      <c r="T18" s="742">
        <v>103.996</v>
      </c>
      <c r="U18" s="743">
        <v>92.802000000000007</v>
      </c>
      <c r="V18" s="730">
        <v>112106</v>
      </c>
      <c r="W18" s="730">
        <v>87096</v>
      </c>
      <c r="X18" s="730">
        <v>165078</v>
      </c>
      <c r="Y18" s="731">
        <f>Y13</f>
        <v>197938</v>
      </c>
      <c r="Z18" s="801">
        <v>197938</v>
      </c>
      <c r="AA18" s="814">
        <f>AA13</f>
        <v>237450</v>
      </c>
    </row>
    <row r="19" spans="1:27" s="435" customFormat="1" hidden="1" x14ac:dyDescent="0.25">
      <c r="A19" s="744" t="s">
        <v>187</v>
      </c>
      <c r="B19" s="214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>
        <v>2.9390000000000001</v>
      </c>
      <c r="S19" s="745">
        <v>0.498</v>
      </c>
      <c r="T19" s="746"/>
      <c r="U19" s="747">
        <v>0.74</v>
      </c>
      <c r="V19" s="748">
        <v>1101</v>
      </c>
      <c r="W19" s="748">
        <v>742</v>
      </c>
      <c r="X19" s="748">
        <v>1245</v>
      </c>
      <c r="Y19" s="749">
        <v>1645</v>
      </c>
      <c r="Z19" s="805">
        <v>0</v>
      </c>
      <c r="AA19" s="818">
        <v>0</v>
      </c>
    </row>
    <row r="20" spans="1:27" s="435" customFormat="1" ht="13.8" thickBot="1" x14ac:dyDescent="0.3">
      <c r="A20" s="744" t="s">
        <v>52</v>
      </c>
      <c r="B20" s="214">
        <v>0.1</v>
      </c>
      <c r="C20" s="16">
        <v>0.1</v>
      </c>
      <c r="D20" s="17">
        <v>0</v>
      </c>
      <c r="E20" s="16">
        <v>0</v>
      </c>
      <c r="F20" s="17">
        <v>0</v>
      </c>
      <c r="G20" s="16">
        <v>0</v>
      </c>
      <c r="H20" s="17">
        <v>0</v>
      </c>
      <c r="I20" s="16">
        <v>0</v>
      </c>
      <c r="J20" s="17">
        <v>0</v>
      </c>
      <c r="K20" s="15">
        <v>0</v>
      </c>
      <c r="L20" s="17">
        <v>0</v>
      </c>
      <c r="M20" s="16">
        <v>0</v>
      </c>
      <c r="N20" s="17">
        <v>0</v>
      </c>
      <c r="O20" s="16">
        <v>0</v>
      </c>
      <c r="P20" s="17">
        <v>0</v>
      </c>
      <c r="Q20" s="17">
        <v>0</v>
      </c>
      <c r="R20" s="17">
        <v>0</v>
      </c>
      <c r="S20" s="745"/>
      <c r="T20" s="750">
        <v>20.928000000000001</v>
      </c>
      <c r="U20" s="751">
        <v>0</v>
      </c>
      <c r="V20" s="752"/>
      <c r="W20" s="752">
        <v>0</v>
      </c>
      <c r="X20" s="752">
        <v>0</v>
      </c>
      <c r="Y20" s="753">
        <v>0</v>
      </c>
      <c r="Z20" s="806">
        <v>0</v>
      </c>
      <c r="AA20" s="819">
        <v>0</v>
      </c>
    </row>
    <row r="21" spans="1:27" s="1" customFormat="1" ht="13.8" thickBot="1" x14ac:dyDescent="0.3">
      <c r="A21" s="692" t="s">
        <v>54</v>
      </c>
      <c r="B21" s="203">
        <f t="shared" ref="B21:O21" si="6">+B17+B18+B20</f>
        <v>22.800000000000004</v>
      </c>
      <c r="C21" s="13">
        <f t="shared" si="6"/>
        <v>25.100000000000005</v>
      </c>
      <c r="D21" s="13">
        <f t="shared" si="6"/>
        <v>27.000000000000004</v>
      </c>
      <c r="E21" s="13">
        <f t="shared" si="6"/>
        <v>23.300000000000004</v>
      </c>
      <c r="F21" s="13">
        <f t="shared" si="6"/>
        <v>35</v>
      </c>
      <c r="G21" s="13">
        <f t="shared" si="6"/>
        <v>48.3</v>
      </c>
      <c r="H21" s="13">
        <f t="shared" si="6"/>
        <v>42</v>
      </c>
      <c r="I21" s="13">
        <f t="shared" si="6"/>
        <v>53.1</v>
      </c>
      <c r="J21" s="13">
        <f t="shared" si="6"/>
        <v>50.900000000000006</v>
      </c>
      <c r="K21" s="13">
        <f t="shared" si="6"/>
        <v>48.500000000000007</v>
      </c>
      <c r="L21" s="13">
        <f t="shared" si="6"/>
        <v>41.500000000000007</v>
      </c>
      <c r="M21" s="13">
        <f t="shared" si="6"/>
        <v>50.800000000000011</v>
      </c>
      <c r="N21" s="13">
        <f t="shared" si="6"/>
        <v>46.400000000000006</v>
      </c>
      <c r="O21" s="13">
        <f t="shared" si="6"/>
        <v>63.2</v>
      </c>
      <c r="P21" s="13">
        <f>+P17+P18+P20</f>
        <v>86.441000000000003</v>
      </c>
      <c r="Q21" s="13">
        <f>+Q17+Q18+Q20</f>
        <v>124.824</v>
      </c>
      <c r="R21" s="13">
        <f>R17+R18+R19+R20</f>
        <v>153.268</v>
      </c>
      <c r="S21" s="95">
        <f>SUM(S17:S20)</f>
        <v>144.35399999999998</v>
      </c>
      <c r="T21" s="73">
        <f>+T17+T18+T20</f>
        <v>141.31</v>
      </c>
      <c r="U21" s="96">
        <f>+U17+U18+U20+U19</f>
        <v>114.89200000000001</v>
      </c>
      <c r="V21" s="97">
        <f>+V17+V18+V19+V20</f>
        <v>119734</v>
      </c>
      <c r="W21" s="97">
        <f>+W17+W18+W20+W19</f>
        <v>105929</v>
      </c>
      <c r="X21" s="97">
        <f>SUM(X17:X20)</f>
        <v>178849.97</v>
      </c>
      <c r="Y21" s="273">
        <f>Y17+Y18+Y19</f>
        <v>216923.97</v>
      </c>
      <c r="Z21" s="807">
        <f>+Z17+Z18+Z20</f>
        <v>215279</v>
      </c>
      <c r="AA21" s="820">
        <f t="shared" ref="AA21" si="7">+AA17+AA18+AA20</f>
        <v>273175</v>
      </c>
    </row>
    <row r="22" spans="1:27" s="1" customFormat="1" hidden="1" x14ac:dyDescent="0.25">
      <c r="A22" s="693"/>
      <c r="B22" s="20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98"/>
      <c r="T22" s="74"/>
      <c r="U22" s="99"/>
      <c r="V22" s="100"/>
      <c r="W22" s="100"/>
      <c r="X22" s="100"/>
      <c r="Y22" s="274"/>
      <c r="Z22" s="808"/>
      <c r="AA22" s="821">
        <v>31192</v>
      </c>
    </row>
    <row r="23" spans="1:27" x14ac:dyDescent="0.25">
      <c r="A23" s="694" t="s">
        <v>55</v>
      </c>
      <c r="B23" s="209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741"/>
      <c r="T23" s="742"/>
      <c r="U23" s="743"/>
      <c r="V23" s="730"/>
      <c r="W23" s="730"/>
      <c r="X23" s="730"/>
      <c r="Y23" s="731"/>
      <c r="Z23" s="801"/>
      <c r="AA23" s="814"/>
    </row>
    <row r="24" spans="1:27" x14ac:dyDescent="0.25">
      <c r="A24" s="740" t="s">
        <v>56</v>
      </c>
      <c r="B24" s="212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754"/>
      <c r="T24" s="755"/>
      <c r="U24" s="756"/>
      <c r="V24" s="757"/>
      <c r="W24" s="757"/>
      <c r="X24" s="757"/>
      <c r="Y24" s="758"/>
      <c r="Z24" s="801"/>
      <c r="AA24" s="814"/>
    </row>
    <row r="25" spans="1:27" hidden="1" x14ac:dyDescent="0.25">
      <c r="A25" s="759"/>
      <c r="B25" s="209">
        <v>0</v>
      </c>
      <c r="C25" s="164">
        <v>0</v>
      </c>
      <c r="D25" s="164">
        <v>0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  <c r="P25" s="164">
        <v>0</v>
      </c>
      <c r="Q25" s="164">
        <v>0</v>
      </c>
      <c r="R25" s="164">
        <v>0</v>
      </c>
      <c r="S25" s="741">
        <v>0</v>
      </c>
      <c r="T25" s="742">
        <v>0</v>
      </c>
      <c r="U25" s="743">
        <v>0</v>
      </c>
      <c r="V25" s="730">
        <v>0</v>
      </c>
      <c r="W25" s="730">
        <v>0</v>
      </c>
      <c r="X25" s="730">
        <v>0</v>
      </c>
      <c r="Y25" s="731">
        <v>0</v>
      </c>
      <c r="Z25" s="801">
        <v>0</v>
      </c>
      <c r="AA25" s="814">
        <v>0</v>
      </c>
    </row>
    <row r="26" spans="1:27" x14ac:dyDescent="0.25">
      <c r="A26" s="740" t="s">
        <v>188</v>
      </c>
      <c r="B26" s="209">
        <v>0</v>
      </c>
      <c r="C26" s="164">
        <v>8.3000000000000007</v>
      </c>
      <c r="D26" s="164">
        <v>8</v>
      </c>
      <c r="E26" s="164">
        <v>3.9</v>
      </c>
      <c r="F26" s="164">
        <v>5.8</v>
      </c>
      <c r="G26" s="164">
        <v>11.1</v>
      </c>
      <c r="H26" s="164">
        <v>1.9</v>
      </c>
      <c r="I26" s="164">
        <v>3.8</v>
      </c>
      <c r="J26" s="164">
        <v>1.9</v>
      </c>
      <c r="K26" s="18">
        <v>0</v>
      </c>
      <c r="L26" s="164">
        <v>0</v>
      </c>
      <c r="M26" s="164">
        <v>0.6</v>
      </c>
      <c r="N26" s="164">
        <v>0.1</v>
      </c>
      <c r="O26" s="164">
        <v>0.1</v>
      </c>
      <c r="P26" s="164">
        <v>1.1879999999999999</v>
      </c>
      <c r="Q26" s="164">
        <v>1.823</v>
      </c>
      <c r="R26" s="164">
        <v>0.33900000000000002</v>
      </c>
      <c r="S26" s="741">
        <v>3.198</v>
      </c>
      <c r="T26" s="742">
        <v>4.8769999999999998</v>
      </c>
      <c r="U26" s="743">
        <v>3.0720000000000001</v>
      </c>
      <c r="V26" s="730">
        <v>3823</v>
      </c>
      <c r="W26" s="730">
        <v>2142</v>
      </c>
      <c r="X26" s="730">
        <v>5772</v>
      </c>
      <c r="Y26" s="731">
        <v>6321</v>
      </c>
      <c r="Z26" s="801">
        <v>6322</v>
      </c>
      <c r="AA26" s="814">
        <v>4748</v>
      </c>
    </row>
    <row r="27" spans="1:27" x14ac:dyDescent="0.25">
      <c r="A27" s="740" t="s">
        <v>189</v>
      </c>
      <c r="B27" s="209">
        <v>14.4</v>
      </c>
      <c r="C27" s="164">
        <v>8</v>
      </c>
      <c r="D27" s="164">
        <v>15.4</v>
      </c>
      <c r="E27" s="164">
        <v>17.8</v>
      </c>
      <c r="F27" s="164">
        <v>20.9</v>
      </c>
      <c r="G27" s="164">
        <v>26.3</v>
      </c>
      <c r="H27" s="164">
        <v>29.5</v>
      </c>
      <c r="I27" s="164">
        <v>34.700000000000003</v>
      </c>
      <c r="J27" s="164">
        <v>38</v>
      </c>
      <c r="K27" s="18">
        <v>39.200000000000003</v>
      </c>
      <c r="L27" s="164">
        <v>31</v>
      </c>
      <c r="M27" s="164">
        <v>41.5</v>
      </c>
      <c r="N27" s="164">
        <v>44</v>
      </c>
      <c r="O27" s="164">
        <v>56.6</v>
      </c>
      <c r="P27" s="164">
        <v>74.731999999999999</v>
      </c>
      <c r="Q27" s="164">
        <v>96.489000000000004</v>
      </c>
      <c r="R27" s="164">
        <v>102.54600000000001</v>
      </c>
      <c r="S27" s="741">
        <v>124.637</v>
      </c>
      <c r="T27" s="742">
        <v>115.998</v>
      </c>
      <c r="U27" s="743">
        <v>105.247</v>
      </c>
      <c r="V27" s="730">
        <v>97791</v>
      </c>
      <c r="W27" s="730">
        <v>91237</v>
      </c>
      <c r="X27" s="730">
        <v>125666</v>
      </c>
      <c r="Y27" s="731">
        <v>134648</v>
      </c>
      <c r="Z27" s="801">
        <v>134648</v>
      </c>
      <c r="AA27" s="814">
        <v>195616</v>
      </c>
    </row>
    <row r="28" spans="1:27" x14ac:dyDescent="0.25">
      <c r="A28" s="740" t="s">
        <v>60</v>
      </c>
      <c r="B28" s="209">
        <f>SUM(B25:B27)</f>
        <v>14.4</v>
      </c>
      <c r="C28" s="164">
        <f t="shared" ref="C28:O28" si="8">SUM(C25:C27)</f>
        <v>16.3</v>
      </c>
      <c r="D28" s="164">
        <f t="shared" si="8"/>
        <v>23.4</v>
      </c>
      <c r="E28" s="164">
        <f t="shared" si="8"/>
        <v>21.7</v>
      </c>
      <c r="F28" s="164">
        <f t="shared" si="8"/>
        <v>26.7</v>
      </c>
      <c r="G28" s="164">
        <f t="shared" si="8"/>
        <v>37.4</v>
      </c>
      <c r="H28" s="164">
        <f t="shared" si="8"/>
        <v>31.4</v>
      </c>
      <c r="I28" s="164">
        <f t="shared" si="8"/>
        <v>38.5</v>
      </c>
      <c r="J28" s="164">
        <f t="shared" si="8"/>
        <v>39.9</v>
      </c>
      <c r="K28" s="164">
        <f t="shared" si="8"/>
        <v>39.200000000000003</v>
      </c>
      <c r="L28" s="164">
        <f t="shared" si="8"/>
        <v>31</v>
      </c>
      <c r="M28" s="164">
        <f t="shared" si="8"/>
        <v>42.1</v>
      </c>
      <c r="N28" s="164">
        <f t="shared" si="8"/>
        <v>44.1</v>
      </c>
      <c r="O28" s="164">
        <f t="shared" si="8"/>
        <v>56.7</v>
      </c>
      <c r="P28" s="164">
        <f t="shared" ref="P28:U28" si="9">SUM(P25:P27)</f>
        <v>75.92</v>
      </c>
      <c r="Q28" s="164">
        <f t="shared" si="9"/>
        <v>98.311999999999998</v>
      </c>
      <c r="R28" s="164">
        <f t="shared" si="9"/>
        <v>102.88500000000001</v>
      </c>
      <c r="S28" s="741">
        <f t="shared" si="9"/>
        <v>127.83499999999999</v>
      </c>
      <c r="T28" s="742">
        <f t="shared" si="9"/>
        <v>120.875</v>
      </c>
      <c r="U28" s="743">
        <f t="shared" si="9"/>
        <v>108.319</v>
      </c>
      <c r="V28" s="730">
        <f t="shared" ref="V28:AA28" si="10">SUM(V25:V27)</f>
        <v>101614</v>
      </c>
      <c r="W28" s="730">
        <f t="shared" si="10"/>
        <v>93379</v>
      </c>
      <c r="X28" s="730">
        <f t="shared" si="10"/>
        <v>131438</v>
      </c>
      <c r="Y28" s="731">
        <f t="shared" si="10"/>
        <v>140969</v>
      </c>
      <c r="Z28" s="801">
        <f t="shared" si="10"/>
        <v>140970</v>
      </c>
      <c r="AA28" s="814">
        <f t="shared" si="10"/>
        <v>200364</v>
      </c>
    </row>
    <row r="29" spans="1:27" x14ac:dyDescent="0.25">
      <c r="A29" s="740" t="s">
        <v>61</v>
      </c>
      <c r="B29" s="209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741"/>
      <c r="T29" s="742"/>
      <c r="U29" s="743"/>
      <c r="V29" s="730"/>
      <c r="W29" s="730"/>
      <c r="X29" s="730"/>
      <c r="Y29" s="731"/>
      <c r="Z29" s="801"/>
      <c r="AA29" s="814"/>
    </row>
    <row r="30" spans="1:27" hidden="1" x14ac:dyDescent="0.25">
      <c r="A30" s="740" t="s">
        <v>62</v>
      </c>
      <c r="B30" s="209">
        <v>0</v>
      </c>
      <c r="C30" s="164">
        <v>0</v>
      </c>
      <c r="D30" s="164">
        <v>0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741">
        <v>0</v>
      </c>
      <c r="T30" s="742">
        <v>0</v>
      </c>
      <c r="U30" s="743">
        <v>0</v>
      </c>
      <c r="V30" s="730">
        <v>0</v>
      </c>
      <c r="W30" s="730">
        <v>0</v>
      </c>
      <c r="X30" s="730">
        <v>0</v>
      </c>
      <c r="Y30" s="731"/>
      <c r="Z30" s="801">
        <v>0</v>
      </c>
      <c r="AA30" s="814">
        <v>0</v>
      </c>
    </row>
    <row r="31" spans="1:27" hidden="1" x14ac:dyDescent="0.25">
      <c r="A31" s="740" t="s">
        <v>63</v>
      </c>
      <c r="B31" s="209">
        <v>0</v>
      </c>
      <c r="C31" s="164">
        <v>0.1</v>
      </c>
      <c r="D31" s="164">
        <v>0</v>
      </c>
      <c r="E31" s="164">
        <v>0</v>
      </c>
      <c r="F31" s="164">
        <v>0</v>
      </c>
      <c r="G31" s="164">
        <v>0</v>
      </c>
      <c r="H31" s="164">
        <v>0</v>
      </c>
      <c r="I31" s="164">
        <v>0.1</v>
      </c>
      <c r="J31" s="164">
        <v>0</v>
      </c>
      <c r="K31" s="164">
        <v>0.1</v>
      </c>
      <c r="L31" s="164">
        <v>0</v>
      </c>
      <c r="M31" s="164">
        <v>0</v>
      </c>
      <c r="N31" s="164">
        <v>0.1</v>
      </c>
      <c r="O31" s="164">
        <v>0.8</v>
      </c>
      <c r="P31" s="164">
        <v>0.159</v>
      </c>
      <c r="Q31" s="164">
        <v>3.5000000000000003E-2</v>
      </c>
      <c r="R31" s="164">
        <v>8.8999999999999996E-2</v>
      </c>
      <c r="S31" s="741">
        <v>9.5000000000000001E-2</v>
      </c>
      <c r="T31" s="742">
        <v>0.11799999999999999</v>
      </c>
      <c r="U31" s="743">
        <v>3.1E-2</v>
      </c>
      <c r="V31" s="730">
        <v>30</v>
      </c>
      <c r="W31" s="730">
        <v>24</v>
      </c>
      <c r="X31" s="730">
        <v>14</v>
      </c>
      <c r="Y31" s="731">
        <v>10</v>
      </c>
      <c r="Z31" s="801">
        <v>10</v>
      </c>
      <c r="AA31" s="814">
        <v>8</v>
      </c>
    </row>
    <row r="32" spans="1:27" hidden="1" x14ac:dyDescent="0.25">
      <c r="A32" s="740" t="s">
        <v>64</v>
      </c>
      <c r="B32" s="209">
        <v>0.1</v>
      </c>
      <c r="C32" s="164">
        <v>0</v>
      </c>
      <c r="D32" s="164">
        <v>0.2</v>
      </c>
      <c r="E32" s="164">
        <v>0.1</v>
      </c>
      <c r="F32" s="164">
        <v>0.1</v>
      </c>
      <c r="G32" s="164">
        <v>0</v>
      </c>
      <c r="H32" s="164">
        <v>0.1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741">
        <v>0</v>
      </c>
      <c r="T32" s="742">
        <v>0</v>
      </c>
      <c r="U32" s="743">
        <v>0</v>
      </c>
      <c r="V32" s="730">
        <v>0</v>
      </c>
      <c r="W32" s="730">
        <v>0</v>
      </c>
      <c r="X32" s="730">
        <v>0</v>
      </c>
      <c r="Y32" s="731">
        <v>0</v>
      </c>
      <c r="Z32" s="801">
        <v>0</v>
      </c>
      <c r="AA32" s="814">
        <v>0</v>
      </c>
    </row>
    <row r="33" spans="1:27" hidden="1" x14ac:dyDescent="0.25">
      <c r="A33" s="740" t="s">
        <v>57</v>
      </c>
      <c r="B33" s="214">
        <v>1.7</v>
      </c>
      <c r="C33" s="17">
        <v>0.7</v>
      </c>
      <c r="D33" s="17">
        <v>0</v>
      </c>
      <c r="E33" s="17">
        <v>0.4</v>
      </c>
      <c r="F33" s="17">
        <v>0.7</v>
      </c>
      <c r="G33" s="17">
        <v>0.4</v>
      </c>
      <c r="H33" s="17">
        <v>-0.2</v>
      </c>
      <c r="I33" s="17">
        <v>-0.8</v>
      </c>
      <c r="J33" s="17">
        <v>0.1</v>
      </c>
      <c r="K33" s="17">
        <v>-1.7</v>
      </c>
      <c r="L33" s="17">
        <v>-0.2</v>
      </c>
      <c r="M33" s="17">
        <v>-0.8</v>
      </c>
      <c r="N33" s="17">
        <v>-2.2000000000000002</v>
      </c>
      <c r="O33" s="17">
        <v>-1.2</v>
      </c>
      <c r="P33" s="17">
        <v>-2.1320000000000001</v>
      </c>
      <c r="Q33" s="17">
        <v>-2.883</v>
      </c>
      <c r="R33" s="17">
        <v>-1.9E-2</v>
      </c>
      <c r="S33" s="745">
        <v>3.7999999999999999E-2</v>
      </c>
      <c r="T33" s="742">
        <v>-0.01</v>
      </c>
      <c r="U33" s="743">
        <v>1.4999999999999999E-2</v>
      </c>
      <c r="V33" s="730">
        <v>-1</v>
      </c>
      <c r="W33" s="730">
        <v>-1</v>
      </c>
      <c r="X33" s="730">
        <v>10</v>
      </c>
      <c r="Y33" s="731"/>
      <c r="Z33" s="801"/>
      <c r="AA33" s="814"/>
    </row>
    <row r="34" spans="1:27" x14ac:dyDescent="0.25">
      <c r="A34" s="740" t="s">
        <v>190</v>
      </c>
      <c r="B34" s="165">
        <f>SUM(B30:B33)</f>
        <v>1.8</v>
      </c>
      <c r="C34" s="165">
        <f t="shared" ref="C34:O34" si="11">SUM(C30:C33)</f>
        <v>0.79999999999999993</v>
      </c>
      <c r="D34" s="165">
        <f t="shared" si="11"/>
        <v>0.2</v>
      </c>
      <c r="E34" s="165">
        <f t="shared" si="11"/>
        <v>0.5</v>
      </c>
      <c r="F34" s="165">
        <f t="shared" si="11"/>
        <v>0.79999999999999993</v>
      </c>
      <c r="G34" s="165">
        <f t="shared" si="11"/>
        <v>0.4</v>
      </c>
      <c r="H34" s="165">
        <f t="shared" si="11"/>
        <v>-0.1</v>
      </c>
      <c r="I34" s="165">
        <f t="shared" si="11"/>
        <v>-0.70000000000000007</v>
      </c>
      <c r="J34" s="165">
        <f t="shared" si="11"/>
        <v>0.1</v>
      </c>
      <c r="K34" s="165">
        <f t="shared" si="11"/>
        <v>-1.5999999999999999</v>
      </c>
      <c r="L34" s="165">
        <f t="shared" si="11"/>
        <v>-0.2</v>
      </c>
      <c r="M34" s="165">
        <f t="shared" si="11"/>
        <v>-0.8</v>
      </c>
      <c r="N34" s="165">
        <f t="shared" si="11"/>
        <v>-2.1</v>
      </c>
      <c r="O34" s="165">
        <f t="shared" si="11"/>
        <v>-0.39999999999999991</v>
      </c>
      <c r="P34" s="165">
        <f>SUM(P30:P33)</f>
        <v>-1.9730000000000001</v>
      </c>
      <c r="Q34" s="165">
        <f>SUM(Q30:Q33)</f>
        <v>-2.8479999999999999</v>
      </c>
      <c r="R34" s="165">
        <f>SUM(R30:R33)</f>
        <v>6.9999999999999993E-2</v>
      </c>
      <c r="S34" s="165">
        <v>127.968</v>
      </c>
      <c r="T34" s="165">
        <f t="shared" ref="T34:Y34" si="12">SUM(T30:T33)</f>
        <v>0.108</v>
      </c>
      <c r="U34" s="165">
        <f t="shared" si="12"/>
        <v>4.5999999999999999E-2</v>
      </c>
      <c r="V34" s="760">
        <f t="shared" si="12"/>
        <v>29</v>
      </c>
      <c r="W34" s="760">
        <f t="shared" si="12"/>
        <v>23</v>
      </c>
      <c r="X34" s="760">
        <f t="shared" si="12"/>
        <v>24</v>
      </c>
      <c r="Y34" s="761">
        <f t="shared" si="12"/>
        <v>10</v>
      </c>
      <c r="Z34" s="801">
        <f>SUM(Z30:Z33)</f>
        <v>10</v>
      </c>
      <c r="AA34" s="814">
        <v>10</v>
      </c>
    </row>
    <row r="35" spans="1:27" x14ac:dyDescent="0.25">
      <c r="A35" s="762" t="s">
        <v>175</v>
      </c>
      <c r="B35" s="165">
        <f>B28+B34</f>
        <v>16.2</v>
      </c>
      <c r="C35" s="165">
        <f t="shared" ref="C35:O35" si="13">C28+C34</f>
        <v>17.100000000000001</v>
      </c>
      <c r="D35" s="165">
        <f t="shared" si="13"/>
        <v>23.599999999999998</v>
      </c>
      <c r="E35" s="165">
        <f t="shared" si="13"/>
        <v>22.2</v>
      </c>
      <c r="F35" s="165">
        <f t="shared" si="13"/>
        <v>27.5</v>
      </c>
      <c r="G35" s="165">
        <f t="shared" si="13"/>
        <v>37.799999999999997</v>
      </c>
      <c r="H35" s="165">
        <f t="shared" si="13"/>
        <v>31.299999999999997</v>
      </c>
      <c r="I35" s="165">
        <f t="shared" si="13"/>
        <v>37.799999999999997</v>
      </c>
      <c r="J35" s="165">
        <f t="shared" si="13"/>
        <v>40</v>
      </c>
      <c r="K35" s="165">
        <f t="shared" si="13"/>
        <v>37.6</v>
      </c>
      <c r="L35" s="165">
        <f t="shared" si="13"/>
        <v>30.8</v>
      </c>
      <c r="M35" s="165">
        <f t="shared" si="13"/>
        <v>41.300000000000004</v>
      </c>
      <c r="N35" s="165">
        <f t="shared" si="13"/>
        <v>42</v>
      </c>
      <c r="O35" s="165">
        <f t="shared" si="13"/>
        <v>56.300000000000004</v>
      </c>
      <c r="P35" s="165">
        <f>P28+P34</f>
        <v>73.947000000000003</v>
      </c>
      <c r="Q35" s="165">
        <f>Q28+Q34</f>
        <v>95.463999999999999</v>
      </c>
      <c r="R35" s="165">
        <f>R28+R34</f>
        <v>102.955</v>
      </c>
      <c r="S35" s="165">
        <v>127.968</v>
      </c>
      <c r="T35" s="165">
        <f t="shared" ref="T35:Z35" si="14">T28+T34</f>
        <v>120.983</v>
      </c>
      <c r="U35" s="165">
        <f t="shared" si="14"/>
        <v>108.36500000000001</v>
      </c>
      <c r="V35" s="760">
        <f t="shared" si="14"/>
        <v>101643</v>
      </c>
      <c r="W35" s="760">
        <f t="shared" si="14"/>
        <v>93402</v>
      </c>
      <c r="X35" s="760">
        <f t="shared" si="14"/>
        <v>131462</v>
      </c>
      <c r="Y35" s="761">
        <f t="shared" si="14"/>
        <v>140979</v>
      </c>
      <c r="Z35" s="801">
        <f t="shared" si="14"/>
        <v>140980</v>
      </c>
      <c r="AA35" s="814">
        <f>AA28+AA34</f>
        <v>200374</v>
      </c>
    </row>
    <row r="36" spans="1:27" x14ac:dyDescent="0.25">
      <c r="A36" s="740" t="s">
        <v>69</v>
      </c>
      <c r="B36" s="165">
        <v>0</v>
      </c>
      <c r="C36" s="165">
        <v>0</v>
      </c>
      <c r="D36" s="165">
        <v>0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0</v>
      </c>
      <c r="U36" s="165">
        <v>0</v>
      </c>
      <c r="V36" s="760">
        <v>0</v>
      </c>
      <c r="W36" s="760">
        <v>0.03</v>
      </c>
      <c r="X36" s="760">
        <v>30047</v>
      </c>
      <c r="Y36" s="761">
        <v>32297</v>
      </c>
      <c r="Z36" s="801">
        <v>38574</v>
      </c>
      <c r="AA36" s="814">
        <v>0</v>
      </c>
    </row>
    <row r="37" spans="1:27" s="1" customFormat="1" ht="13.8" thickBot="1" x14ac:dyDescent="0.3">
      <c r="A37" s="694" t="s">
        <v>70</v>
      </c>
      <c r="B37" s="243">
        <f>B35+B36</f>
        <v>16.2</v>
      </c>
      <c r="C37" s="243">
        <f t="shared" ref="C37:O37" si="15">C35+C36</f>
        <v>17.100000000000001</v>
      </c>
      <c r="D37" s="243">
        <f t="shared" si="15"/>
        <v>23.599999999999998</v>
      </c>
      <c r="E37" s="243">
        <f t="shared" si="15"/>
        <v>22.2</v>
      </c>
      <c r="F37" s="243">
        <f t="shared" si="15"/>
        <v>27.5</v>
      </c>
      <c r="G37" s="243">
        <f t="shared" si="15"/>
        <v>37.799999999999997</v>
      </c>
      <c r="H37" s="243">
        <f t="shared" si="15"/>
        <v>31.299999999999997</v>
      </c>
      <c r="I37" s="243">
        <f t="shared" si="15"/>
        <v>37.799999999999997</v>
      </c>
      <c r="J37" s="243">
        <f t="shared" si="15"/>
        <v>40</v>
      </c>
      <c r="K37" s="243">
        <f t="shared" si="15"/>
        <v>37.6</v>
      </c>
      <c r="L37" s="243">
        <f t="shared" si="15"/>
        <v>30.8</v>
      </c>
      <c r="M37" s="243">
        <f t="shared" si="15"/>
        <v>41.300000000000004</v>
      </c>
      <c r="N37" s="243">
        <f t="shared" si="15"/>
        <v>42</v>
      </c>
      <c r="O37" s="243">
        <f t="shared" si="15"/>
        <v>56.300000000000004</v>
      </c>
      <c r="P37" s="243">
        <f>P35+P36</f>
        <v>73.947000000000003</v>
      </c>
      <c r="Q37" s="243">
        <f>Q35+Q36</f>
        <v>95.463999999999999</v>
      </c>
      <c r="R37" s="243">
        <f>R35+R36</f>
        <v>102.955</v>
      </c>
      <c r="S37" s="243">
        <v>127.968</v>
      </c>
      <c r="T37" s="266">
        <f t="shared" ref="T37:Y37" si="16">T35+T36</f>
        <v>120.983</v>
      </c>
      <c r="U37" s="266">
        <f t="shared" si="16"/>
        <v>108.36500000000001</v>
      </c>
      <c r="V37" s="267">
        <f t="shared" si="16"/>
        <v>101643</v>
      </c>
      <c r="W37" s="267">
        <f t="shared" si="16"/>
        <v>93402.03</v>
      </c>
      <c r="X37" s="267">
        <f>X35+X36</f>
        <v>161509</v>
      </c>
      <c r="Y37" s="275">
        <f t="shared" si="16"/>
        <v>173276</v>
      </c>
      <c r="Z37" s="809">
        <f>Z35+Z36</f>
        <v>179554</v>
      </c>
      <c r="AA37" s="822">
        <f t="shared" ref="AA37" si="17">AA35+AA36</f>
        <v>200374</v>
      </c>
    </row>
    <row r="38" spans="1:27" ht="13.8" hidden="1" thickBot="1" x14ac:dyDescent="0.3">
      <c r="A38" s="763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764"/>
      <c r="T38" s="765"/>
      <c r="U38" s="766"/>
      <c r="V38" s="767"/>
      <c r="W38" s="767"/>
      <c r="X38" s="767"/>
      <c r="Y38" s="768"/>
      <c r="Z38" s="810"/>
      <c r="AA38" s="823"/>
    </row>
    <row r="39" spans="1:27" s="1" customFormat="1" ht="13.8" thickBot="1" x14ac:dyDescent="0.3">
      <c r="A39" s="695" t="s">
        <v>191</v>
      </c>
      <c r="B39" s="13">
        <f t="shared" ref="B39:H39" si="18">(B21-B37)</f>
        <v>6.600000000000005</v>
      </c>
      <c r="C39" s="13">
        <f t="shared" si="18"/>
        <v>8.0000000000000036</v>
      </c>
      <c r="D39" s="13">
        <f t="shared" si="18"/>
        <v>3.4000000000000057</v>
      </c>
      <c r="E39" s="13">
        <f t="shared" si="18"/>
        <v>1.100000000000005</v>
      </c>
      <c r="F39" s="13">
        <f t="shared" si="18"/>
        <v>7.5</v>
      </c>
      <c r="G39" s="13">
        <f t="shared" si="18"/>
        <v>10.5</v>
      </c>
      <c r="H39" s="13">
        <f t="shared" si="18"/>
        <v>10.700000000000003</v>
      </c>
      <c r="I39" s="13">
        <f>I21-I37</f>
        <v>15.300000000000004</v>
      </c>
      <c r="J39" s="13">
        <f>(J21-J37)</f>
        <v>10.900000000000006</v>
      </c>
      <c r="K39" s="13">
        <f>(K21-K37)</f>
        <v>10.900000000000006</v>
      </c>
      <c r="L39" s="13">
        <f>(L21-L37)</f>
        <v>10.700000000000006</v>
      </c>
      <c r="M39" s="13">
        <f>(M21-M37)</f>
        <v>9.5000000000000071</v>
      </c>
      <c r="N39" s="13">
        <f t="shared" ref="N39:T39" si="19">N21-N37</f>
        <v>4.4000000000000057</v>
      </c>
      <c r="O39" s="13">
        <f t="shared" si="19"/>
        <v>6.8999999999999986</v>
      </c>
      <c r="P39" s="13">
        <f t="shared" si="19"/>
        <v>12.494</v>
      </c>
      <c r="Q39" s="13">
        <f t="shared" si="19"/>
        <v>29.36</v>
      </c>
      <c r="R39" s="13">
        <f t="shared" si="19"/>
        <v>50.313000000000002</v>
      </c>
      <c r="S39" s="95">
        <f>S21-S37</f>
        <v>16.385999999999981</v>
      </c>
      <c r="T39" s="73">
        <f t="shared" si="19"/>
        <v>20.326999999999998</v>
      </c>
      <c r="U39" s="101">
        <f t="shared" ref="U39:Z39" si="20">U21-U37</f>
        <v>6.527000000000001</v>
      </c>
      <c r="V39" s="97">
        <f t="shared" si="20"/>
        <v>18091</v>
      </c>
      <c r="W39" s="97">
        <f t="shared" si="20"/>
        <v>12526.970000000001</v>
      </c>
      <c r="X39" s="97">
        <f t="shared" si="20"/>
        <v>17340.97</v>
      </c>
      <c r="Y39" s="273">
        <f>Y21-Y37</f>
        <v>43647.97</v>
      </c>
      <c r="Z39" s="807">
        <f t="shared" si="20"/>
        <v>35725</v>
      </c>
      <c r="AA39" s="820">
        <f>AA21-AA37</f>
        <v>72801</v>
      </c>
    </row>
    <row r="40" spans="1:27" hidden="1" x14ac:dyDescent="0.25">
      <c r="A40" s="769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770"/>
      <c r="T40" s="771"/>
      <c r="U40" s="772"/>
      <c r="V40" s="773"/>
      <c r="W40" s="773"/>
      <c r="X40" s="773"/>
      <c r="Y40" s="774"/>
      <c r="Z40" s="811"/>
      <c r="AA40" s="824"/>
    </row>
    <row r="41" spans="1:27" hidden="1" x14ac:dyDescent="0.25">
      <c r="A41" s="775" t="s">
        <v>72</v>
      </c>
      <c r="B41" s="164">
        <f t="shared" ref="B41:O41" si="21">(B28/12*3)</f>
        <v>3.5999999999999996</v>
      </c>
      <c r="C41" s="164">
        <f t="shared" si="21"/>
        <v>4.0750000000000002</v>
      </c>
      <c r="D41" s="164">
        <f t="shared" si="21"/>
        <v>5.85</v>
      </c>
      <c r="E41" s="164">
        <f t="shared" si="21"/>
        <v>5.4249999999999998</v>
      </c>
      <c r="F41" s="164">
        <f t="shared" si="21"/>
        <v>6.6750000000000007</v>
      </c>
      <c r="G41" s="164">
        <f t="shared" si="21"/>
        <v>9.35</v>
      </c>
      <c r="H41" s="164">
        <f t="shared" si="21"/>
        <v>7.85</v>
      </c>
      <c r="I41" s="164">
        <f t="shared" si="21"/>
        <v>9.625</v>
      </c>
      <c r="J41" s="164">
        <f t="shared" si="21"/>
        <v>9.9749999999999996</v>
      </c>
      <c r="K41" s="164">
        <f t="shared" si="21"/>
        <v>9.8000000000000007</v>
      </c>
      <c r="L41" s="164">
        <f t="shared" si="21"/>
        <v>7.75</v>
      </c>
      <c r="M41" s="164">
        <f t="shared" si="21"/>
        <v>10.525</v>
      </c>
      <c r="N41" s="164">
        <f t="shared" si="21"/>
        <v>11.025</v>
      </c>
      <c r="O41" s="164">
        <f t="shared" si="21"/>
        <v>14.175000000000001</v>
      </c>
      <c r="P41" s="164">
        <f>(P28/12*3)</f>
        <v>18.98</v>
      </c>
      <c r="Q41" s="164">
        <f t="shared" ref="Q41:V41" si="22">(Q28/12*1.5)</f>
        <v>12.288999999999998</v>
      </c>
      <c r="R41" s="164">
        <f t="shared" si="22"/>
        <v>12.860625000000001</v>
      </c>
      <c r="S41" s="164">
        <f t="shared" si="22"/>
        <v>15.979374999999999</v>
      </c>
      <c r="T41" s="742">
        <f t="shared" si="22"/>
        <v>15.109375</v>
      </c>
      <c r="U41" s="743">
        <f t="shared" si="22"/>
        <v>13.539874999999999</v>
      </c>
      <c r="V41" s="730">
        <f t="shared" si="22"/>
        <v>12701.75</v>
      </c>
      <c r="W41" s="730">
        <f>(W28/12*1.5)</f>
        <v>11672.375</v>
      </c>
      <c r="X41" s="730">
        <f>(X28/12*1.5)</f>
        <v>16429.75</v>
      </c>
      <c r="Y41" s="731">
        <f>(Y28/12*1.5)</f>
        <v>17621.125</v>
      </c>
      <c r="Z41" s="801">
        <f>(Z28/12*1.5)</f>
        <v>17621.25</v>
      </c>
      <c r="AA41" s="814">
        <f t="shared" ref="AA41" si="23">(AA28/12*1.5)</f>
        <v>25045.5</v>
      </c>
    </row>
    <row r="42" spans="1:27" hidden="1" x14ac:dyDescent="0.25">
      <c r="A42" s="775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741"/>
      <c r="T42" s="742"/>
      <c r="U42" s="743"/>
      <c r="V42" s="742"/>
      <c r="W42" s="730"/>
      <c r="X42" s="730"/>
      <c r="Y42" s="731"/>
      <c r="Z42" s="801"/>
      <c r="AA42" s="814"/>
    </row>
    <row r="43" spans="1:27" ht="13.8" hidden="1" thickBot="1" x14ac:dyDescent="0.3">
      <c r="A43" s="696" t="s">
        <v>73</v>
      </c>
      <c r="B43" s="16">
        <f t="shared" ref="B43:O43" si="24">+B39-B41</f>
        <v>3.0000000000000053</v>
      </c>
      <c r="C43" s="16">
        <f t="shared" si="24"/>
        <v>3.9250000000000034</v>
      </c>
      <c r="D43" s="16">
        <f t="shared" si="24"/>
        <v>-2.449999999999994</v>
      </c>
      <c r="E43" s="16">
        <f t="shared" si="24"/>
        <v>-4.3249999999999948</v>
      </c>
      <c r="F43" s="16">
        <f t="shared" si="24"/>
        <v>0.82499999999999929</v>
      </c>
      <c r="G43" s="16">
        <f t="shared" si="24"/>
        <v>1.1500000000000004</v>
      </c>
      <c r="H43" s="16">
        <f t="shared" si="24"/>
        <v>2.8500000000000032</v>
      </c>
      <c r="I43" s="16">
        <f t="shared" si="24"/>
        <v>5.6750000000000043</v>
      </c>
      <c r="J43" s="16">
        <f t="shared" si="24"/>
        <v>0.92500000000000604</v>
      </c>
      <c r="K43" s="16">
        <f t="shared" si="24"/>
        <v>1.100000000000005</v>
      </c>
      <c r="L43" s="16">
        <f t="shared" si="24"/>
        <v>2.9500000000000064</v>
      </c>
      <c r="M43" s="16">
        <f t="shared" si="24"/>
        <v>-1.0249999999999932</v>
      </c>
      <c r="N43" s="16">
        <f t="shared" si="24"/>
        <v>-6.6249999999999947</v>
      </c>
      <c r="O43" s="776">
        <f t="shared" si="24"/>
        <v>-7.2750000000000021</v>
      </c>
      <c r="P43" s="776">
        <f t="shared" ref="P43:U43" si="25">+P39-P41</f>
        <v>-6.4860000000000007</v>
      </c>
      <c r="Q43" s="776">
        <f t="shared" si="25"/>
        <v>17.071000000000002</v>
      </c>
      <c r="R43" s="776">
        <f t="shared" si="25"/>
        <v>37.452375000000004</v>
      </c>
      <c r="S43" s="776">
        <f t="shared" si="25"/>
        <v>0.40662499999998225</v>
      </c>
      <c r="T43" s="777">
        <f t="shared" si="25"/>
        <v>5.2176249999999982</v>
      </c>
      <c r="U43" s="778">
        <f t="shared" si="25"/>
        <v>-7.0128749999999975</v>
      </c>
      <c r="V43" s="777">
        <f>+V39-V41</f>
        <v>5389.25</v>
      </c>
      <c r="W43" s="752">
        <f>+W39-W41</f>
        <v>854.59500000000116</v>
      </c>
      <c r="X43" s="752">
        <f>+X39-X41</f>
        <v>911.22000000000116</v>
      </c>
      <c r="Y43" s="753">
        <f>+Y39-Y41</f>
        <v>26026.845000000001</v>
      </c>
      <c r="Z43" s="806">
        <f>+Z39-Z41</f>
        <v>18103.75</v>
      </c>
      <c r="AA43" s="819">
        <f t="shared" ref="AA43" si="26">+AA39-AA41</f>
        <v>47755.5</v>
      </c>
    </row>
    <row r="44" spans="1:27" hidden="1" x14ac:dyDescent="0.25">
      <c r="A44" s="652"/>
      <c r="B44" s="439"/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779"/>
      <c r="T44" s="780"/>
      <c r="U44" s="743"/>
      <c r="V44" s="780"/>
      <c r="W44" s="780"/>
      <c r="X44" s="780"/>
      <c r="Y44" s="779"/>
      <c r="Z44" s="791"/>
      <c r="AA44" s="796"/>
    </row>
    <row r="45" spans="1:27" ht="26.4" x14ac:dyDescent="0.25">
      <c r="A45" s="653" t="s">
        <v>74</v>
      </c>
      <c r="B45" s="440">
        <f>B39/B35</f>
        <v>0.40740740740740772</v>
      </c>
      <c r="C45" s="440">
        <f t="shared" ref="C45:O45" si="27">C39/C35</f>
        <v>0.46783625730994172</v>
      </c>
      <c r="D45" s="440">
        <f t="shared" si="27"/>
        <v>0.14406779661016975</v>
      </c>
      <c r="E45" s="440">
        <f t="shared" si="27"/>
        <v>4.9549549549549772E-2</v>
      </c>
      <c r="F45" s="440">
        <f t="shared" si="27"/>
        <v>0.27272727272727271</v>
      </c>
      <c r="G45" s="440">
        <f t="shared" si="27"/>
        <v>0.27777777777777779</v>
      </c>
      <c r="H45" s="440">
        <f t="shared" si="27"/>
        <v>0.34185303514377008</v>
      </c>
      <c r="I45" s="440">
        <f t="shared" si="27"/>
        <v>0.40476190476190488</v>
      </c>
      <c r="J45" s="440">
        <f t="shared" si="27"/>
        <v>0.27250000000000013</v>
      </c>
      <c r="K45" s="440">
        <f t="shared" si="27"/>
        <v>0.28989361702127675</v>
      </c>
      <c r="L45" s="440">
        <f t="shared" si="27"/>
        <v>0.3474025974025976</v>
      </c>
      <c r="M45" s="440">
        <f t="shared" si="27"/>
        <v>0.23002421307506069</v>
      </c>
      <c r="N45" s="440">
        <f t="shared" si="27"/>
        <v>0.1047619047619049</v>
      </c>
      <c r="O45" s="349">
        <f t="shared" si="27"/>
        <v>0.12255772646536409</v>
      </c>
      <c r="P45" s="349">
        <f t="shared" ref="P45:U45" si="28">P39/P35</f>
        <v>0.16895884890529703</v>
      </c>
      <c r="Q45" s="349">
        <f t="shared" si="28"/>
        <v>0.30755049023715747</v>
      </c>
      <c r="R45" s="349">
        <f t="shared" si="28"/>
        <v>0.48868923316011853</v>
      </c>
      <c r="S45" s="349">
        <f t="shared" si="28"/>
        <v>0.12804763690922716</v>
      </c>
      <c r="T45" s="781">
        <f t="shared" si="28"/>
        <v>0.16801534099832205</v>
      </c>
      <c r="U45" s="782">
        <f t="shared" si="28"/>
        <v>6.0231624602039409E-2</v>
      </c>
      <c r="V45" s="781">
        <f>V39/V35</f>
        <v>0.17798569503064648</v>
      </c>
      <c r="W45" s="781">
        <f>W39/W35</f>
        <v>0.13411886255112312</v>
      </c>
      <c r="X45" s="781">
        <f>X39/X35</f>
        <v>0.13190861237467863</v>
      </c>
      <c r="Y45" s="783">
        <f>Y39/Y35</f>
        <v>0.30960618248107874</v>
      </c>
      <c r="Z45" s="792">
        <f>Z39/Z35</f>
        <v>0.25340473826074622</v>
      </c>
      <c r="AA45" s="797">
        <f t="shared" ref="AA45" si="29">AA39/AA35</f>
        <v>0.36332558116322478</v>
      </c>
    </row>
    <row r="46" spans="1:27" ht="28.2" customHeight="1" thickBot="1" x14ac:dyDescent="0.3">
      <c r="A46" s="654" t="s">
        <v>75</v>
      </c>
      <c r="B46" s="441">
        <f>B39/B37</f>
        <v>0.40740740740740772</v>
      </c>
      <c r="C46" s="441">
        <f t="shared" ref="C46:O46" si="30">C39/C37</f>
        <v>0.46783625730994172</v>
      </c>
      <c r="D46" s="441">
        <f t="shared" si="30"/>
        <v>0.14406779661016975</v>
      </c>
      <c r="E46" s="441">
        <f t="shared" si="30"/>
        <v>4.9549549549549772E-2</v>
      </c>
      <c r="F46" s="441">
        <f t="shared" si="30"/>
        <v>0.27272727272727271</v>
      </c>
      <c r="G46" s="441">
        <f t="shared" si="30"/>
        <v>0.27777777777777779</v>
      </c>
      <c r="H46" s="441">
        <f t="shared" si="30"/>
        <v>0.34185303514377008</v>
      </c>
      <c r="I46" s="441">
        <f t="shared" si="30"/>
        <v>0.40476190476190488</v>
      </c>
      <c r="J46" s="441">
        <f t="shared" si="30"/>
        <v>0.27250000000000013</v>
      </c>
      <c r="K46" s="441">
        <f t="shared" si="30"/>
        <v>0.28989361702127675</v>
      </c>
      <c r="L46" s="441">
        <f t="shared" si="30"/>
        <v>0.3474025974025976</v>
      </c>
      <c r="M46" s="441">
        <f t="shared" si="30"/>
        <v>0.23002421307506069</v>
      </c>
      <c r="N46" s="441">
        <f t="shared" si="30"/>
        <v>0.1047619047619049</v>
      </c>
      <c r="O46" s="442">
        <f t="shared" si="30"/>
        <v>0.12255772646536409</v>
      </c>
      <c r="P46" s="442">
        <f t="shared" ref="P46:U46" si="31">P39/P37</f>
        <v>0.16895884890529703</v>
      </c>
      <c r="Q46" s="442">
        <f t="shared" si="31"/>
        <v>0.30755049023715747</v>
      </c>
      <c r="R46" s="442">
        <f t="shared" si="31"/>
        <v>0.48868923316011853</v>
      </c>
      <c r="S46" s="442">
        <f t="shared" si="31"/>
        <v>0.12804763690922716</v>
      </c>
      <c r="T46" s="784">
        <f t="shared" si="31"/>
        <v>0.16801534099832205</v>
      </c>
      <c r="U46" s="785">
        <f t="shared" si="31"/>
        <v>6.0231624602039409E-2</v>
      </c>
      <c r="V46" s="784">
        <f>V39/V37</f>
        <v>0.17798569503064648</v>
      </c>
      <c r="W46" s="784">
        <f>W39/W37</f>
        <v>0.13411881947319562</v>
      </c>
      <c r="X46" s="784">
        <f>X39/X37</f>
        <v>0.10736844386380945</v>
      </c>
      <c r="Y46" s="786">
        <f>Y39/Y37</f>
        <v>0.25189853182206423</v>
      </c>
      <c r="Z46" s="793">
        <f>Z39/Z37</f>
        <v>0.19896521380754537</v>
      </c>
      <c r="AA46" s="798">
        <f t="shared" ref="AA46" si="32">AA39/AA37</f>
        <v>0.36332558116322478</v>
      </c>
    </row>
    <row r="47" spans="1:27" ht="13.8" thickTop="1" x14ac:dyDescent="0.25">
      <c r="A47" s="655"/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  <c r="O47" s="444"/>
      <c r="P47" s="444"/>
      <c r="Q47" s="444"/>
      <c r="R47" s="444"/>
      <c r="S47" s="444"/>
      <c r="T47" s="787"/>
    </row>
    <row r="48" spans="1:27" x14ac:dyDescent="0.25">
      <c r="A48" s="656" t="s">
        <v>83</v>
      </c>
      <c r="B48" s="443"/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3"/>
      <c r="O48" s="444"/>
      <c r="P48" s="444"/>
      <c r="Q48" s="444"/>
      <c r="R48" s="444"/>
      <c r="S48" s="444"/>
      <c r="T48" s="444"/>
    </row>
    <row r="49" spans="1:20" x14ac:dyDescent="0.25">
      <c r="A49" s="656" t="s">
        <v>192</v>
      </c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788"/>
      <c r="P49" s="444"/>
      <c r="Q49" s="444"/>
      <c r="R49" s="788"/>
      <c r="S49" s="788"/>
      <c r="T49" s="788"/>
    </row>
    <row r="50" spans="1:20" ht="13.2" customHeight="1" x14ac:dyDescent="0.25">
      <c r="A50" s="656" t="s">
        <v>193</v>
      </c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788"/>
      <c r="P50" s="444"/>
      <c r="Q50" s="444"/>
      <c r="R50" s="788"/>
      <c r="S50" s="788"/>
      <c r="T50" s="788"/>
    </row>
    <row r="51" spans="1:20" ht="17.399999999999999" customHeight="1" x14ac:dyDescent="0.25">
      <c r="A51" s="656" t="s">
        <v>194</v>
      </c>
      <c r="B51" s="1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7.399999999999999" customHeight="1" x14ac:dyDescent="0.25">
      <c r="A52" s="656" t="s">
        <v>195</v>
      </c>
      <c r="B52" s="1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3.2" customHeight="1" x14ac:dyDescent="0.25">
      <c r="A53" s="656" t="s">
        <v>196</v>
      </c>
      <c r="B53" s="451"/>
      <c r="C53" s="451"/>
      <c r="D53" s="451"/>
      <c r="E53" s="451"/>
      <c r="F53" s="451"/>
      <c r="G53" s="451"/>
      <c r="H53" s="451"/>
      <c r="I53" s="451"/>
      <c r="J53" s="451"/>
      <c r="K53" s="451"/>
      <c r="L53" s="451"/>
      <c r="M53" s="451"/>
      <c r="N53" s="451"/>
      <c r="O53" s="451"/>
      <c r="P53" s="451"/>
      <c r="Q53" s="454"/>
      <c r="R53" s="454"/>
      <c r="S53" s="454"/>
      <c r="T53" s="454"/>
    </row>
    <row r="54" spans="1:20" ht="13.2" customHeight="1" x14ac:dyDescent="0.25">
      <c r="A54" s="656"/>
      <c r="B54" s="451"/>
      <c r="C54" s="451"/>
      <c r="D54" s="451"/>
      <c r="E54" s="451"/>
      <c r="F54" s="451"/>
      <c r="G54" s="451"/>
      <c r="H54" s="451"/>
      <c r="I54" s="451"/>
      <c r="J54" s="451"/>
      <c r="K54" s="451"/>
      <c r="L54" s="451"/>
      <c r="M54" s="451"/>
      <c r="N54" s="451"/>
      <c r="O54" s="451"/>
      <c r="P54" s="451"/>
      <c r="Q54" s="454"/>
      <c r="R54" s="454"/>
      <c r="S54" s="454"/>
      <c r="T54" s="454"/>
    </row>
    <row r="55" spans="1:20" ht="13.2" customHeight="1" x14ac:dyDescent="0.25"/>
    <row r="56" spans="1:20" ht="13.2" customHeight="1" x14ac:dyDescent="0.25"/>
    <row r="57" spans="1:20" ht="33.75" customHeight="1" x14ac:dyDescent="0.25">
      <c r="A57" s="454"/>
      <c r="B57" s="451"/>
      <c r="C57" s="451"/>
      <c r="D57" s="451"/>
      <c r="E57" s="451"/>
      <c r="F57" s="451"/>
      <c r="G57" s="451"/>
      <c r="H57" s="451"/>
      <c r="I57" s="451"/>
      <c r="J57" s="451"/>
      <c r="K57" s="451"/>
      <c r="L57" s="451"/>
      <c r="M57" s="451"/>
      <c r="N57" s="451"/>
      <c r="O57" s="451"/>
      <c r="P57" s="455"/>
      <c r="Q57" s="455"/>
      <c r="R57" s="455"/>
      <c r="S57" s="455"/>
      <c r="T57" s="455"/>
    </row>
    <row r="58" spans="1:20" ht="13.2" customHeight="1" x14ac:dyDescent="0.25">
      <c r="B58" s="452"/>
      <c r="C58" s="45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3.2" customHeight="1" x14ac:dyDescent="0.25">
      <c r="A59" s="545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455"/>
      <c r="Q59" s="455"/>
      <c r="R59" s="455"/>
      <c r="S59" s="455"/>
      <c r="T59" s="455"/>
    </row>
    <row r="60" spans="1:20" ht="13.2" customHeight="1" x14ac:dyDescent="0.25">
      <c r="C60" s="452"/>
      <c r="D60" s="78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3.2" customHeight="1" x14ac:dyDescent="0.25">
      <c r="A61" s="453"/>
      <c r="B61" s="790"/>
      <c r="C61" s="790"/>
      <c r="D61" s="790"/>
      <c r="E61" s="790"/>
      <c r="F61" s="790"/>
      <c r="G61" s="790"/>
      <c r="H61" s="790"/>
      <c r="I61" s="790"/>
      <c r="J61" s="790"/>
      <c r="K61" s="790"/>
      <c r="L61" s="790"/>
      <c r="M61" s="790"/>
      <c r="N61" s="790"/>
      <c r="O61" s="790"/>
      <c r="P61" s="453"/>
      <c r="Q61" s="453"/>
      <c r="R61" s="453"/>
      <c r="S61" s="453"/>
      <c r="T61" s="453"/>
    </row>
    <row r="62" spans="1:20" ht="13.2" customHeight="1" x14ac:dyDescent="0.25">
      <c r="A62" s="453"/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453"/>
      <c r="Q62" s="453"/>
      <c r="R62" s="453"/>
      <c r="S62" s="453"/>
      <c r="T62" s="453"/>
    </row>
    <row r="63" spans="1:20" ht="13.2" customHeight="1" x14ac:dyDescent="0.25">
      <c r="A63" s="453"/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453"/>
      <c r="Q63" s="453"/>
      <c r="R63" s="453"/>
      <c r="S63" s="453"/>
      <c r="T63" s="453"/>
    </row>
    <row r="64" spans="1:20" ht="13.2" customHeight="1" x14ac:dyDescent="0.25">
      <c r="C64" s="452"/>
      <c r="D64" s="452"/>
      <c r="E64" s="452"/>
    </row>
    <row r="65" spans="3:5" ht="13.2" customHeight="1" x14ac:dyDescent="0.25">
      <c r="C65" s="452"/>
      <c r="D65" s="452"/>
      <c r="E65" s="452"/>
    </row>
    <row r="66" spans="3:5" ht="13.2" customHeight="1" x14ac:dyDescent="0.25">
      <c r="C66" s="452"/>
      <c r="D66" s="452"/>
      <c r="E66" s="452"/>
    </row>
    <row r="67" spans="3:5" ht="13.2" customHeight="1" x14ac:dyDescent="0.25">
      <c r="C67" s="452"/>
      <c r="D67" s="452"/>
      <c r="E67" s="452"/>
    </row>
    <row r="68" spans="3:5" ht="13.2" customHeight="1" x14ac:dyDescent="0.25">
      <c r="C68" s="452"/>
      <c r="D68" s="452"/>
      <c r="E68" s="452"/>
    </row>
    <row r="69" spans="3:5" ht="13.2" customHeight="1" x14ac:dyDescent="0.25">
      <c r="C69" s="452"/>
      <c r="D69" s="452"/>
      <c r="E69" s="452"/>
    </row>
    <row r="70" spans="3:5" ht="13.2" customHeight="1" x14ac:dyDescent="0.25">
      <c r="C70" s="452"/>
      <c r="D70" s="452"/>
      <c r="E70" s="452"/>
    </row>
    <row r="71" spans="3:5" ht="13.2" customHeight="1" x14ac:dyDescent="0.25">
      <c r="C71" s="452"/>
      <c r="D71" s="452"/>
      <c r="E71" s="452"/>
    </row>
    <row r="72" spans="3:5" ht="13.2" customHeight="1" x14ac:dyDescent="0.25">
      <c r="C72" s="452"/>
      <c r="D72" s="452"/>
      <c r="E72" s="452"/>
    </row>
    <row r="73" spans="3:5" ht="13.2" customHeight="1" x14ac:dyDescent="0.25">
      <c r="C73" s="452"/>
      <c r="D73" s="452"/>
      <c r="E73" s="452"/>
    </row>
    <row r="74" spans="3:5" ht="13.2" customHeight="1" x14ac:dyDescent="0.25">
      <c r="C74" s="452"/>
      <c r="D74" s="452"/>
      <c r="E74" s="452"/>
    </row>
    <row r="75" spans="3:5" ht="13.2" customHeight="1" x14ac:dyDescent="0.25">
      <c r="C75" s="452"/>
      <c r="D75" s="452"/>
      <c r="E75" s="452"/>
    </row>
    <row r="76" spans="3:5" ht="13.2" customHeight="1" x14ac:dyDescent="0.25">
      <c r="C76" s="452"/>
      <c r="D76" s="452"/>
      <c r="E76" s="452"/>
    </row>
    <row r="77" spans="3:5" ht="13.2" customHeight="1" x14ac:dyDescent="0.25">
      <c r="C77" s="452"/>
      <c r="D77" s="452"/>
      <c r="E77" s="452"/>
    </row>
    <row r="78" spans="3:5" ht="13.2" customHeight="1" x14ac:dyDescent="0.25">
      <c r="C78" s="452"/>
      <c r="D78" s="452"/>
      <c r="E78" s="452"/>
    </row>
    <row r="79" spans="3:5" ht="13.2" customHeight="1" x14ac:dyDescent="0.25">
      <c r="C79" s="452"/>
      <c r="D79" s="452"/>
      <c r="E79" s="452"/>
    </row>
    <row r="80" spans="3:5" ht="13.2" customHeight="1" x14ac:dyDescent="0.25">
      <c r="C80" s="452"/>
      <c r="D80" s="452"/>
      <c r="E80" s="452"/>
    </row>
    <row r="81" spans="3:5" ht="13.2" customHeight="1" x14ac:dyDescent="0.25">
      <c r="C81" s="452"/>
      <c r="D81" s="452"/>
      <c r="E81" s="452"/>
    </row>
    <row r="82" spans="3:5" ht="13.2" customHeight="1" x14ac:dyDescent="0.25">
      <c r="C82" s="452"/>
      <c r="D82" s="452"/>
      <c r="E82" s="452"/>
    </row>
    <row r="83" spans="3:5" ht="13.2" customHeight="1" x14ac:dyDescent="0.25">
      <c r="C83" s="452"/>
      <c r="D83" s="452"/>
      <c r="E83" s="452"/>
    </row>
    <row r="84" spans="3:5" ht="13.2" customHeight="1" x14ac:dyDescent="0.25">
      <c r="C84" s="452"/>
      <c r="D84" s="452"/>
      <c r="E84" s="452"/>
    </row>
    <row r="85" spans="3:5" ht="13.2" customHeight="1" x14ac:dyDescent="0.25">
      <c r="C85" s="452"/>
      <c r="D85" s="452"/>
      <c r="E85" s="452"/>
    </row>
    <row r="86" spans="3:5" ht="13.2" customHeight="1" x14ac:dyDescent="0.25">
      <c r="C86" s="452"/>
      <c r="D86" s="452"/>
      <c r="E86" s="452"/>
    </row>
    <row r="87" spans="3:5" ht="13.2" customHeight="1" x14ac:dyDescent="0.25">
      <c r="C87" s="452"/>
      <c r="D87" s="452"/>
      <c r="E87" s="452"/>
    </row>
    <row r="88" spans="3:5" ht="13.2" customHeight="1" x14ac:dyDescent="0.25">
      <c r="C88" s="452"/>
      <c r="D88" s="452"/>
      <c r="E88" s="452"/>
    </row>
    <row r="89" spans="3:5" ht="13.2" customHeight="1" x14ac:dyDescent="0.25">
      <c r="C89" s="452"/>
      <c r="D89" s="452"/>
      <c r="E89" s="452"/>
    </row>
    <row r="90" spans="3:5" ht="13.2" customHeight="1" x14ac:dyDescent="0.25">
      <c r="C90" s="452"/>
      <c r="D90" s="452"/>
      <c r="E90" s="452"/>
    </row>
    <row r="91" spans="3:5" ht="13.2" customHeight="1" x14ac:dyDescent="0.25">
      <c r="C91" s="452"/>
      <c r="D91" s="452"/>
      <c r="E91" s="452"/>
    </row>
    <row r="92" spans="3:5" ht="13.2" customHeight="1" x14ac:dyDescent="0.25">
      <c r="C92" s="452"/>
      <c r="D92" s="452"/>
      <c r="E92" s="452"/>
    </row>
    <row r="93" spans="3:5" ht="13.2" customHeight="1" x14ac:dyDescent="0.25">
      <c r="C93" s="452"/>
      <c r="D93" s="452"/>
      <c r="E93" s="452"/>
    </row>
    <row r="94" spans="3:5" ht="13.2" customHeight="1" x14ac:dyDescent="0.25">
      <c r="C94" s="452">
        <v>516</v>
      </c>
      <c r="D94" s="452"/>
      <c r="E94" s="452"/>
    </row>
    <row r="95" spans="3:5" ht="13.2" customHeight="1" x14ac:dyDescent="0.25">
      <c r="C95" s="452">
        <f>+C94-C20</f>
        <v>515.9</v>
      </c>
      <c r="D95" s="452"/>
      <c r="E95" s="452"/>
    </row>
    <row r="96" spans="3:5" ht="13.2" customHeight="1" x14ac:dyDescent="0.25">
      <c r="C96" s="452">
        <v>2404</v>
      </c>
      <c r="D96" s="452"/>
      <c r="E96" s="452"/>
    </row>
    <row r="97" spans="3:5" ht="13.2" customHeight="1" x14ac:dyDescent="0.25">
      <c r="C97" s="452">
        <f>+C96-C28</f>
        <v>2387.6999999999998</v>
      </c>
      <c r="D97" s="452"/>
      <c r="E97" s="452"/>
    </row>
    <row r="98" spans="3:5" ht="13.2" customHeight="1" x14ac:dyDescent="0.25">
      <c r="C98" s="452">
        <v>82</v>
      </c>
      <c r="D98" s="452"/>
      <c r="E98" s="452"/>
    </row>
    <row r="99" spans="3:5" ht="13.2" customHeight="1" x14ac:dyDescent="0.25">
      <c r="C99" s="452">
        <f>+C98-C36</f>
        <v>82</v>
      </c>
      <c r="D99" s="452"/>
      <c r="E99" s="452"/>
    </row>
    <row r="100" spans="3:5" ht="13.2" customHeight="1" x14ac:dyDescent="0.25">
      <c r="C100" s="452"/>
      <c r="D100" s="452"/>
      <c r="E100" s="452"/>
    </row>
    <row r="101" spans="3:5" ht="13.2" customHeight="1" x14ac:dyDescent="0.25">
      <c r="C101" s="452">
        <f>(C39+C95-C97-C99)</f>
        <v>-1945.7999999999997</v>
      </c>
      <c r="D101" s="452"/>
      <c r="E101" s="452"/>
    </row>
    <row r="102" spans="3:5" ht="13.2" customHeight="1" x14ac:dyDescent="0.25">
      <c r="E102" s="452"/>
    </row>
    <row r="103" spans="3:5" ht="13.2" customHeight="1" x14ac:dyDescent="0.25">
      <c r="E103" s="452"/>
    </row>
    <row r="104" spans="3:5" ht="13.2" customHeight="1" x14ac:dyDescent="0.25">
      <c r="E104" s="452"/>
    </row>
  </sheetData>
  <printOptions horizontalCentered="1"/>
  <pageMargins left="0.14000000000000001" right="0.12" top="0.98425196850393704" bottom="0.98425196850393704" header="0.51181102362204722" footer="0.51181102362204722"/>
  <pageSetup paperSize="9" scale="9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CD74DF-D91D-4674-A732-55855A6D5371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5d7b95ce-97cf-4a61-8884-fde260c16070"/>
    <ds:schemaRef ds:uri="25435354-646d-4f90-a923-d4d04749eaf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7E1667-755B-481B-BFF5-4656B0B835F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5B8A0F9-DA71-4396-A862-3A02F786D08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CA4759F-BCDB-446B-B28E-80547F24A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Voorblad-Front</vt:lpstr>
      <vt:lpstr>DATA-Sojabone - Soybean</vt:lpstr>
      <vt:lpstr>Sheet1</vt:lpstr>
      <vt:lpstr>Soybean sensitiwity analysis</vt:lpstr>
      <vt:lpstr>DATA-S blom-S Seeds</vt:lpstr>
      <vt:lpstr>Sunflower sensitiwity analysis</vt:lpstr>
      <vt:lpstr>DATA-Grondbone - Groundnuts</vt:lpstr>
      <vt:lpstr>DATA-Kanola - Canola</vt:lpstr>
      <vt:lpstr>Groundnut Prod &amp; Yield</vt:lpstr>
      <vt:lpstr>Groundnut Imports &amp; Exports</vt:lpstr>
      <vt:lpstr>Soyabean Imports &amp; Exports</vt:lpstr>
      <vt:lpstr>Sunseed Imports &amp; Exports</vt:lpstr>
      <vt:lpstr>Sun Prod &amp; Yield</vt:lpstr>
      <vt:lpstr>SUNS_Prod_Cons</vt:lpstr>
      <vt:lpstr>Soy_Prod_Cons</vt:lpstr>
      <vt:lpstr>SOY Prod &amp; Yield</vt:lpstr>
      <vt:lpstr>SOY SUN Cons</vt:lpstr>
      <vt:lpstr>'DATA-Grondbone - Groundnuts'!Print_Area</vt:lpstr>
      <vt:lpstr>'DATA-Kanola - Canola'!Print_Area</vt:lpstr>
      <vt:lpstr>'DATA-S blom-S Seeds'!Print_Area</vt:lpstr>
      <vt:lpstr>'DATA-Sojabone - Soybean'!Print_Area</vt:lpstr>
      <vt:lpstr>'Voorblad-Front'!Print_Area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Grain SA S&amp;D Projections</dc:title>
  <dc:subject>Supply and Demand</dc:subject>
  <dc:creator>Lemmer WJ &amp; Hawkins NJ</dc:creator>
  <cp:keywords>Sunflower Soybeans Groundnuts Canola</cp:keywords>
  <dc:description>The Supply and Demand Projections are based on the monthly CEC- &amp; SAGIS-reports as well as Grain SA's own assumptions and historical database</dc:description>
  <cp:lastModifiedBy>Marguerite Pienaar</cp:lastModifiedBy>
  <cp:revision/>
  <cp:lastPrinted>2024-02-05T10:49:26Z</cp:lastPrinted>
  <dcterms:created xsi:type="dcterms:W3CDTF">2000-03-27T14:20:35Z</dcterms:created>
  <dcterms:modified xsi:type="dcterms:W3CDTF">2024-02-05T10:49:33Z</dcterms:modified>
  <cp:category>Marketing information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Luan van der Walt</vt:lpwstr>
  </property>
  <property fmtid="{D5CDD505-2E9C-101B-9397-08002B2CF9AE}" pid="3" name="Order">
    <vt:lpwstr>16351000.0000000</vt:lpwstr>
  </property>
  <property fmtid="{D5CDD505-2E9C-101B-9397-08002B2CF9AE}" pid="4" name="display_urn:schemas-microsoft-com:office:office#Author">
    <vt:lpwstr>Luan van der Walt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