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95" windowWidth="15600" windowHeight="7575"/>
  </bookViews>
  <sheets>
    <sheet name="Price sheet" sheetId="5" r:id="rId1"/>
    <sheet name="Maize" sheetId="1" r:id="rId2"/>
    <sheet name="Sunflower" sheetId="2" r:id="rId3"/>
    <sheet name="Soya" sheetId="4" r:id="rId4"/>
    <sheet name="Groundnuts" sheetId="7" r:id="rId5"/>
    <sheet name="Cotton" sheetId="6" state="hidden" r:id="rId6"/>
    <sheet name="Crop Comparison" sheetId="3" r:id="rId7"/>
  </sheets>
  <externalReferences>
    <externalReference r:id="rId8"/>
    <externalReference r:id="rId9"/>
  </externalReferences>
  <definedNames>
    <definedName name="_xlnm.Print_Area" localSheetId="5">Cotton!$A$1:$G$72</definedName>
    <definedName name="_xlnm.Print_Area" localSheetId="6">'Crop Comparison'!$A$1:$G$44</definedName>
    <definedName name="_xlnm.Print_Area" localSheetId="4">Groundnuts!$A$1:$G$73</definedName>
    <definedName name="_xlnm.Print_Area" localSheetId="1">Maize!$A$1:$G$75</definedName>
    <definedName name="_xlnm.Print_Area" localSheetId="3">Soya!$A$1:$G$69</definedName>
    <definedName name="_xlnm.Print_Area" localSheetId="2">Sunflower!$A$1:$G$68</definedName>
  </definedNames>
  <calcPr calcId="144525"/>
</workbook>
</file>

<file path=xl/calcChain.xml><?xml version="1.0" encoding="utf-8"?>
<calcChain xmlns="http://schemas.openxmlformats.org/spreadsheetml/2006/main">
  <c r="E9" i="5" l="1"/>
  <c r="D9" i="5"/>
  <c r="C9" i="5"/>
  <c r="B9" i="5"/>
  <c r="D4" i="5"/>
  <c r="E3" i="5"/>
  <c r="D51" i="1" l="1"/>
  <c r="E21" i="3" l="1"/>
  <c r="C16" i="3"/>
  <c r="B16" i="3"/>
  <c r="F47" i="1"/>
  <c r="F43" i="4"/>
  <c r="D16" i="3" s="1"/>
  <c r="E10" i="3"/>
  <c r="E3" i="3"/>
  <c r="D50" i="7"/>
  <c r="D55" i="7"/>
  <c r="D54" i="7"/>
  <c r="F54" i="7" s="1"/>
  <c r="D53" i="7"/>
  <c r="D52" i="7"/>
  <c r="F52" i="7" s="1"/>
  <c r="D49" i="7"/>
  <c r="D48" i="7"/>
  <c r="F48" i="7" s="1"/>
  <c r="E17" i="3" s="1"/>
  <c r="D44" i="4"/>
  <c r="F44" i="4" s="1"/>
  <c r="D43" i="2"/>
  <c r="D48" i="1"/>
  <c r="D51" i="7"/>
  <c r="F51" i="7" s="1"/>
  <c r="E20" i="3" s="1"/>
  <c r="E46" i="7"/>
  <c r="E42" i="4"/>
  <c r="E41" i="2"/>
  <c r="E46" i="1"/>
  <c r="D47" i="7"/>
  <c r="D45" i="7"/>
  <c r="D34" i="7"/>
  <c r="D35" i="7"/>
  <c r="F35" i="7" s="1"/>
  <c r="D36" i="7"/>
  <c r="D37" i="7"/>
  <c r="D38" i="7"/>
  <c r="D39" i="7"/>
  <c r="F39" i="7" s="1"/>
  <c r="D33" i="7"/>
  <c r="D26" i="7"/>
  <c r="D27" i="7"/>
  <c r="D28" i="7"/>
  <c r="D25" i="7"/>
  <c r="D24" i="7"/>
  <c r="F24" i="7" s="1"/>
  <c r="D21" i="7"/>
  <c r="F21" i="7" s="1"/>
  <c r="B16" i="7"/>
  <c r="B12" i="7"/>
  <c r="E5" i="3" s="1"/>
  <c r="B11" i="7"/>
  <c r="E4" i="3" s="1"/>
  <c r="E23" i="3" l="1"/>
  <c r="E6" i="3"/>
  <c r="E7" i="3" s="1"/>
  <c r="B13" i="7"/>
  <c r="A69" i="7"/>
  <c r="A70" i="7" s="1"/>
  <c r="A71" i="7" s="1"/>
  <c r="A72" i="7" s="1"/>
  <c r="G54" i="7"/>
  <c r="F53" i="7"/>
  <c r="E22" i="3" s="1"/>
  <c r="G51" i="7"/>
  <c r="F49" i="7"/>
  <c r="E18" i="3" s="1"/>
  <c r="G48" i="7"/>
  <c r="F47" i="7"/>
  <c r="E16" i="3" s="1"/>
  <c r="F45" i="7"/>
  <c r="E14" i="3" s="1"/>
  <c r="F43" i="7"/>
  <c r="G43" i="7" s="1"/>
  <c r="A43" i="7"/>
  <c r="F42" i="7"/>
  <c r="G42" i="7" s="1"/>
  <c r="A42" i="7"/>
  <c r="F41" i="7"/>
  <c r="G41" i="7" s="1"/>
  <c r="A41" i="7"/>
  <c r="F40" i="7"/>
  <c r="G40" i="7" s="1"/>
  <c r="A40" i="7"/>
  <c r="G39" i="7"/>
  <c r="F38" i="7"/>
  <c r="F37" i="7"/>
  <c r="G37" i="7" s="1"/>
  <c r="F36" i="7"/>
  <c r="G36" i="7" s="1"/>
  <c r="G35" i="7"/>
  <c r="F34" i="7"/>
  <c r="G34" i="7" s="1"/>
  <c r="F33" i="7"/>
  <c r="F28" i="7"/>
  <c r="G28" i="7" s="1"/>
  <c r="F27" i="7"/>
  <c r="G27" i="7" s="1"/>
  <c r="F26" i="7"/>
  <c r="G26" i="7" s="1"/>
  <c r="F25" i="7"/>
  <c r="G25" i="7" s="1"/>
  <c r="G24" i="7"/>
  <c r="A8" i="7"/>
  <c r="B5" i="7"/>
  <c r="B4" i="7"/>
  <c r="G20" i="7" s="1"/>
  <c r="A68" i="6"/>
  <c r="A69" i="6" s="1"/>
  <c r="A70" i="6" s="1"/>
  <c r="A71" i="6" s="1"/>
  <c r="D54" i="6"/>
  <c r="D53" i="6"/>
  <c r="F53" i="6" s="1"/>
  <c r="G53" i="6" s="1"/>
  <c r="D52" i="6"/>
  <c r="F52" i="6" s="1"/>
  <c r="G52" i="6" s="1"/>
  <c r="D51" i="6"/>
  <c r="D50" i="6"/>
  <c r="F50" i="6" s="1"/>
  <c r="G50" i="6" s="1"/>
  <c r="D49" i="6"/>
  <c r="D48" i="6"/>
  <c r="F48" i="6" s="1"/>
  <c r="G48" i="6" s="1"/>
  <c r="D47" i="6"/>
  <c r="F47" i="6" s="1"/>
  <c r="G47" i="6" s="1"/>
  <c r="F46" i="6"/>
  <c r="G46" i="6" s="1"/>
  <c r="D46" i="6"/>
  <c r="D45" i="6"/>
  <c r="F45" i="6" s="1"/>
  <c r="G45" i="6" s="1"/>
  <c r="E44" i="6"/>
  <c r="D43" i="6"/>
  <c r="F43" i="6" s="1"/>
  <c r="D41" i="6"/>
  <c r="F41" i="6" s="1"/>
  <c r="G41" i="6" s="1"/>
  <c r="A41" i="6"/>
  <c r="D40" i="6"/>
  <c r="F40" i="6" s="1"/>
  <c r="G40" i="6" s="1"/>
  <c r="A40" i="6"/>
  <c r="D39" i="6"/>
  <c r="F39" i="6" s="1"/>
  <c r="G39" i="6" s="1"/>
  <c r="A39" i="6"/>
  <c r="D38" i="6"/>
  <c r="F38" i="6" s="1"/>
  <c r="G38" i="6" s="1"/>
  <c r="A38" i="6"/>
  <c r="D37" i="6"/>
  <c r="F37" i="6" s="1"/>
  <c r="G37" i="6" s="1"/>
  <c r="A37" i="6"/>
  <c r="D36" i="6"/>
  <c r="F36" i="6" s="1"/>
  <c r="G36" i="6" s="1"/>
  <c r="A36" i="6"/>
  <c r="D35" i="6"/>
  <c r="F35" i="6" s="1"/>
  <c r="G35" i="6" s="1"/>
  <c r="A35" i="6"/>
  <c r="D34" i="6"/>
  <c r="F34" i="6" s="1"/>
  <c r="G34" i="6" s="1"/>
  <c r="A34" i="6"/>
  <c r="D33" i="6"/>
  <c r="F33" i="6" s="1"/>
  <c r="G33" i="6" s="1"/>
  <c r="A33" i="6"/>
  <c r="D32" i="6"/>
  <c r="F32" i="6" s="1"/>
  <c r="G32" i="6" s="1"/>
  <c r="A32" i="6"/>
  <c r="D29" i="6"/>
  <c r="F29" i="6" s="1"/>
  <c r="G29" i="6" s="1"/>
  <c r="D27" i="6"/>
  <c r="F27" i="6" s="1"/>
  <c r="G27" i="6" s="1"/>
  <c r="D26" i="6"/>
  <c r="F26" i="6" s="1"/>
  <c r="G26" i="6" s="1"/>
  <c r="D25" i="6"/>
  <c r="F25" i="6" s="1"/>
  <c r="G25" i="6" s="1"/>
  <c r="D24" i="6"/>
  <c r="F24" i="6" s="1"/>
  <c r="D23" i="6"/>
  <c r="F23" i="6" s="1"/>
  <c r="G23" i="6" s="1"/>
  <c r="D20" i="6"/>
  <c r="F20" i="6" s="1"/>
  <c r="B15" i="6"/>
  <c r="B11" i="6"/>
  <c r="B10" i="6"/>
  <c r="B14" i="6" s="1"/>
  <c r="A7" i="6"/>
  <c r="B4" i="6"/>
  <c r="A16" i="6" s="1"/>
  <c r="F51" i="6" l="1"/>
  <c r="G51" i="6" s="1"/>
  <c r="A67" i="6"/>
  <c r="A66" i="6" s="1"/>
  <c r="A65" i="6" s="1"/>
  <c r="F32" i="7"/>
  <c r="E13" i="3" s="1"/>
  <c r="F44" i="6"/>
  <c r="G44" i="6" s="1"/>
  <c r="G33" i="7"/>
  <c r="G38" i="7"/>
  <c r="G53" i="7"/>
  <c r="G49" i="7"/>
  <c r="B15" i="7"/>
  <c r="B17" i="7" s="1"/>
  <c r="G47" i="7"/>
  <c r="G52" i="7"/>
  <c r="F46" i="7"/>
  <c r="E15" i="3" s="1"/>
  <c r="G45" i="7"/>
  <c r="G24" i="6"/>
  <c r="F22" i="6"/>
  <c r="G22" i="6" s="1"/>
  <c r="G31" i="6"/>
  <c r="G20" i="6"/>
  <c r="F31" i="6"/>
  <c r="G21" i="7"/>
  <c r="A5" i="6"/>
  <c r="B12" i="6"/>
  <c r="G19" i="6"/>
  <c r="A15" i="6"/>
  <c r="B16" i="6"/>
  <c r="G43" i="6"/>
  <c r="A6" i="7"/>
  <c r="A17" i="7"/>
  <c r="A68" i="7"/>
  <c r="A67" i="7" s="1"/>
  <c r="A66" i="7" s="1"/>
  <c r="A16" i="7"/>
  <c r="F23" i="7"/>
  <c r="G32" i="7" l="1"/>
  <c r="G23" i="7"/>
  <c r="E11" i="3"/>
  <c r="E64" i="6"/>
  <c r="E49" i="6"/>
  <c r="F49" i="6" s="1"/>
  <c r="E65" i="7"/>
  <c r="D64" i="6" l="1"/>
  <c r="F64" i="6"/>
  <c r="D65" i="7"/>
  <c r="F65" i="7"/>
  <c r="G49" i="6"/>
  <c r="F54" i="6"/>
  <c r="G54" i="6" s="1"/>
  <c r="C64" i="6" l="1"/>
  <c r="F55" i="6"/>
  <c r="D67" i="6" s="1"/>
  <c r="C65" i="7"/>
  <c r="G46" i="7"/>
  <c r="G55" i="6"/>
  <c r="B58" i="6" s="1"/>
  <c r="G64" i="6"/>
  <c r="G65" i="7"/>
  <c r="F66" i="6" l="1"/>
  <c r="D66" i="6"/>
  <c r="F70" i="6"/>
  <c r="F65" i="6"/>
  <c r="D70" i="6"/>
  <c r="F69" i="6"/>
  <c r="F71" i="6"/>
  <c r="F67" i="6"/>
  <c r="F68" i="6"/>
  <c r="G70" i="6"/>
  <c r="G66" i="6"/>
  <c r="G71" i="6"/>
  <c r="G67" i="6"/>
  <c r="G68" i="6"/>
  <c r="G65" i="6"/>
  <c r="G69" i="6"/>
  <c r="D69" i="6"/>
  <c r="D68" i="6"/>
  <c r="C70" i="6"/>
  <c r="C66" i="6"/>
  <c r="C71" i="6"/>
  <c r="C67" i="6"/>
  <c r="C69" i="6"/>
  <c r="C68" i="6"/>
  <c r="C65" i="6"/>
  <c r="B64" i="6"/>
  <c r="B65" i="7"/>
  <c r="B61" i="6"/>
  <c r="B59" i="6"/>
  <c r="B60" i="6" s="1"/>
  <c r="E68" i="6"/>
  <c r="E71" i="6"/>
  <c r="E67" i="6"/>
  <c r="E70" i="6"/>
  <c r="E69" i="6"/>
  <c r="E65" i="6"/>
  <c r="E66" i="6"/>
  <c r="D65" i="6"/>
  <c r="D71" i="6"/>
  <c r="B69" i="6" l="1"/>
  <c r="B65" i="6"/>
  <c r="B70" i="6"/>
  <c r="B66" i="6"/>
  <c r="B68" i="6"/>
  <c r="B67" i="6"/>
  <c r="B71" i="6"/>
  <c r="D30" i="7" l="1"/>
  <c r="F30" i="7" s="1"/>
  <c r="E50" i="7" s="1"/>
  <c r="F50" i="7" s="1"/>
  <c r="E12" i="3" l="1"/>
  <c r="E19" i="3"/>
  <c r="G30" i="7"/>
  <c r="C5" i="3"/>
  <c r="D5" i="3"/>
  <c r="B5" i="3"/>
  <c r="B3" i="1"/>
  <c r="B3" i="4" l="1"/>
  <c r="A1" i="4" s="1"/>
  <c r="B3" i="7"/>
  <c r="A1" i="7" s="1"/>
  <c r="F55" i="7"/>
  <c r="E24" i="3" s="1"/>
  <c r="E25" i="3" s="1"/>
  <c r="E26" i="3" s="1"/>
  <c r="G50" i="7"/>
  <c r="A1" i="1"/>
  <c r="B3" i="2"/>
  <c r="A1" i="2" s="1"/>
  <c r="D47" i="4"/>
  <c r="F47" i="4" s="1"/>
  <c r="D46" i="2"/>
  <c r="F46" i="2" s="1"/>
  <c r="F51" i="1"/>
  <c r="D46" i="4"/>
  <c r="D45" i="2"/>
  <c r="D50" i="1"/>
  <c r="D49" i="4"/>
  <c r="F49" i="4" s="1"/>
  <c r="D50" i="4"/>
  <c r="F50" i="4" s="1"/>
  <c r="D48" i="4"/>
  <c r="D48" i="2"/>
  <c r="F48" i="2" s="1"/>
  <c r="D49" i="2"/>
  <c r="F49" i="2" s="1"/>
  <c r="D47" i="2"/>
  <c r="F47" i="2" s="1"/>
  <c r="D51" i="4"/>
  <c r="D50" i="2"/>
  <c r="D55" i="1"/>
  <c r="F48" i="4" l="1"/>
  <c r="D21" i="3" s="1"/>
  <c r="G55" i="7"/>
  <c r="G56" i="7" s="1"/>
  <c r="B59" i="7" s="1"/>
  <c r="F56" i="7"/>
  <c r="D53" i="1"/>
  <c r="F53" i="1" s="1"/>
  <c r="D54" i="1"/>
  <c r="F54" i="1" s="1"/>
  <c r="D52" i="1"/>
  <c r="F52" i="1" s="1"/>
  <c r="E69" i="7" l="1"/>
  <c r="D70" i="7"/>
  <c r="C72" i="7"/>
  <c r="E71" i="7"/>
  <c r="G66" i="7"/>
  <c r="B70" i="7"/>
  <c r="D72" i="7"/>
  <c r="C68" i="7"/>
  <c r="E67" i="7"/>
  <c r="F70" i="7"/>
  <c r="G67" i="7"/>
  <c r="B71" i="7"/>
  <c r="E68" i="7"/>
  <c r="G72" i="7"/>
  <c r="B66" i="7"/>
  <c r="D66" i="7"/>
  <c r="G70" i="7"/>
  <c r="E70" i="7"/>
  <c r="F72" i="7"/>
  <c r="G69" i="7"/>
  <c r="E72" i="7"/>
  <c r="F66" i="7"/>
  <c r="B67" i="7"/>
  <c r="F69" i="7"/>
  <c r="C67" i="7"/>
  <c r="B62" i="7"/>
  <c r="D71" i="7"/>
  <c r="C70" i="7"/>
  <c r="E66" i="7"/>
  <c r="F68" i="7"/>
  <c r="B72" i="7"/>
  <c r="F67" i="7"/>
  <c r="C71" i="7"/>
  <c r="B69" i="7"/>
  <c r="D69" i="7"/>
  <c r="G71" i="7"/>
  <c r="B60" i="7"/>
  <c r="B61" i="7" s="1"/>
  <c r="D67" i="7"/>
  <c r="C66" i="7"/>
  <c r="D68" i="7"/>
  <c r="C69" i="7"/>
  <c r="B68" i="7"/>
  <c r="F71" i="7"/>
  <c r="G68" i="7"/>
  <c r="F43" i="2" l="1"/>
  <c r="F48" i="1"/>
  <c r="B8" i="5" l="1"/>
  <c r="C8" i="5" l="1"/>
  <c r="C16" i="1" l="1"/>
  <c r="C4" i="3" l="1"/>
  <c r="C6" i="3" s="1"/>
  <c r="D4" i="3"/>
  <c r="D6" i="3" s="1"/>
  <c r="B4" i="3"/>
  <c r="B6" i="3" s="1"/>
  <c r="D45" i="1" l="1"/>
  <c r="F45" i="1" l="1"/>
  <c r="G45" i="1" s="1"/>
  <c r="F41" i="1"/>
  <c r="G41" i="1" s="1"/>
  <c r="F42" i="1"/>
  <c r="G42" i="1" s="1"/>
  <c r="F43" i="1"/>
  <c r="G43" i="1" s="1"/>
  <c r="E21" i="4" l="1"/>
  <c r="D35" i="2" l="1"/>
  <c r="D34" i="2"/>
  <c r="F34" i="2" s="1"/>
  <c r="G34" i="2" s="1"/>
  <c r="D33" i="2"/>
  <c r="F33" i="2" s="1"/>
  <c r="D36" i="4"/>
  <c r="D39" i="1" l="1"/>
  <c r="F39" i="1" s="1"/>
  <c r="D40" i="1"/>
  <c r="F40" i="1" s="1"/>
  <c r="G40" i="1" s="1"/>
  <c r="D37" i="1"/>
  <c r="F37" i="1" s="1"/>
  <c r="D38" i="1"/>
  <c r="G39" i="1" l="1"/>
  <c r="G48" i="2"/>
  <c r="G53" i="1"/>
  <c r="G50" i="4"/>
  <c r="B23" i="3" l="1"/>
  <c r="C23" i="3"/>
  <c r="D23" i="3"/>
  <c r="D22" i="3"/>
  <c r="D3" i="3"/>
  <c r="D7" i="3" s="1"/>
  <c r="D35" i="4"/>
  <c r="D34" i="4"/>
  <c r="D36" i="1"/>
  <c r="D35" i="1"/>
  <c r="D34" i="1"/>
  <c r="D33" i="1"/>
  <c r="D31" i="4"/>
  <c r="F31" i="4" s="1"/>
  <c r="D30" i="2"/>
  <c r="F30" i="2" s="1"/>
  <c r="D30" i="1"/>
  <c r="F30" i="1" s="1"/>
  <c r="D22" i="4"/>
  <c r="D45" i="4"/>
  <c r="F45" i="4" s="1"/>
  <c r="D44" i="2"/>
  <c r="F44" i="2" s="1"/>
  <c r="D49" i="1"/>
  <c r="F49" i="1" s="1"/>
  <c r="C11" i="4"/>
  <c r="B11" i="4" s="1"/>
  <c r="C10" i="4"/>
  <c r="D10" i="4" s="1"/>
  <c r="C12" i="2"/>
  <c r="D12" i="2" s="1"/>
  <c r="C11" i="2"/>
  <c r="D11" i="2" s="1"/>
  <c r="C12" i="1"/>
  <c r="B12" i="1" s="1"/>
  <c r="C11" i="1"/>
  <c r="D11" i="1" s="1"/>
  <c r="D21" i="2"/>
  <c r="D21" i="1"/>
  <c r="F21" i="1" s="1"/>
  <c r="D27" i="4"/>
  <c r="F27" i="4" s="1"/>
  <c r="D28" i="4"/>
  <c r="F28" i="4" s="1"/>
  <c r="D26" i="4"/>
  <c r="F26" i="4" s="1"/>
  <c r="D26" i="2"/>
  <c r="F26" i="2" s="1"/>
  <c r="D27" i="2"/>
  <c r="F27" i="2" s="1"/>
  <c r="D25" i="2"/>
  <c r="F25" i="2" s="1"/>
  <c r="D26" i="1"/>
  <c r="F26" i="1" s="1"/>
  <c r="D27" i="1"/>
  <c r="F27" i="1" s="1"/>
  <c r="D25" i="1"/>
  <c r="F25" i="1" s="1"/>
  <c r="G54" i="1"/>
  <c r="G49" i="2"/>
  <c r="D41" i="4"/>
  <c r="D40" i="2"/>
  <c r="F40" i="2" s="1"/>
  <c r="D28" i="2"/>
  <c r="F28" i="2" s="1"/>
  <c r="D24" i="1"/>
  <c r="F24" i="1" s="1"/>
  <c r="D20" i="3" l="1"/>
  <c r="D17" i="3"/>
  <c r="B12" i="2"/>
  <c r="D12" i="1"/>
  <c r="D24" i="2"/>
  <c r="F24" i="2" s="1"/>
  <c r="F23" i="2" s="1"/>
  <c r="C11" i="3" s="1"/>
  <c r="B11" i="1"/>
  <c r="B11" i="2"/>
  <c r="D11" i="4"/>
  <c r="D29" i="4"/>
  <c r="F29" i="4" s="1"/>
  <c r="B10" i="4"/>
  <c r="D25" i="4"/>
  <c r="F25" i="4" s="1"/>
  <c r="D28" i="1"/>
  <c r="F28" i="1" s="1"/>
  <c r="F23" i="1" s="1"/>
  <c r="B11" i="3" s="1"/>
  <c r="F36" i="4"/>
  <c r="F33" i="1"/>
  <c r="F24" i="4" l="1"/>
  <c r="G24" i="4" s="1"/>
  <c r="G33" i="1"/>
  <c r="A65" i="4"/>
  <c r="A66" i="4" s="1"/>
  <c r="A67" i="4" s="1"/>
  <c r="A68" i="4" s="1"/>
  <c r="G49" i="4"/>
  <c r="G48" i="4"/>
  <c r="G47" i="4"/>
  <c r="G44" i="4"/>
  <c r="F41" i="4"/>
  <c r="F39" i="4"/>
  <c r="G39" i="4" s="1"/>
  <c r="F38" i="4"/>
  <c r="G38" i="4" s="1"/>
  <c r="F37" i="4"/>
  <c r="G37" i="4" s="1"/>
  <c r="G36" i="4"/>
  <c r="F35" i="4"/>
  <c r="G35" i="4" s="1"/>
  <c r="F34" i="4"/>
  <c r="G28" i="4"/>
  <c r="G27" i="4"/>
  <c r="G26" i="4"/>
  <c r="F22" i="4"/>
  <c r="C21" i="4"/>
  <c r="D15" i="4"/>
  <c r="C15" i="4"/>
  <c r="F42" i="4" s="1"/>
  <c r="B15" i="4"/>
  <c r="D14" i="4"/>
  <c r="C14" i="4"/>
  <c r="B14" i="4"/>
  <c r="D12" i="4"/>
  <c r="C12" i="4"/>
  <c r="B12" i="4"/>
  <c r="A7" i="4"/>
  <c r="B4" i="4"/>
  <c r="G19" i="4" s="1"/>
  <c r="G22" i="4" l="1"/>
  <c r="D11" i="3"/>
  <c r="E61" i="4"/>
  <c r="D61" i="4" s="1"/>
  <c r="D21" i="4"/>
  <c r="F21" i="4" s="1"/>
  <c r="G31" i="4"/>
  <c r="D12" i="3"/>
  <c r="G45" i="4"/>
  <c r="D18" i="3"/>
  <c r="G41" i="4"/>
  <c r="D14" i="3"/>
  <c r="C16" i="4"/>
  <c r="G25" i="4"/>
  <c r="G29" i="4"/>
  <c r="F33" i="4"/>
  <c r="D13" i="3" s="1"/>
  <c r="B16" i="4"/>
  <c r="D16" i="4"/>
  <c r="G34" i="4"/>
  <c r="G33" i="4" s="1"/>
  <c r="A5" i="4"/>
  <c r="A15" i="4"/>
  <c r="A16" i="4"/>
  <c r="A64" i="4"/>
  <c r="A63" i="4" s="1"/>
  <c r="A62" i="4" s="1"/>
  <c r="F61" i="4" l="1"/>
  <c r="G61" i="4" s="1"/>
  <c r="G42" i="4"/>
  <c r="D15" i="3"/>
  <c r="F20" i="4"/>
  <c r="G21" i="4"/>
  <c r="C61" i="4"/>
  <c r="E46" i="4" l="1"/>
  <c r="F46" i="4" s="1"/>
  <c r="D10" i="3"/>
  <c r="G20" i="4"/>
  <c r="B61" i="4"/>
  <c r="F51" i="4" l="1"/>
  <c r="F52" i="4" s="1"/>
  <c r="D19" i="3"/>
  <c r="G46" i="4"/>
  <c r="E62" i="4" l="1"/>
  <c r="D68" i="4"/>
  <c r="B65" i="4"/>
  <c r="B67" i="4"/>
  <c r="F66" i="4"/>
  <c r="C66" i="4"/>
  <c r="F65" i="4"/>
  <c r="G68" i="4"/>
  <c r="E67" i="4"/>
  <c r="B58" i="4"/>
  <c r="B66" i="4"/>
  <c r="B63" i="4"/>
  <c r="D67" i="4"/>
  <c r="G65" i="4"/>
  <c r="E66" i="4"/>
  <c r="D65" i="4"/>
  <c r="C68" i="4"/>
  <c r="D64" i="4"/>
  <c r="C64" i="4"/>
  <c r="C67" i="4"/>
  <c r="C65" i="4"/>
  <c r="G51" i="4"/>
  <c r="D24" i="3"/>
  <c r="G63" i="4"/>
  <c r="E68" i="4"/>
  <c r="D63" i="4"/>
  <c r="C62" i="4"/>
  <c r="D66" i="4"/>
  <c r="B56" i="4"/>
  <c r="B57" i="4" s="1"/>
  <c r="G67" i="4"/>
  <c r="F67" i="4"/>
  <c r="B64" i="4"/>
  <c r="F68" i="4"/>
  <c r="F63" i="4"/>
  <c r="E64" i="4"/>
  <c r="E65" i="4"/>
  <c r="B62" i="4"/>
  <c r="B68" i="4"/>
  <c r="F62" i="4"/>
  <c r="F64" i="4"/>
  <c r="C63" i="4"/>
  <c r="D62" i="4"/>
  <c r="G66" i="4"/>
  <c r="E63" i="4"/>
  <c r="G62" i="4"/>
  <c r="G64" i="4"/>
  <c r="G28" i="2"/>
  <c r="G23" i="2"/>
  <c r="F38" i="2"/>
  <c r="G38" i="2" s="1"/>
  <c r="F34" i="1"/>
  <c r="F38" i="1"/>
  <c r="G38" i="1" s="1"/>
  <c r="F36" i="1"/>
  <c r="F35" i="1"/>
  <c r="G23" i="1"/>
  <c r="G52" i="4" l="1"/>
  <c r="B55" i="4" s="1"/>
  <c r="F32" i="1"/>
  <c r="B13" i="3" s="1"/>
  <c r="G37" i="1"/>
  <c r="G34" i="1"/>
  <c r="C17" i="3"/>
  <c r="C21" i="3"/>
  <c r="B21" i="3"/>
  <c r="B17" i="3"/>
  <c r="B3" i="3"/>
  <c r="B7" i="3" s="1"/>
  <c r="F21" i="2"/>
  <c r="C13" i="2"/>
  <c r="D13" i="2"/>
  <c r="B13" i="2"/>
  <c r="B13" i="1"/>
  <c r="C13" i="1"/>
  <c r="D13" i="1"/>
  <c r="D16" i="2"/>
  <c r="C16" i="2"/>
  <c r="B16" i="2"/>
  <c r="B16" i="1"/>
  <c r="A8" i="1"/>
  <c r="D16" i="1"/>
  <c r="E65" i="1" l="1"/>
  <c r="F65" i="1" s="1"/>
  <c r="G65" i="1" s="1"/>
  <c r="C15" i="1"/>
  <c r="F46" i="1" s="1"/>
  <c r="E50" i="1" s="1"/>
  <c r="F50" i="1" s="1"/>
  <c r="E60" i="2"/>
  <c r="D60" i="2" s="1"/>
  <c r="G43" i="2"/>
  <c r="G47" i="2"/>
  <c r="D25" i="3" s="1"/>
  <c r="D26" i="3" s="1"/>
  <c r="G48" i="1"/>
  <c r="G52" i="1"/>
  <c r="C22" i="3"/>
  <c r="C18" i="3"/>
  <c r="F37" i="2"/>
  <c r="G37" i="2" s="1"/>
  <c r="F36" i="2"/>
  <c r="G36" i="2" s="1"/>
  <c r="F35" i="2"/>
  <c r="C12" i="3"/>
  <c r="G27" i="2"/>
  <c r="G26" i="2"/>
  <c r="G25" i="2"/>
  <c r="C10" i="3"/>
  <c r="A8" i="2"/>
  <c r="B5" i="2"/>
  <c r="B4" i="2"/>
  <c r="G36" i="1"/>
  <c r="G35" i="1"/>
  <c r="G27" i="1"/>
  <c r="G26" i="1"/>
  <c r="G25" i="1"/>
  <c r="G24" i="1"/>
  <c r="B5" i="1"/>
  <c r="B4" i="1"/>
  <c r="A17" i="1" s="1"/>
  <c r="D65" i="1" l="1"/>
  <c r="C65" i="1" s="1"/>
  <c r="B65" i="1" s="1"/>
  <c r="G32" i="1"/>
  <c r="F32" i="2"/>
  <c r="G35" i="2"/>
  <c r="F60" i="2"/>
  <c r="G60" i="2" s="1"/>
  <c r="G33" i="2"/>
  <c r="G21" i="1"/>
  <c r="B10" i="3"/>
  <c r="G28" i="1"/>
  <c r="G30" i="1"/>
  <c r="B12" i="3"/>
  <c r="G49" i="1"/>
  <c r="B18" i="3"/>
  <c r="B22" i="3"/>
  <c r="B14" i="3"/>
  <c r="G30" i="2"/>
  <c r="A17" i="2"/>
  <c r="A6" i="2"/>
  <c r="G44" i="2"/>
  <c r="G40" i="2"/>
  <c r="C14" i="3"/>
  <c r="G21" i="2"/>
  <c r="G24" i="2"/>
  <c r="G20" i="2"/>
  <c r="A16" i="2"/>
  <c r="A16" i="1"/>
  <c r="A6" i="1"/>
  <c r="G20" i="1"/>
  <c r="G50" i="1" l="1"/>
  <c r="F55" i="1"/>
  <c r="B19" i="3"/>
  <c r="C13" i="3"/>
  <c r="G32" i="2"/>
  <c r="G46" i="2"/>
  <c r="C20" i="3"/>
  <c r="C15" i="2"/>
  <c r="F41" i="2" s="1"/>
  <c r="C3" i="3"/>
  <c r="C7" i="3" s="1"/>
  <c r="A64" i="2"/>
  <c r="D15" i="1"/>
  <c r="C17" i="1"/>
  <c r="C60" i="2"/>
  <c r="B60" i="2" s="1"/>
  <c r="A69" i="1"/>
  <c r="E45" i="2" l="1"/>
  <c r="B24" i="3"/>
  <c r="F56" i="1"/>
  <c r="G55" i="1"/>
  <c r="G51" i="1"/>
  <c r="B20" i="3"/>
  <c r="B15" i="1"/>
  <c r="B17" i="1" s="1"/>
  <c r="B15" i="2"/>
  <c r="B17" i="2" s="1"/>
  <c r="C17" i="2"/>
  <c r="D15" i="2"/>
  <c r="D17" i="2" s="1"/>
  <c r="A63" i="2"/>
  <c r="A62" i="2" s="1"/>
  <c r="A61" i="2" s="1"/>
  <c r="A65" i="2"/>
  <c r="A66" i="2" s="1"/>
  <c r="A67" i="2" s="1"/>
  <c r="D17" i="1"/>
  <c r="A70" i="1"/>
  <c r="A71" i="1" s="1"/>
  <c r="A72" i="1" s="1"/>
  <c r="A68" i="1"/>
  <c r="A67" i="1" s="1"/>
  <c r="A66" i="1" s="1"/>
  <c r="F45" i="2" l="1"/>
  <c r="C19" i="3" s="1"/>
  <c r="B62" i="1"/>
  <c r="E69" i="1"/>
  <c r="G72" i="1"/>
  <c r="G46" i="1"/>
  <c r="G56" i="1" s="1"/>
  <c r="B15" i="3"/>
  <c r="B25" i="3" s="1"/>
  <c r="B26" i="3" s="1"/>
  <c r="G41" i="2"/>
  <c r="C15" i="3"/>
  <c r="G45" i="2" l="1"/>
  <c r="F50" i="2"/>
  <c r="F51" i="2" s="1"/>
  <c r="B59" i="1"/>
  <c r="F70" i="1"/>
  <c r="B60" i="1"/>
  <c r="B61" i="1" s="1"/>
  <c r="F72" i="1"/>
  <c r="C66" i="1"/>
  <c r="C72" i="1"/>
  <c r="D69" i="1"/>
  <c r="D67" i="1"/>
  <c r="D71" i="1"/>
  <c r="D70" i="1"/>
  <c r="D66" i="1"/>
  <c r="E66" i="1"/>
  <c r="E72" i="1"/>
  <c r="D68" i="1"/>
  <c r="E70" i="1"/>
  <c r="E68" i="1"/>
  <c r="E71" i="1"/>
  <c r="D72" i="1"/>
  <c r="E67" i="1"/>
  <c r="C70" i="1"/>
  <c r="C68" i="1"/>
  <c r="F68" i="1"/>
  <c r="F67" i="1"/>
  <c r="C71" i="1"/>
  <c r="B67" i="1"/>
  <c r="B70" i="1"/>
  <c r="B66" i="1"/>
  <c r="B69" i="1"/>
  <c r="B68" i="1"/>
  <c r="B72" i="1"/>
  <c r="B71" i="1"/>
  <c r="F69" i="1"/>
  <c r="G68" i="1"/>
  <c r="G67" i="1"/>
  <c r="G71" i="1"/>
  <c r="G70" i="1"/>
  <c r="G66" i="1"/>
  <c r="G69" i="1"/>
  <c r="C69" i="1"/>
  <c r="C67" i="1"/>
  <c r="F71" i="1"/>
  <c r="F66" i="1"/>
  <c r="C24" i="3" l="1"/>
  <c r="C25" i="3" s="1"/>
  <c r="C26" i="3" s="1"/>
  <c r="G50" i="2"/>
  <c r="G51" i="2" s="1"/>
  <c r="B54" i="2" s="1"/>
  <c r="B62" i="2"/>
  <c r="G67" i="2"/>
  <c r="G65" i="2"/>
  <c r="C67" i="2"/>
  <c r="D67" i="2"/>
  <c r="G63" i="2"/>
  <c r="B63" i="2"/>
  <c r="E63" i="2"/>
  <c r="B66" i="2"/>
  <c r="B65" i="2"/>
  <c r="E64" i="2"/>
  <c r="D65" i="2"/>
  <c r="F64" i="2"/>
  <c r="B61" i="2"/>
  <c r="F62" i="2"/>
  <c r="C66" i="2"/>
  <c r="D61" i="2"/>
  <c r="B64" i="2"/>
  <c r="B67" i="2"/>
  <c r="E65" i="2"/>
  <c r="C63" i="2"/>
  <c r="E61" i="2"/>
  <c r="D64" i="2"/>
  <c r="F66" i="2"/>
  <c r="G61" i="2"/>
  <c r="G62" i="2"/>
  <c r="F67" i="2"/>
  <c r="C64" i="2"/>
  <c r="E66" i="2"/>
  <c r="C62" i="2"/>
  <c r="D66" i="2"/>
  <c r="B57" i="2"/>
  <c r="B55" i="2"/>
  <c r="B56" i="2" s="1"/>
  <c r="F61" i="2"/>
  <c r="G64" i="2"/>
  <c r="G66" i="2"/>
  <c r="F65" i="2"/>
  <c r="E67" i="2"/>
  <c r="E62" i="2"/>
  <c r="C61" i="2"/>
  <c r="C65" i="2"/>
  <c r="D62" i="2"/>
  <c r="D63" i="2"/>
  <c r="F63" i="2"/>
</calcChain>
</file>

<file path=xl/comments1.xml><?xml version="1.0" encoding="utf-8"?>
<comments xmlns="http://schemas.openxmlformats.org/spreadsheetml/2006/main">
  <authors>
    <author>Petru Fourie</author>
    <author>Michelle Mokone</author>
  </authors>
  <commentList>
    <comment ref="B3" authorId="0">
      <text>
        <r>
          <rPr>
            <b/>
            <sz val="9"/>
            <color indexed="81"/>
            <rFont val="Tahoma"/>
            <family val="2"/>
          </rPr>
          <t>Petru Fourie:</t>
        </r>
        <r>
          <rPr>
            <sz val="9"/>
            <color indexed="81"/>
            <rFont val="Tahoma"/>
            <family val="2"/>
          </rPr>
          <t xml:space="preserve">
Average Jul 20</t>
        </r>
      </text>
    </comment>
    <comment ref="C3" authorId="0">
      <text>
        <r>
          <rPr>
            <b/>
            <sz val="9"/>
            <color indexed="81"/>
            <rFont val="Tahoma"/>
            <family val="2"/>
          </rPr>
          <t>Petru Fourie:</t>
        </r>
        <r>
          <rPr>
            <sz val="9"/>
            <color indexed="81"/>
            <rFont val="Tahoma"/>
            <family val="2"/>
          </rPr>
          <t xml:space="preserve">
Average May 18</t>
        </r>
      </text>
    </comment>
    <comment ref="D3" authorId="0">
      <text>
        <r>
          <rPr>
            <b/>
            <sz val="9"/>
            <color indexed="81"/>
            <rFont val="Tahoma"/>
            <family val="2"/>
          </rPr>
          <t>Petru Fourie:</t>
        </r>
        <r>
          <rPr>
            <sz val="9"/>
            <color indexed="81"/>
            <rFont val="Tahoma"/>
            <family val="2"/>
          </rPr>
          <t xml:space="preserve">
Average May 18</t>
        </r>
      </text>
    </comment>
    <comment ref="A4" authorId="1">
      <text>
        <r>
          <rPr>
            <b/>
            <sz val="9"/>
            <color indexed="81"/>
            <rFont val="Tahoma"/>
            <family val="2"/>
          </rPr>
          <t>Michelle Mokone:</t>
        </r>
        <r>
          <rPr>
            <sz val="9"/>
            <color indexed="81"/>
            <rFont val="Tahoma"/>
            <family val="2"/>
          </rPr>
          <t xml:space="preserve">
Marketing commission
Handling Costs
Marketing Cost
Transport differential</t>
        </r>
      </text>
    </comment>
  </commentList>
</comments>
</file>

<file path=xl/sharedStrings.xml><?xml version="1.0" encoding="utf-8"?>
<sst xmlns="http://schemas.openxmlformats.org/spreadsheetml/2006/main" count="466" uniqueCount="147">
  <si>
    <t>MAIZE</t>
  </si>
  <si>
    <t>Area of farm.</t>
  </si>
  <si>
    <t>Ha's</t>
  </si>
  <si>
    <t>Poor</t>
  </si>
  <si>
    <t>Average</t>
  </si>
  <si>
    <t>Good</t>
  </si>
  <si>
    <t>Income per Hectare</t>
  </si>
  <si>
    <t>LESS: DIRECT COSTS</t>
  </si>
  <si>
    <t>Description</t>
  </si>
  <si>
    <t>Cost/Ha</t>
  </si>
  <si>
    <t>SEED</t>
  </si>
  <si>
    <t>kg</t>
  </si>
  <si>
    <t>N</t>
  </si>
  <si>
    <t>P</t>
  </si>
  <si>
    <t>K</t>
  </si>
  <si>
    <t>l</t>
  </si>
  <si>
    <t>DIESEL</t>
  </si>
  <si>
    <t>CROP INSURANCE</t>
  </si>
  <si>
    <t>ha</t>
  </si>
  <si>
    <t>TRANSPORT</t>
  </si>
  <si>
    <t>km</t>
  </si>
  <si>
    <t>REPAIRS AND MAINTENANCE</t>
  </si>
  <si>
    <t>ELECTRICITY</t>
  </si>
  <si>
    <t>Direct Cost</t>
  </si>
  <si>
    <t>GROSS MARGINS</t>
  </si>
  <si>
    <t>Estimated Total G.M.</t>
  </si>
  <si>
    <t>Estimated G.M./ Ha</t>
  </si>
  <si>
    <t>Estimated G.M./ Ton</t>
  </si>
  <si>
    <t>Sensitivity Analysis</t>
  </si>
  <si>
    <t>Yield</t>
  </si>
  <si>
    <t>SUNFLOWER</t>
  </si>
  <si>
    <t>Herbicide and pesticide</t>
  </si>
  <si>
    <t>Seed</t>
  </si>
  <si>
    <t>Fertiliser</t>
  </si>
  <si>
    <t>Lime</t>
  </si>
  <si>
    <t>Fuel</t>
  </si>
  <si>
    <t>Crop insurance</t>
  </si>
  <si>
    <t>Transport</t>
  </si>
  <si>
    <t>Repair and maintanance</t>
  </si>
  <si>
    <t>Electricity</t>
  </si>
  <si>
    <t>Gross Production Value (R/ha)</t>
  </si>
  <si>
    <t>Variable costs (R/ha)</t>
  </si>
  <si>
    <t>Yield target (ton/ha)</t>
  </si>
  <si>
    <t>Direct Cost (R/ha)</t>
  </si>
  <si>
    <t>Yield expectation (ton/ha)</t>
  </si>
  <si>
    <t>Safex price (R/ton)</t>
  </si>
  <si>
    <t>Minus: Marketing cost (R/ton)</t>
  </si>
  <si>
    <t>Producer price (R/ton)</t>
  </si>
  <si>
    <t>Price</t>
  </si>
  <si>
    <t>Maize</t>
  </si>
  <si>
    <t>Sunflower</t>
  </si>
  <si>
    <t>Gross Margin (R/ha)</t>
  </si>
  <si>
    <t>CHEMICALS</t>
  </si>
  <si>
    <t>kernels</t>
  </si>
  <si>
    <t>bags (kg)</t>
  </si>
  <si>
    <t>LIME - apply every 3 years</t>
  </si>
  <si>
    <t xml:space="preserve">     Gardomill Gold</t>
  </si>
  <si>
    <t xml:space="preserve">     Dual Gold</t>
  </si>
  <si>
    <t xml:space="preserve">     Karate Zeon</t>
  </si>
  <si>
    <t xml:space="preserve">     Karate EC</t>
  </si>
  <si>
    <t xml:space="preserve">     2,4D</t>
  </si>
  <si>
    <t>Unit of measure (UoM)</t>
  </si>
  <si>
    <t xml:space="preserve">Number of applications </t>
  </si>
  <si>
    <t>Quantity / Hectare</t>
  </si>
  <si>
    <t>HEDGING</t>
  </si>
  <si>
    <r>
      <rPr>
        <b/>
        <sz val="8"/>
        <color theme="1"/>
        <rFont val="Calibri"/>
        <family val="2"/>
        <scheme val="minor"/>
      </rPr>
      <t>Disclaimer:</t>
    </r>
    <r>
      <rPr>
        <sz val="8"/>
        <color theme="1"/>
        <rFont val="Calibri"/>
        <family val="2"/>
        <scheme val="minor"/>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</si>
  <si>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 xml:space="preserve">    Seed retention</t>
  </si>
  <si>
    <t xml:space="preserve">    Seed purchase</t>
  </si>
  <si>
    <t>FERTILIZER</t>
  </si>
  <si>
    <t xml:space="preserve">    Round-up Power Max</t>
  </si>
  <si>
    <t xml:space="preserve">    Karate Zeon</t>
  </si>
  <si>
    <t xml:space="preserve">HEDGING </t>
  </si>
  <si>
    <t xml:space="preserve">     Round-up Power Max</t>
  </si>
  <si>
    <t>CONTRACT HARVESTING</t>
  </si>
  <si>
    <t>CROP INSURANCE (hael, fire)</t>
  </si>
  <si>
    <t>Soybeans</t>
  </si>
  <si>
    <t>Marketing cost (R/ton)</t>
  </si>
  <si>
    <t>PRICE SHEET</t>
  </si>
  <si>
    <t>FERTILIZER - MAP (price per ton)</t>
  </si>
  <si>
    <t>TOP DRESSING - LAN 28  (price per ton)</t>
  </si>
  <si>
    <t>Input per crop</t>
  </si>
  <si>
    <t>Input prices</t>
  </si>
  <si>
    <t>General</t>
  </si>
  <si>
    <t xml:space="preserve">    Palladium 960</t>
  </si>
  <si>
    <t>Contract Harvesting</t>
  </si>
  <si>
    <t>RENT (LAND)</t>
  </si>
  <si>
    <t xml:space="preserve">      Seed (price per bag)</t>
  </si>
  <si>
    <t xml:space="preserve">      Seed (price per kernel)</t>
  </si>
  <si>
    <t xml:space="preserve">      Seed (kernels per bag)</t>
  </si>
  <si>
    <t>Hedging</t>
  </si>
  <si>
    <t>Rent (Land)</t>
  </si>
  <si>
    <t xml:space="preserve">     Callisto</t>
  </si>
  <si>
    <t xml:space="preserve">     Primagram Gold</t>
  </si>
  <si>
    <t>SOYBEAN</t>
  </si>
  <si>
    <t xml:space="preserve">     Metagan</t>
  </si>
  <si>
    <t xml:space="preserve">    Alfa Supermetrien (snywurm)</t>
  </si>
  <si>
    <t xml:space="preserve">    CHEMICALS</t>
  </si>
  <si>
    <t xml:space="preserve">    CHEMICALS 1</t>
  </si>
  <si>
    <t xml:space="preserve">    CHEMICALS 2</t>
  </si>
  <si>
    <t xml:space="preserve">    CHEMICALS 3</t>
  </si>
  <si>
    <t xml:space="preserve">    CHEMICALS </t>
  </si>
  <si>
    <t xml:space="preserve">    Alfa Sipermetrien (snywurm)</t>
  </si>
  <si>
    <t xml:space="preserve">    MAP</t>
  </si>
  <si>
    <t>Break-even (ton)</t>
  </si>
  <si>
    <t xml:space="preserve">    Top dressing - LAN 28</t>
  </si>
  <si>
    <t xml:space="preserve">                                   Thank you to the Maize Trust for partially funding this project</t>
  </si>
  <si>
    <t>CASUAL LABOUR</t>
  </si>
  <si>
    <t>R/ton</t>
  </si>
  <si>
    <t>LIME (R/ton)</t>
  </si>
  <si>
    <t>PRODUCTION CREDIT</t>
  </si>
  <si>
    <t xml:space="preserve"> Hedging</t>
  </si>
  <si>
    <t>Transport (R/km)</t>
  </si>
  <si>
    <t>Production credit</t>
  </si>
  <si>
    <t xml:space="preserve">SAFEX: Estimated Price </t>
  </si>
  <si>
    <t xml:space="preserve">Deductions </t>
  </si>
  <si>
    <t>Net Farm Gate Price</t>
  </si>
  <si>
    <t>Production cost and profitability analysis of COTTON for the 2017/18 production season</t>
  </si>
  <si>
    <t>COTTON</t>
  </si>
  <si>
    <t>2017/18 production season</t>
  </si>
  <si>
    <t>l/ha</t>
  </si>
  <si>
    <t>R/ha</t>
  </si>
  <si>
    <t>PACKAGING AND PACKING</t>
  </si>
  <si>
    <t>AERIAL SPRAY</t>
  </si>
  <si>
    <t>GROUNDNUTS</t>
  </si>
  <si>
    <t xml:space="preserve">SEED </t>
  </si>
  <si>
    <t>kg/ha</t>
  </si>
  <si>
    <t>bags (50 kg)</t>
  </si>
  <si>
    <t xml:space="preserve">     Top dressing - LAN 28</t>
  </si>
  <si>
    <t xml:space="preserve">LIME </t>
  </si>
  <si>
    <t>Groundnuts</t>
  </si>
  <si>
    <t xml:space="preserve">     Frontier Optima</t>
  </si>
  <si>
    <t xml:space="preserve">     Bassagran</t>
  </si>
  <si>
    <t xml:space="preserve">     Attack (Judo)</t>
  </si>
  <si>
    <t xml:space="preserve">     Score</t>
  </si>
  <si>
    <t xml:space="preserve">     Punch C</t>
  </si>
  <si>
    <t xml:space="preserve">     Calmabon </t>
  </si>
  <si>
    <t xml:space="preserve">     Leaf supply (Groundnut)</t>
  </si>
  <si>
    <t>PACKAGING - Groundnuts</t>
  </si>
  <si>
    <t>Crop insurance (Hail)</t>
  </si>
  <si>
    <t>Casual Labour</t>
  </si>
  <si>
    <t>Groundnut</t>
  </si>
  <si>
    <t>PACKAGING AND PACKING MATERIAL</t>
  </si>
  <si>
    <t>Packaging and packaging material</t>
  </si>
  <si>
    <t>Casual labour</t>
  </si>
  <si>
    <t>Contract harvesting</t>
  </si>
  <si>
    <t>2019/20 production season</t>
  </si>
  <si>
    <r>
      <rPr>
        <b/>
        <sz val="11"/>
        <color rgb="FF0070C0"/>
        <rFont val="Calibri"/>
        <family val="2"/>
        <scheme val="minor"/>
      </rPr>
      <t>NORTH WEST</t>
    </r>
    <r>
      <rPr>
        <b/>
        <sz val="11"/>
        <color theme="1"/>
        <rFont val="Calibri"/>
        <family val="2"/>
        <scheme val="minor"/>
      </rPr>
      <t xml:space="preserve"> INCOME &amp; COST BUDGETS - SUMMER CROPS 2019/20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</si>
</sst>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R&quot;\ * #,##0.00_ ;_ &quot;R&quot;\ * \-#,##0.00_ ;_ &quot;R&quot;\ * &quot;-&quot;??_ ;_ @_ "/>
    <numFmt numFmtId="43" formatCode="_ * #,##0.00_ ;_ * \-#,##0.00_ ;_ * &quot;-&quot;??_ ;_ @_ "/>
    <numFmt numFmtId="164" formatCode="_ [$R-1C09]\ * #,##0_ ;_ [$R-1C09]\ * \-#,##0_ ;_ [$R-1C09]\ * &quot;-&quot;??_ ;_ @_ "/>
    <numFmt numFmtId="165" formatCode="_ * #,##0_ ;_ * \-#,##0_ ;_ * &quot;-&quot;??_ ;_ @_ "/>
    <numFmt numFmtId="166" formatCode="_ [$R-1C09]\ * #,##0.00_ ;_ [$R-1C09]\ * \-#,##0.00_ ;_ [$R-1C09]\ * &quot;-&quot;??_ ;_ @_ "/>
    <numFmt numFmtId="167" formatCode="0.0%"/>
    <numFmt numFmtId="168" formatCode="_ * #,##0.000000000_ ;_ * \-#,##0.000000000_ ;_ * &quot;-&quot;??_ ;_ @_ "/>
    <numFmt numFmtId="169" formatCode="_ [$R-1C09]\ * #,##0.000_ ;_ [$R-1C09]\ * \-#,##0.000_ ;_ [$R-1C09]\ * &quot;-&quot;??_ ;_ @_ "/>
    <numFmt numFmtId="170" formatCode="_ * #,##0.0_ ;_ * \-#,##0.0_ ;_ * &quot;-&quot;??_ ;_ @_ "/>
    <numFmt numFmtId="171" formatCode="_ [$R-1C09]\ * #,##0.0_ ;_ [$R-1C09]\ * \-#,##0.0_ ;_ [$R-1C09]\ * &quot;-&quot;??_ ;_ @_ "/>
    <numFmt numFmtId="172" formatCode="_ [$R-436]\ * #,##0.00_ ;_ [$R-436]\ * \-#,##0.00_ ;_ [$R-436]\ * &quot;-&quot;??_ ;_ @_ "/>
    <numFmt numFmtId="173" formatCode="0.0"/>
    <numFmt numFmtId="174" formatCode="_(* #,##0.00_);_(* \(#,##0.00\);_(* &quot;-&quot;??_);_(@_)"/>
    <numFmt numFmtId="175" formatCode="_ [$R-1C09]\ * #,##0.0000_ ;_ [$R-1C09]\ * \-#,##0.0000_ ;_ [$R-1C09]\ * &quot;-&quot;??_ ;_ @_ "/>
    <numFmt numFmtId="176" formatCode="_ * #,##0.000_ ;_ * \-#,##0.000_ ;_ * &quot;-&quot;??_ ;_ @_ "/>
    <numFmt numFmtId="177" formatCode="&quot;R&quot;\ #,##0"/>
    <numFmt numFmtId="178" formatCode="_(&quot;$&quot;* #,##0.00_);_(&quot;$&quot;* \(#,##0.00\);_(&quot;$&quot;*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1"/>
      <color theme="1"/>
      <name val="Calibri"/>
      <family val="2"/>
      <scheme val="minor"/>
    </font>
    <font>
      <sz val="11"/>
      <color rgb="FFFF0000"/>
      <name val="Calibri"/>
      <family val="2"/>
      <scheme val="minor"/>
    </font>
    <font>
      <sz val="10"/>
      <name val="Arial"/>
      <family val="2"/>
    </font>
    <font>
      <sz val="11"/>
      <name val="Times New Roman"/>
      <family val="1"/>
    </font>
    <font>
      <sz val="10"/>
      <name val="Arial"/>
      <family val="2"/>
    </font>
    <font>
      <sz val="10"/>
      <name val="Segoe UI"/>
      <family val="2"/>
    </font>
    <font>
      <b/>
      <sz val="14"/>
      <name val="Calibri"/>
      <family val="2"/>
      <scheme val="minor"/>
    </font>
    <font>
      <sz val="14"/>
      <color theme="1"/>
      <name val="Calibri"/>
      <family val="2"/>
      <scheme val="minor"/>
    </font>
    <font>
      <b/>
      <sz val="14"/>
      <color theme="0"/>
      <name val="Calibri"/>
      <family val="2"/>
      <scheme val="minor"/>
    </font>
    <font>
      <sz val="8"/>
      <color theme="1"/>
      <name val="Calibri"/>
      <family val="2"/>
      <scheme val="minor"/>
    </font>
    <font>
      <b/>
      <sz val="8"/>
      <color theme="1"/>
      <name val="Calibri"/>
      <family val="2"/>
      <scheme val="minor"/>
    </font>
    <font>
      <sz val="11"/>
      <color rgb="FF00B0F0"/>
      <name val="Calibri"/>
      <family val="2"/>
      <scheme val="minor"/>
    </font>
    <font>
      <u/>
      <sz val="10"/>
      <color indexed="12"/>
      <name val="Courier"/>
      <family val="3"/>
    </font>
    <font>
      <sz val="10"/>
      <color theme="1"/>
      <name val="Arial"/>
      <family val="2"/>
    </font>
    <font>
      <sz val="9"/>
      <color indexed="81"/>
      <name val="Tahoma"/>
      <family val="2"/>
    </font>
    <font>
      <b/>
      <sz val="9"/>
      <color indexed="81"/>
      <name val="Tahoma"/>
      <family val="2"/>
    </font>
    <font>
      <sz val="10"/>
      <name val="Arial"/>
      <family val="2"/>
    </font>
    <font>
      <sz val="8"/>
      <name val="Arial"/>
      <family val="2"/>
    </font>
    <font>
      <sz val="11"/>
      <color indexed="8"/>
      <name val="Calibri"/>
      <family val="2"/>
    </font>
    <font>
      <sz val="11"/>
      <color rgb="FF00B050"/>
      <name val="Calibri"/>
      <family val="2"/>
      <scheme val="minor"/>
    </font>
    <font>
      <b/>
      <sz val="11"/>
      <color rgb="FF0070C0"/>
      <name val="Calibri"/>
      <family val="2"/>
      <scheme val="minor"/>
    </font>
  </fonts>
  <fills count="9">
    <fill>
      <patternFill patternType="none"/>
    </fill>
    <fill>
      <patternFill patternType="gray125"/>
    </fill>
    <fill>
      <patternFill patternType="solid">
        <fgColor rgb="FF00B050"/>
        <bgColor indexed="64"/>
      </patternFill>
    </fill>
    <fill>
      <patternFill patternType="solid">
        <fgColor theme="6" tint="0.79998168889431442"/>
        <bgColor indexed="64"/>
      </patternFill>
    </fill>
    <fill>
      <patternFill patternType="solid">
        <fgColor theme="6" tint="0.79998168889431442"/>
        <bgColor indexed="65"/>
      </patternFill>
    </fill>
    <fill>
      <patternFill patternType="solid">
        <fgColor theme="6" tint="0.59999389629810485"/>
        <bgColor indexed="65"/>
      </patternFill>
    </fill>
    <fill>
      <patternFill patternType="solid">
        <fgColor theme="8" tint="-0.249977111117893"/>
        <bgColor indexed="64"/>
      </patternFill>
    </fill>
    <fill>
      <patternFill patternType="solid">
        <fgColor theme="5" tint="0.59999389629810485"/>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9">
    <xf numFmtId="0" fontId="0" fillId="0" borderId="0"/>
    <xf numFmtId="43"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8" fillId="0" borderId="0"/>
    <xf numFmtId="0" fontId="9" fillId="0" borderId="0"/>
    <xf numFmtId="43" fontId="7" fillId="0" borderId="0" applyFont="0" applyFill="0" applyBorder="0" applyAlignment="0" applyProtection="0"/>
    <xf numFmtId="0" fontId="7" fillId="0" borderId="0"/>
    <xf numFmtId="0" fontId="10" fillId="0" borderId="0"/>
    <xf numFmtId="0" fontId="7" fillId="0" borderId="0"/>
    <xf numFmtId="0" fontId="1" fillId="0" borderId="0"/>
    <xf numFmtId="0" fontId="10"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7" fillId="0" borderId="0"/>
    <xf numFmtId="0" fontId="1" fillId="4" borderId="0" applyNumberFormat="0" applyBorder="0" applyAlignment="0" applyProtection="0"/>
    <xf numFmtId="0" fontId="1" fillId="5" borderId="0" applyNumberFormat="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0" fontId="17" fillId="0" borderId="0" applyNumberFormat="0" applyFill="0" applyBorder="0" applyAlignment="0" applyProtection="0">
      <alignment vertical="top"/>
      <protection locked="0"/>
    </xf>
    <xf numFmtId="0" fontId="7" fillId="0" borderId="0"/>
    <xf numFmtId="0" fontId="18" fillId="0" borderId="0"/>
    <xf numFmtId="0" fontId="18" fillId="0" borderId="0"/>
    <xf numFmtId="0" fontId="18" fillId="0" borderId="0"/>
    <xf numFmtId="0" fontId="18" fillId="0" borderId="0"/>
    <xf numFmtId="0" fontId="1" fillId="0" borderId="0"/>
    <xf numFmtId="0" fontId="18" fillId="0" borderId="0"/>
    <xf numFmtId="0" fontId="7" fillId="0" borderId="0"/>
    <xf numFmtId="0" fontId="18" fillId="0" borderId="0"/>
    <xf numFmtId="0" fontId="18"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2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78" fontId="7" fillId="0" borderId="0" applyFont="0" applyFill="0" applyBorder="0" applyAlignment="0" applyProtection="0"/>
    <xf numFmtId="0" fontId="22" fillId="0" borderId="0"/>
    <xf numFmtId="0" fontId="7" fillId="0" borderId="0"/>
    <xf numFmtId="0" fontId="10" fillId="0" borderId="0"/>
    <xf numFmtId="0" fontId="7" fillId="0" borderId="0"/>
    <xf numFmtId="0" fontId="7" fillId="0" borderId="0"/>
    <xf numFmtId="0" fontId="18" fillId="0" borderId="0"/>
    <xf numFmtId="0" fontId="18" fillId="0" borderId="0"/>
    <xf numFmtId="0" fontId="22" fillId="0" borderId="0"/>
    <xf numFmtId="0" fontId="22" fillId="0" borderId="0"/>
    <xf numFmtId="0" fontId="1" fillId="0" borderId="0"/>
    <xf numFmtId="0" fontId="7" fillId="0" borderId="0"/>
    <xf numFmtId="0" fontId="22" fillId="0" borderId="0"/>
    <xf numFmtId="0" fontId="22" fillId="0" borderId="0"/>
    <xf numFmtId="0" fontId="10"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alignment vertical="top"/>
      <protection locked="0"/>
    </xf>
    <xf numFmtId="0" fontId="22"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cellStyleXfs>
  <cellXfs count="256">
    <xf numFmtId="0" fontId="0" fillId="0" borderId="0" xfId="0"/>
    <xf numFmtId="43" fontId="3" fillId="0" borderId="0" xfId="1" applyFont="1" applyFill="1" applyBorder="1" applyAlignment="1"/>
    <xf numFmtId="43" fontId="4" fillId="0" borderId="0" xfId="1" applyFont="1" applyFill="1" applyBorder="1" applyAlignment="1"/>
    <xf numFmtId="43" fontId="2" fillId="0" borderId="0" xfId="1" applyFont="1" applyFill="1" applyBorder="1" applyAlignment="1">
      <alignment horizontal="center"/>
    </xf>
    <xf numFmtId="43" fontId="3" fillId="0" borderId="2" xfId="1" applyFont="1" applyFill="1" applyBorder="1" applyAlignment="1"/>
    <xf numFmtId="43" fontId="3" fillId="0" borderId="2" xfId="1" applyFont="1" applyFill="1" applyBorder="1" applyAlignment="1">
      <alignment horizontal="left"/>
    </xf>
    <xf numFmtId="43" fontId="2" fillId="2" borderId="1" xfId="1" applyFont="1" applyFill="1" applyBorder="1" applyAlignment="1">
      <alignment vertical="center" wrapText="1"/>
    </xf>
    <xf numFmtId="43" fontId="2" fillId="2" borderId="1" xfId="1" applyFont="1" applyFill="1" applyBorder="1" applyAlignment="1">
      <alignment horizontal="center" vertical="center"/>
    </xf>
    <xf numFmtId="43" fontId="3" fillId="0" borderId="0" xfId="1" applyFont="1" applyFill="1" applyBorder="1" applyAlignment="1">
      <alignment horizontal="center"/>
    </xf>
    <xf numFmtId="165" fontId="3" fillId="0" borderId="4" xfId="1" applyNumberFormat="1" applyFont="1" applyFill="1" applyBorder="1" applyAlignment="1">
      <alignment horizontal="center"/>
    </xf>
    <xf numFmtId="164" fontId="4" fillId="0" borderId="5" xfId="1" applyNumberFormat="1" applyFont="1" applyFill="1" applyBorder="1" applyAlignment="1">
      <alignment vertical="center"/>
    </xf>
    <xf numFmtId="165" fontId="3" fillId="0" borderId="0" xfId="1" applyNumberFormat="1" applyFont="1" applyFill="1" applyBorder="1" applyAlignment="1"/>
    <xf numFmtId="43" fontId="2" fillId="2" borderId="1" xfId="1" applyFont="1" applyFill="1" applyBorder="1" applyAlignment="1">
      <alignment horizontal="left" vertical="center"/>
    </xf>
    <xf numFmtId="43" fontId="3" fillId="0" borderId="0" xfId="1" applyFont="1" applyFill="1" applyBorder="1" applyAlignment="1">
      <alignment vertical="center" wrapText="1"/>
    </xf>
    <xf numFmtId="43" fontId="3" fillId="0" borderId="0" xfId="1" applyFont="1" applyFill="1" applyBorder="1" applyAlignment="1">
      <alignment horizontal="center" vertical="center" wrapText="1"/>
    </xf>
    <xf numFmtId="43" fontId="2" fillId="2" borderId="1" xfId="1" applyFont="1" applyFill="1" applyBorder="1" applyAlignment="1">
      <alignment horizontal="left" vertical="center" wrapText="1"/>
    </xf>
    <xf numFmtId="43" fontId="2" fillId="2" borderId="1" xfId="1" applyFont="1" applyFill="1" applyBorder="1" applyAlignment="1">
      <alignment horizontal="center" vertical="center" wrapText="1"/>
    </xf>
    <xf numFmtId="43" fontId="4" fillId="0" borderId="6" xfId="1" applyFont="1" applyFill="1" applyBorder="1" applyAlignment="1"/>
    <xf numFmtId="43" fontId="2" fillId="2" borderId="7" xfId="1" applyFont="1" applyFill="1" applyBorder="1" applyAlignment="1">
      <alignment horizontal="left" vertical="center" wrapText="1"/>
    </xf>
    <xf numFmtId="168" fontId="3" fillId="0" borderId="0" xfId="1" applyNumberFormat="1" applyFont="1" applyFill="1" applyBorder="1" applyAlignment="1"/>
    <xf numFmtId="43" fontId="3" fillId="0" borderId="8" xfId="1" applyFont="1" applyFill="1" applyBorder="1" applyAlignment="1"/>
    <xf numFmtId="164" fontId="3" fillId="0" borderId="9" xfId="1" applyNumberFormat="1" applyFont="1" applyFill="1" applyBorder="1" applyAlignment="1"/>
    <xf numFmtId="43" fontId="3" fillId="0" borderId="10" xfId="1" applyFont="1" applyFill="1" applyBorder="1" applyAlignment="1"/>
    <xf numFmtId="164" fontId="3" fillId="0" borderId="11" xfId="1" applyNumberFormat="1" applyFont="1" applyFill="1" applyBorder="1" applyAlignment="1"/>
    <xf numFmtId="43" fontId="3" fillId="0" borderId="12" xfId="1" applyFont="1" applyFill="1" applyBorder="1" applyAlignment="1"/>
    <xf numFmtId="43" fontId="4" fillId="3" borderId="1" xfId="1" applyFont="1" applyFill="1" applyBorder="1" applyAlignment="1">
      <alignment horizontal="center" vertical="center"/>
    </xf>
    <xf numFmtId="164" fontId="4" fillId="3" borderId="1" xfId="1" applyNumberFormat="1" applyFont="1" applyFill="1" applyBorder="1" applyAlignment="1">
      <alignment vertical="center"/>
    </xf>
    <xf numFmtId="2" fontId="4" fillId="3" borderId="1" xfId="1" applyNumberFormat="1" applyFont="1" applyFill="1" applyBorder="1" applyAlignment="1">
      <alignment horizontal="center" vertical="center"/>
    </xf>
    <xf numFmtId="164" fontId="4" fillId="0" borderId="0" xfId="1" applyNumberFormat="1" applyFont="1" applyFill="1" applyBorder="1" applyAlignment="1">
      <alignment vertical="center"/>
    </xf>
    <xf numFmtId="164" fontId="4" fillId="0" borderId="2" xfId="1" applyNumberFormat="1" applyFont="1" applyFill="1" applyBorder="1" applyAlignment="1"/>
    <xf numFmtId="0" fontId="0" fillId="0" borderId="0" xfId="0"/>
    <xf numFmtId="43" fontId="3" fillId="0" borderId="0" xfId="1" applyFont="1" applyFill="1" applyBorder="1" applyAlignment="1"/>
    <xf numFmtId="43" fontId="3" fillId="0" borderId="0" xfId="1" applyFont="1" applyFill="1" applyBorder="1" applyAlignment="1">
      <alignment horizontal="center"/>
    </xf>
    <xf numFmtId="43" fontId="3" fillId="0" borderId="3" xfId="1" applyFont="1" applyFill="1" applyBorder="1" applyAlignment="1"/>
    <xf numFmtId="43" fontId="3" fillId="0" borderId="3" xfId="1" applyFont="1" applyFill="1" applyBorder="1" applyAlignment="1">
      <alignment horizontal="center"/>
    </xf>
    <xf numFmtId="0" fontId="0" fillId="0" borderId="0" xfId="0"/>
    <xf numFmtId="43" fontId="3" fillId="0" borderId="0" xfId="1" applyFont="1" applyFill="1" applyBorder="1" applyAlignment="1"/>
    <xf numFmtId="43" fontId="3" fillId="0" borderId="2" xfId="1" applyFont="1" applyFill="1" applyBorder="1" applyAlignment="1"/>
    <xf numFmtId="43" fontId="3" fillId="0" borderId="0" xfId="1" applyFont="1" applyFill="1" applyBorder="1" applyAlignment="1">
      <alignment horizontal="center"/>
    </xf>
    <xf numFmtId="43" fontId="3" fillId="0" borderId="3" xfId="1" applyFont="1" applyFill="1" applyBorder="1" applyAlignment="1"/>
    <xf numFmtId="164" fontId="3" fillId="0" borderId="2" xfId="1" applyNumberFormat="1" applyFont="1" applyFill="1" applyBorder="1" applyAlignment="1"/>
    <xf numFmtId="43" fontId="3" fillId="0" borderId="2" xfId="1" applyFont="1" applyFill="1" applyBorder="1" applyAlignment="1"/>
    <xf numFmtId="43" fontId="6" fillId="0" borderId="3" xfId="1" applyFont="1" applyFill="1" applyBorder="1" applyAlignment="1">
      <alignment horizontal="center"/>
    </xf>
    <xf numFmtId="43" fontId="4" fillId="0" borderId="2" xfId="1" applyFont="1" applyFill="1" applyBorder="1" applyAlignment="1"/>
    <xf numFmtId="164" fontId="4" fillId="3" borderId="1" xfId="1" applyNumberFormat="1" applyFont="1" applyFill="1" applyBorder="1" applyAlignment="1">
      <alignment horizontal="center" vertical="center"/>
    </xf>
    <xf numFmtId="0" fontId="0" fillId="0" borderId="0" xfId="0"/>
    <xf numFmtId="43" fontId="3" fillId="0" borderId="0" xfId="1" applyFont="1" applyFill="1" applyBorder="1" applyAlignment="1"/>
    <xf numFmtId="43" fontId="4" fillId="0" borderId="0" xfId="1" applyFont="1" applyFill="1" applyBorder="1" applyAlignment="1"/>
    <xf numFmtId="43" fontId="3" fillId="0" borderId="2" xfId="1" applyFont="1" applyFill="1" applyBorder="1" applyAlignment="1"/>
    <xf numFmtId="43" fontId="3" fillId="0" borderId="3" xfId="1" applyFont="1" applyFill="1" applyBorder="1" applyAlignment="1"/>
    <xf numFmtId="43" fontId="3" fillId="0" borderId="3" xfId="1" applyFont="1" applyFill="1" applyBorder="1" applyAlignment="1">
      <alignment horizontal="center"/>
    </xf>
    <xf numFmtId="164" fontId="3" fillId="0" borderId="2" xfId="1" applyNumberFormat="1" applyFont="1" applyFill="1" applyBorder="1" applyAlignment="1"/>
    <xf numFmtId="165" fontId="3" fillId="0" borderId="4" xfId="1" applyNumberFormat="1" applyFont="1" applyFill="1" applyBorder="1" applyAlignment="1">
      <alignment horizontal="center"/>
    </xf>
    <xf numFmtId="164" fontId="4" fillId="0" borderId="5" xfId="1" applyNumberFormat="1" applyFont="1" applyFill="1" applyBorder="1" applyAlignment="1">
      <alignment vertical="center"/>
    </xf>
    <xf numFmtId="165" fontId="3" fillId="0" borderId="0" xfId="1" applyNumberFormat="1" applyFont="1" applyFill="1" applyBorder="1" applyAlignment="1"/>
    <xf numFmtId="164" fontId="3" fillId="0" borderId="14" xfId="1" applyNumberFormat="1" applyFont="1" applyFill="1" applyBorder="1" applyAlignment="1">
      <alignment vertical="center"/>
    </xf>
    <xf numFmtId="164" fontId="3" fillId="0" borderId="2" xfId="1" applyNumberFormat="1" applyFont="1" applyFill="1" applyBorder="1" applyAlignment="1">
      <alignment horizontal="center"/>
    </xf>
    <xf numFmtId="43" fontId="6" fillId="0" borderId="2" xfId="1" applyFont="1" applyFill="1" applyBorder="1" applyAlignment="1"/>
    <xf numFmtId="43" fontId="6" fillId="0" borderId="3" xfId="1" applyFont="1" applyFill="1" applyBorder="1" applyAlignment="1">
      <alignment horizontal="center"/>
    </xf>
    <xf numFmtId="43" fontId="4" fillId="0" borderId="2" xfId="1" applyFont="1" applyFill="1" applyBorder="1" applyAlignment="1"/>
    <xf numFmtId="0" fontId="12" fillId="0" borderId="0" xfId="0" applyFont="1" applyFill="1" applyBorder="1" applyAlignment="1">
      <alignment horizontal="center" vertical="center"/>
    </xf>
    <xf numFmtId="43" fontId="13" fillId="0" borderId="0" xfId="1"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ill="1"/>
    <xf numFmtId="43" fontId="2" fillId="2" borderId="0" xfId="1" applyFont="1" applyFill="1" applyBorder="1" applyAlignment="1">
      <alignment vertical="center"/>
    </xf>
    <xf numFmtId="43" fontId="1" fillId="0" borderId="0" xfId="18" applyNumberFormat="1" applyFill="1" applyBorder="1" applyAlignment="1"/>
    <xf numFmtId="43" fontId="5" fillId="0" borderId="6" xfId="18" applyNumberFormat="1" applyFont="1" applyFill="1" applyBorder="1" applyAlignment="1"/>
    <xf numFmtId="2" fontId="3" fillId="3" borderId="1" xfId="1" applyNumberFormat="1" applyFont="1" applyFill="1" applyBorder="1" applyAlignment="1">
      <alignment horizontal="center" vertical="center"/>
    </xf>
    <xf numFmtId="43" fontId="11" fillId="0" borderId="0" xfId="1" applyFont="1" applyFill="1" applyBorder="1" applyAlignment="1">
      <alignment horizontal="center" vertical="center" wrapText="1"/>
    </xf>
    <xf numFmtId="0" fontId="3" fillId="0" borderId="0" xfId="0" applyFont="1" applyAlignment="1">
      <alignment horizontal="center" vertical="center" wrapText="1"/>
    </xf>
    <xf numFmtId="43" fontId="3" fillId="0" borderId="0" xfId="2" applyFont="1" applyFill="1" applyBorder="1" applyAlignment="1"/>
    <xf numFmtId="43" fontId="4" fillId="0" borderId="0" xfId="2" applyFont="1" applyFill="1" applyBorder="1" applyAlignment="1"/>
    <xf numFmtId="43" fontId="2" fillId="0" borderId="0" xfId="2" applyFont="1" applyFill="1" applyBorder="1" applyAlignment="1">
      <alignment horizontal="center"/>
    </xf>
    <xf numFmtId="43" fontId="3" fillId="0" borderId="2" xfId="2" applyFont="1" applyFill="1" applyBorder="1" applyAlignment="1"/>
    <xf numFmtId="43" fontId="6" fillId="0" borderId="2" xfId="2" applyFont="1" applyFill="1" applyBorder="1" applyAlignment="1"/>
    <xf numFmtId="43" fontId="3" fillId="0" borderId="2" xfId="2" applyFont="1" applyFill="1" applyBorder="1" applyAlignment="1">
      <alignment horizontal="left"/>
    </xf>
    <xf numFmtId="43" fontId="3" fillId="0" borderId="0" xfId="2" applyFont="1" applyFill="1" applyBorder="1" applyAlignment="1">
      <alignment horizontal="center"/>
    </xf>
    <xf numFmtId="43" fontId="2" fillId="2" borderId="1" xfId="2" applyFont="1" applyFill="1" applyBorder="1" applyAlignment="1">
      <alignment vertical="center" wrapText="1"/>
    </xf>
    <xf numFmtId="43" fontId="2" fillId="2" borderId="1" xfId="2" applyFont="1" applyFill="1" applyBorder="1" applyAlignment="1">
      <alignment horizontal="center" vertical="center"/>
    </xf>
    <xf numFmtId="43" fontId="6" fillId="0" borderId="3" xfId="2" applyFont="1" applyFill="1" applyBorder="1" applyAlignment="1">
      <alignment horizontal="center"/>
    </xf>
    <xf numFmtId="43" fontId="3" fillId="0" borderId="3" xfId="2" applyFont="1" applyFill="1" applyBorder="1" applyAlignment="1">
      <alignment horizontal="center"/>
    </xf>
    <xf numFmtId="164" fontId="3" fillId="0" borderId="2" xfId="2" applyNumberFormat="1" applyFont="1" applyFill="1" applyBorder="1" applyAlignment="1"/>
    <xf numFmtId="165" fontId="3" fillId="0" borderId="4" xfId="2" applyNumberFormat="1" applyFont="1" applyFill="1" applyBorder="1" applyAlignment="1">
      <alignment horizontal="center"/>
    </xf>
    <xf numFmtId="43" fontId="4" fillId="0" borderId="0" xfId="2" applyFont="1" applyFill="1" applyBorder="1" applyAlignment="1">
      <alignment wrapText="1"/>
    </xf>
    <xf numFmtId="164" fontId="4" fillId="0" borderId="5" xfId="2" applyNumberFormat="1" applyFont="1" applyFill="1" applyBorder="1" applyAlignment="1">
      <alignment vertical="center"/>
    </xf>
    <xf numFmtId="165" fontId="3" fillId="0" borderId="0" xfId="2" applyNumberFormat="1" applyFont="1" applyFill="1" applyBorder="1" applyAlignment="1"/>
    <xf numFmtId="43" fontId="2" fillId="2" borderId="1" xfId="2" applyFont="1" applyFill="1" applyBorder="1" applyAlignment="1">
      <alignment horizontal="left" vertical="center"/>
    </xf>
    <xf numFmtId="43" fontId="3" fillId="0" borderId="0" xfId="2" applyFont="1" applyFill="1" applyBorder="1" applyAlignment="1">
      <alignment vertical="center" wrapText="1"/>
    </xf>
    <xf numFmtId="43" fontId="3" fillId="0" borderId="0" xfId="2" applyFont="1" applyFill="1" applyBorder="1" applyAlignment="1">
      <alignment horizontal="center" vertical="center" wrapText="1"/>
    </xf>
    <xf numFmtId="43" fontId="4" fillId="0" borderId="0" xfId="2" applyFont="1" applyFill="1" applyBorder="1" applyAlignment="1">
      <alignment vertical="center" wrapText="1"/>
    </xf>
    <xf numFmtId="43" fontId="2" fillId="2" borderId="1" xfId="2" applyFont="1" applyFill="1" applyBorder="1" applyAlignment="1">
      <alignment horizontal="left" vertical="center" wrapText="1"/>
    </xf>
    <xf numFmtId="43" fontId="2" fillId="2" borderId="1" xfId="2" applyFont="1" applyFill="1" applyBorder="1" applyAlignment="1">
      <alignment horizontal="center" vertical="center" wrapText="1"/>
    </xf>
    <xf numFmtId="43" fontId="16" fillId="0" borderId="0" xfId="2" applyFont="1" applyFill="1" applyBorder="1" applyAlignment="1"/>
    <xf numFmtId="43" fontId="4" fillId="0" borderId="6" xfId="2" applyFont="1" applyFill="1" applyBorder="1" applyAlignment="1"/>
    <xf numFmtId="43" fontId="2" fillId="2" borderId="7" xfId="2" applyFont="1" applyFill="1" applyBorder="1" applyAlignment="1">
      <alignment horizontal="left" vertical="center" wrapText="1"/>
    </xf>
    <xf numFmtId="43" fontId="4" fillId="3" borderId="1" xfId="2" applyFont="1" applyFill="1" applyBorder="1" applyAlignment="1">
      <alignment horizontal="center" vertical="center"/>
    </xf>
    <xf numFmtId="164" fontId="4" fillId="3" borderId="1" xfId="2" applyNumberFormat="1" applyFont="1" applyFill="1" applyBorder="1" applyAlignment="1">
      <alignment vertical="center"/>
    </xf>
    <xf numFmtId="2" fontId="4" fillId="3" borderId="1" xfId="2" applyNumberFormat="1" applyFont="1" applyFill="1" applyBorder="1" applyAlignment="1">
      <alignment horizontal="center" vertical="center"/>
    </xf>
    <xf numFmtId="43" fontId="3" fillId="0" borderId="0" xfId="2" applyFont="1" applyFill="1" applyBorder="1" applyAlignment="1">
      <alignment vertical="center"/>
    </xf>
    <xf numFmtId="43" fontId="2" fillId="6" borderId="0" xfId="1" applyFont="1" applyFill="1" applyBorder="1" applyAlignment="1">
      <alignment vertical="center" wrapText="1"/>
    </xf>
    <xf numFmtId="43" fontId="2" fillId="6" borderId="0" xfId="1" applyFont="1" applyFill="1" applyBorder="1" applyAlignment="1">
      <alignment horizontal="center" vertical="center"/>
    </xf>
    <xf numFmtId="0" fontId="0" fillId="0" borderId="0" xfId="0"/>
    <xf numFmtId="43" fontId="1" fillId="0" borderId="1" xfId="17" applyNumberFormat="1" applyFill="1" applyBorder="1" applyAlignment="1"/>
    <xf numFmtId="43" fontId="1" fillId="0" borderId="1" xfId="17" applyNumberFormat="1" applyFill="1" applyBorder="1" applyAlignment="1">
      <alignment horizontal="center"/>
    </xf>
    <xf numFmtId="165" fontId="1" fillId="0" borderId="1" xfId="17" applyNumberFormat="1" applyFill="1" applyBorder="1" applyAlignment="1">
      <alignment horizontal="left"/>
    </xf>
    <xf numFmtId="169" fontId="3" fillId="0" borderId="1" xfId="17" applyNumberFormat="1" applyFont="1" applyFill="1" applyBorder="1" applyAlignment="1">
      <alignment horizontal="left"/>
    </xf>
    <xf numFmtId="43" fontId="6" fillId="0" borderId="1" xfId="17" applyNumberFormat="1" applyFont="1" applyFill="1" applyBorder="1" applyAlignment="1"/>
    <xf numFmtId="166" fontId="1" fillId="0" borderId="1" xfId="17" applyNumberFormat="1" applyFill="1" applyBorder="1" applyAlignment="1">
      <alignment horizontal="right"/>
    </xf>
    <xf numFmtId="166" fontId="1" fillId="0" borderId="1" xfId="17" applyNumberFormat="1" applyFill="1" applyBorder="1" applyAlignment="1"/>
    <xf numFmtId="164" fontId="1" fillId="0" borderId="1" xfId="17" applyNumberFormat="1" applyFill="1" applyBorder="1" applyAlignment="1">
      <alignment horizontal="right"/>
    </xf>
    <xf numFmtId="43" fontId="1" fillId="0" borderId="1" xfId="17" applyNumberFormat="1" applyFill="1" applyBorder="1" applyAlignment="1">
      <alignment horizontal="right"/>
    </xf>
    <xf numFmtId="43" fontId="1" fillId="0" borderId="1" xfId="17" applyNumberFormat="1" applyFill="1" applyBorder="1" applyAlignment="1">
      <alignment horizontal="left" indent="2"/>
    </xf>
    <xf numFmtId="166" fontId="1" fillId="0" borderId="1" xfId="17" applyNumberFormat="1" applyFill="1" applyBorder="1" applyAlignment="1">
      <alignment horizontal="left"/>
    </xf>
    <xf numFmtId="43" fontId="6" fillId="0" borderId="1" xfId="17" applyNumberFormat="1" applyFont="1" applyFill="1" applyBorder="1" applyAlignment="1">
      <alignment horizontal="right"/>
    </xf>
    <xf numFmtId="43" fontId="0" fillId="0" borderId="1" xfId="17" applyNumberFormat="1" applyFont="1" applyFill="1" applyBorder="1" applyAlignment="1"/>
    <xf numFmtId="44" fontId="1" fillId="0" borderId="1" xfId="17" applyNumberFormat="1" applyFill="1" applyBorder="1" applyAlignment="1"/>
    <xf numFmtId="176" fontId="1" fillId="0" borderId="1" xfId="17" applyNumberFormat="1" applyFill="1" applyBorder="1" applyAlignment="1"/>
    <xf numFmtId="2" fontId="1" fillId="0" borderId="1" xfId="17" applyNumberFormat="1" applyFill="1" applyBorder="1" applyAlignment="1"/>
    <xf numFmtId="167" fontId="1" fillId="0" borderId="1" xfId="17" applyNumberFormat="1" applyFill="1" applyBorder="1" applyAlignment="1">
      <alignment horizontal="right"/>
    </xf>
    <xf numFmtId="171" fontId="1" fillId="0" borderId="1" xfId="17" applyNumberFormat="1" applyFill="1" applyBorder="1" applyAlignment="1">
      <alignment horizontal="left"/>
    </xf>
    <xf numFmtId="43" fontId="1" fillId="0" borderId="1" xfId="17" applyNumberFormat="1" applyFill="1" applyBorder="1" applyAlignment="1">
      <alignment horizontal="left"/>
    </xf>
    <xf numFmtId="169" fontId="1" fillId="0" borderId="1" xfId="17" applyNumberFormat="1" applyFill="1" applyBorder="1" applyAlignment="1">
      <alignment horizontal="left"/>
    </xf>
    <xf numFmtId="170" fontId="1" fillId="0" borderId="1" xfId="17" applyNumberFormat="1" applyFill="1" applyBorder="1" applyAlignment="1">
      <alignment horizontal="right"/>
    </xf>
    <xf numFmtId="9" fontId="1" fillId="0" borderId="1" xfId="17" applyNumberFormat="1" applyFont="1" applyFill="1" applyBorder="1" applyAlignment="1">
      <alignment horizontal="right"/>
    </xf>
    <xf numFmtId="166" fontId="3" fillId="0" borderId="1" xfId="17" applyNumberFormat="1" applyFont="1" applyFill="1" applyBorder="1" applyAlignment="1">
      <alignment horizontal="left"/>
    </xf>
    <xf numFmtId="43" fontId="1" fillId="0" borderId="1" xfId="17" applyNumberFormat="1" applyFont="1" applyFill="1" applyBorder="1" applyAlignment="1"/>
    <xf numFmtId="9" fontId="6" fillId="0" borderId="1" xfId="17" applyNumberFormat="1" applyFont="1" applyFill="1" applyBorder="1" applyAlignment="1">
      <alignment horizontal="right"/>
    </xf>
    <xf numFmtId="165" fontId="1" fillId="0" borderId="1" xfId="17" applyNumberFormat="1" applyFill="1" applyBorder="1" applyAlignment="1">
      <alignment horizontal="right"/>
    </xf>
    <xf numFmtId="172" fontId="1" fillId="0" borderId="1" xfId="17" applyNumberFormat="1" applyFill="1" applyBorder="1" applyAlignment="1">
      <alignment horizontal="right"/>
    </xf>
    <xf numFmtId="167" fontId="1" fillId="0" borderId="1" xfId="17" applyNumberFormat="1" applyFill="1" applyBorder="1" applyAlignment="1"/>
    <xf numFmtId="166" fontId="4" fillId="7" borderId="6" xfId="2" applyNumberFormat="1" applyFont="1" applyFill="1" applyBorder="1" applyAlignment="1"/>
    <xf numFmtId="166" fontId="4" fillId="7" borderId="5" xfId="1" applyNumberFormat="1" applyFont="1" applyFill="1" applyBorder="1" applyAlignment="1">
      <alignment horizontal="right"/>
    </xf>
    <xf numFmtId="43" fontId="5" fillId="0" borderId="1" xfId="17" applyNumberFormat="1" applyFont="1" applyFill="1" applyBorder="1" applyAlignment="1"/>
    <xf numFmtId="166" fontId="5" fillId="0" borderId="1" xfId="17" applyNumberFormat="1" applyFont="1" applyFill="1" applyBorder="1" applyAlignment="1">
      <alignment horizontal="right"/>
    </xf>
    <xf numFmtId="166" fontId="5" fillId="0" borderId="1" xfId="17" applyNumberFormat="1" applyFont="1" applyFill="1" applyBorder="1" applyAlignment="1"/>
    <xf numFmtId="166" fontId="5" fillId="0" borderId="1" xfId="17" applyNumberFormat="1" applyFont="1" applyFill="1" applyBorder="1" applyAlignment="1">
      <alignment horizontal="left"/>
    </xf>
    <xf numFmtId="173" fontId="3" fillId="0" borderId="13" xfId="1" applyNumberFormat="1" applyFont="1" applyFill="1" applyBorder="1" applyAlignment="1"/>
    <xf numFmtId="165" fontId="6" fillId="0" borderId="1" xfId="17" applyNumberFormat="1" applyFont="1" applyFill="1" applyBorder="1" applyAlignment="1">
      <alignment horizontal="left"/>
    </xf>
    <xf numFmtId="170" fontId="6" fillId="0" borderId="1" xfId="17" applyNumberFormat="1" applyFont="1" applyFill="1" applyBorder="1" applyAlignment="1">
      <alignment horizontal="left"/>
    </xf>
    <xf numFmtId="0" fontId="5" fillId="0" borderId="0" xfId="0" applyFont="1" applyBorder="1"/>
    <xf numFmtId="0" fontId="0" fillId="0" borderId="0" xfId="0" applyBorder="1"/>
    <xf numFmtId="4" fontId="0" fillId="0" borderId="0" xfId="0" applyNumberFormat="1" applyBorder="1"/>
    <xf numFmtId="164" fontId="1" fillId="0" borderId="0" xfId="1" applyNumberFormat="1" applyFont="1" applyFill="1" applyBorder="1" applyAlignment="1">
      <alignment horizontal="center"/>
    </xf>
    <xf numFmtId="165" fontId="6" fillId="0" borderId="1" xfId="17" applyNumberFormat="1" applyFont="1" applyFill="1" applyBorder="1" applyAlignment="1"/>
    <xf numFmtId="43" fontId="6" fillId="0" borderId="1" xfId="17" applyNumberFormat="1" applyFont="1" applyFill="1" applyBorder="1" applyAlignment="1">
      <alignment horizontal="left"/>
    </xf>
    <xf numFmtId="165" fontId="6" fillId="0" borderId="1" xfId="17" applyNumberFormat="1" applyFont="1" applyFill="1" applyBorder="1" applyAlignment="1">
      <alignment horizontal="right"/>
    </xf>
    <xf numFmtId="167" fontId="1" fillId="0" borderId="1" xfId="43" applyNumberFormat="1" applyFill="1" applyBorder="1" applyAlignment="1"/>
    <xf numFmtId="43" fontId="0" fillId="0" borderId="1" xfId="17" applyNumberFormat="1" applyFont="1" applyFill="1" applyBorder="1" applyAlignment="1">
      <alignment horizontal="center"/>
    </xf>
    <xf numFmtId="43" fontId="11" fillId="0" borderId="0" xfId="1" applyFont="1" applyFill="1" applyBorder="1" applyAlignment="1">
      <alignment horizontal="center" vertical="center" wrapText="1"/>
    </xf>
    <xf numFmtId="0" fontId="3" fillId="0" borderId="0" xfId="0" applyFont="1" applyAlignment="1">
      <alignment horizontal="center" vertical="center" wrapText="1"/>
    </xf>
    <xf numFmtId="0" fontId="5" fillId="8" borderId="0" xfId="0" applyFont="1" applyFill="1" applyBorder="1"/>
    <xf numFmtId="0" fontId="0" fillId="8" borderId="0" xfId="0" applyFill="1" applyBorder="1"/>
    <xf numFmtId="177" fontId="0" fillId="8" borderId="0" xfId="0" applyNumberFormat="1" applyFont="1" applyFill="1" applyBorder="1"/>
    <xf numFmtId="43" fontId="3" fillId="8" borderId="0" xfId="1" applyNumberFormat="1" applyFont="1" applyFill="1" applyBorder="1" applyAlignment="1"/>
    <xf numFmtId="43" fontId="3" fillId="8" borderId="0" xfId="1" applyFont="1" applyFill="1" applyBorder="1" applyAlignment="1">
      <alignment horizontal="center" vertical="center" wrapText="1"/>
    </xf>
    <xf numFmtId="43" fontId="4" fillId="8" borderId="0" xfId="1" applyNumberFormat="1" applyFont="1" applyFill="1" applyBorder="1" applyAlignment="1"/>
    <xf numFmtId="177" fontId="4" fillId="8" borderId="0" xfId="1" applyNumberFormat="1" applyFont="1" applyFill="1" applyBorder="1" applyAlignment="1">
      <alignment horizontal="right" vertical="center" wrapText="1"/>
    </xf>
    <xf numFmtId="43" fontId="4" fillId="8" borderId="0" xfId="1" applyFont="1" applyFill="1" applyBorder="1" applyAlignment="1">
      <alignment horizontal="left" vertical="center" wrapText="1"/>
    </xf>
    <xf numFmtId="43" fontId="4" fillId="8" borderId="0" xfId="1" applyFont="1" applyFill="1" applyBorder="1" applyAlignment="1">
      <alignment horizontal="center" vertical="center" wrapText="1"/>
    </xf>
    <xf numFmtId="166" fontId="3" fillId="8" borderId="0" xfId="1" applyNumberFormat="1" applyFont="1" applyFill="1" applyBorder="1" applyAlignment="1"/>
    <xf numFmtId="166" fontId="1" fillId="8" borderId="0" xfId="1" applyNumberFormat="1" applyFont="1" applyFill="1" applyBorder="1" applyAlignment="1"/>
    <xf numFmtId="166" fontId="3" fillId="8" borderId="0" xfId="1" applyNumberFormat="1" applyFont="1" applyFill="1" applyBorder="1" applyAlignment="1">
      <alignment horizontal="left"/>
    </xf>
    <xf numFmtId="43" fontId="4" fillId="8" borderId="0" xfId="1" applyFont="1" applyFill="1" applyBorder="1" applyAlignment="1"/>
    <xf numFmtId="177" fontId="5" fillId="8" borderId="0" xfId="0" applyNumberFormat="1" applyFont="1" applyFill="1" applyBorder="1"/>
    <xf numFmtId="0" fontId="0" fillId="8" borderId="18" xfId="0" applyFill="1" applyBorder="1"/>
    <xf numFmtId="0" fontId="5" fillId="8" borderId="18" xfId="0" applyFont="1" applyFill="1" applyBorder="1"/>
    <xf numFmtId="43" fontId="3" fillId="8" borderId="26" xfId="1" applyNumberFormat="1" applyFont="1" applyFill="1" applyBorder="1" applyAlignment="1"/>
    <xf numFmtId="177" fontId="0" fillId="8" borderId="27" xfId="0" applyNumberFormat="1" applyFont="1" applyFill="1" applyBorder="1"/>
    <xf numFmtId="166" fontId="3" fillId="8" borderId="27" xfId="1" applyNumberFormat="1" applyFont="1" applyFill="1" applyBorder="1" applyAlignment="1"/>
    <xf numFmtId="166" fontId="4" fillId="8" borderId="28" xfId="1" applyNumberFormat="1" applyFont="1" applyFill="1" applyBorder="1" applyAlignment="1"/>
    <xf numFmtId="0" fontId="0" fillId="8" borderId="0" xfId="0" applyFill="1" applyBorder="1" applyAlignment="1">
      <alignment wrapText="1"/>
    </xf>
    <xf numFmtId="43" fontId="4" fillId="8" borderId="26" xfId="1" applyFont="1" applyFill="1" applyBorder="1" applyAlignment="1"/>
    <xf numFmtId="166" fontId="5" fillId="8" borderId="1" xfId="17" applyNumberFormat="1" applyFont="1" applyFill="1" applyBorder="1" applyAlignment="1"/>
    <xf numFmtId="166" fontId="1" fillId="0" borderId="1" xfId="17" applyNumberFormat="1" applyFont="1" applyFill="1" applyBorder="1" applyAlignment="1">
      <alignment horizontal="right"/>
    </xf>
    <xf numFmtId="166" fontId="1" fillId="0" borderId="1" xfId="17" applyNumberFormat="1" applyFont="1" applyFill="1" applyBorder="1" applyAlignment="1"/>
    <xf numFmtId="43" fontId="3" fillId="0" borderId="1" xfId="17" applyNumberFormat="1" applyFont="1" applyFill="1" applyBorder="1" applyAlignment="1"/>
    <xf numFmtId="43" fontId="3" fillId="0" borderId="1" xfId="17" applyNumberFormat="1" applyFont="1" applyFill="1" applyBorder="1" applyAlignment="1">
      <alignment horizontal="center"/>
    </xf>
    <xf numFmtId="44" fontId="3" fillId="0" borderId="1" xfId="17" applyNumberFormat="1" applyFont="1" applyFill="1" applyBorder="1" applyAlignment="1"/>
    <xf numFmtId="166" fontId="3" fillId="0" borderId="1" xfId="17" applyNumberFormat="1" applyFont="1" applyFill="1" applyBorder="1" applyAlignment="1">
      <alignment horizontal="right"/>
    </xf>
    <xf numFmtId="2" fontId="3" fillId="0" borderId="1" xfId="17" applyNumberFormat="1" applyFont="1" applyFill="1" applyBorder="1" applyAlignment="1"/>
    <xf numFmtId="2" fontId="6" fillId="0" borderId="1" xfId="17" applyNumberFormat="1" applyFont="1" applyFill="1" applyBorder="1" applyAlignment="1"/>
    <xf numFmtId="44" fontId="6" fillId="0" borderId="1" xfId="17" applyNumberFormat="1" applyFont="1" applyFill="1" applyBorder="1" applyAlignment="1"/>
    <xf numFmtId="166" fontId="4" fillId="0" borderId="1" xfId="17" applyNumberFormat="1" applyFont="1" applyFill="1" applyBorder="1" applyAlignment="1">
      <alignment horizontal="right"/>
    </xf>
    <xf numFmtId="43" fontId="4" fillId="0" borderId="1" xfId="17" applyNumberFormat="1" applyFont="1" applyFill="1" applyBorder="1" applyAlignment="1"/>
    <xf numFmtId="43" fontId="3" fillId="0" borderId="29" xfId="1" applyFont="1" applyFill="1" applyBorder="1" applyAlignment="1"/>
    <xf numFmtId="2" fontId="3" fillId="0" borderId="30" xfId="1" applyNumberFormat="1" applyFont="1" applyFill="1" applyBorder="1" applyAlignment="1"/>
    <xf numFmtId="164" fontId="0" fillId="8" borderId="0" xfId="1" applyNumberFormat="1" applyFont="1" applyFill="1" applyBorder="1" applyAlignment="1">
      <alignment horizontal="left"/>
    </xf>
    <xf numFmtId="164" fontId="1" fillId="8" borderId="0" xfId="1" applyNumberFormat="1" applyFont="1" applyFill="1" applyBorder="1" applyAlignment="1">
      <alignment horizontal="center"/>
    </xf>
    <xf numFmtId="167" fontId="3" fillId="8" borderId="0" xfId="43" applyNumberFormat="1" applyFont="1" applyFill="1" applyBorder="1" applyAlignment="1">
      <alignment horizontal="center"/>
    </xf>
    <xf numFmtId="175" fontId="1" fillId="8" borderId="0" xfId="1" applyNumberFormat="1" applyFont="1" applyFill="1" applyBorder="1" applyAlignment="1">
      <alignment horizontal="left"/>
    </xf>
    <xf numFmtId="164" fontId="24" fillId="8" borderId="0" xfId="1" applyNumberFormat="1" applyFont="1" applyFill="1" applyBorder="1" applyAlignment="1">
      <alignment horizontal="center"/>
    </xf>
    <xf numFmtId="164" fontId="1" fillId="8" borderId="0" xfId="1" applyNumberFormat="1" applyFont="1" applyFill="1" applyBorder="1" applyAlignment="1">
      <alignment horizontal="left"/>
    </xf>
    <xf numFmtId="43" fontId="2" fillId="6" borderId="0" xfId="1" applyFont="1" applyFill="1" applyBorder="1" applyAlignment="1">
      <alignment horizontal="center" vertical="center" wrapText="1"/>
    </xf>
    <xf numFmtId="169" fontId="1" fillId="8" borderId="0" xfId="1" applyNumberFormat="1" applyFont="1" applyFill="1" applyBorder="1" applyAlignment="1">
      <alignment horizontal="center"/>
    </xf>
    <xf numFmtId="164" fontId="0" fillId="8" borderId="0" xfId="1" applyNumberFormat="1" applyFont="1" applyFill="1" applyBorder="1" applyAlignment="1">
      <alignment horizontal="center"/>
    </xf>
    <xf numFmtId="43" fontId="2" fillId="6" borderId="0" xfId="1" applyFont="1" applyFill="1" applyBorder="1" applyAlignment="1">
      <alignment vertical="center" wrapText="1"/>
    </xf>
    <xf numFmtId="43" fontId="2" fillId="6" borderId="0" xfId="1" applyFont="1" applyFill="1" applyBorder="1" applyAlignment="1">
      <alignment horizontal="center" vertical="center"/>
    </xf>
    <xf numFmtId="0" fontId="0" fillId="8" borderId="0" xfId="0" applyFill="1" applyBorder="1"/>
    <xf numFmtId="43" fontId="4" fillId="8" borderId="0" xfId="1" applyFont="1" applyFill="1" applyBorder="1" applyAlignment="1"/>
    <xf numFmtId="43" fontId="3" fillId="8" borderId="0" xfId="1" applyFont="1" applyFill="1" applyBorder="1" applyAlignment="1"/>
    <xf numFmtId="164" fontId="3" fillId="8" borderId="0" xfId="1" applyNumberFormat="1" applyFont="1" applyFill="1" applyBorder="1" applyAlignment="1">
      <alignment horizontal="center"/>
    </xf>
    <xf numFmtId="164" fontId="6" fillId="8" borderId="0" xfId="1" applyNumberFormat="1" applyFont="1" applyFill="1" applyBorder="1" applyAlignment="1">
      <alignment horizontal="center"/>
    </xf>
    <xf numFmtId="164" fontId="3" fillId="8" borderId="0" xfId="1" applyNumberFormat="1" applyFont="1" applyFill="1" applyBorder="1" applyAlignment="1"/>
    <xf numFmtId="164" fontId="3" fillId="8" borderId="0" xfId="1" applyNumberFormat="1" applyFont="1" applyFill="1" applyBorder="1" applyAlignment="1">
      <alignment horizontal="left"/>
    </xf>
    <xf numFmtId="164" fontId="6" fillId="8" borderId="0" xfId="1" applyNumberFormat="1" applyFont="1" applyFill="1" applyBorder="1" applyAlignment="1">
      <alignment horizontal="left"/>
    </xf>
    <xf numFmtId="171" fontId="3" fillId="8" borderId="0" xfId="1" applyNumberFormat="1" applyFont="1" applyFill="1" applyBorder="1" applyAlignment="1">
      <alignment horizontal="left"/>
    </xf>
    <xf numFmtId="164" fontId="3" fillId="8" borderId="0" xfId="1" applyNumberFormat="1" applyFont="1" applyFill="1" applyBorder="1" applyAlignment="1">
      <alignment horizontal="right"/>
    </xf>
    <xf numFmtId="171" fontId="1" fillId="0" borderId="1" xfId="17" applyNumberFormat="1" applyFill="1" applyBorder="1" applyAlignment="1">
      <alignment horizontal="right"/>
    </xf>
    <xf numFmtId="164" fontId="3" fillId="0" borderId="2" xfId="1" applyNumberFormat="1" applyFont="1" applyFill="1" applyBorder="1" applyAlignment="1">
      <alignment horizontal="center"/>
    </xf>
    <xf numFmtId="43" fontId="3" fillId="0" borderId="1" xfId="17" applyNumberFormat="1" applyFont="1" applyFill="1" applyBorder="1" applyAlignment="1"/>
    <xf numFmtId="166" fontId="5" fillId="0" borderId="1" xfId="17" applyNumberFormat="1" applyFont="1" applyFill="1" applyBorder="1" applyAlignment="1">
      <alignment horizontal="left"/>
    </xf>
    <xf numFmtId="43" fontId="1" fillId="0" borderId="1" xfId="17" applyNumberFormat="1" applyFill="1" applyBorder="1" applyAlignment="1"/>
    <xf numFmtId="164" fontId="1" fillId="0" borderId="1" xfId="17" applyNumberFormat="1" applyFill="1" applyBorder="1" applyAlignment="1">
      <alignment horizontal="right"/>
    </xf>
    <xf numFmtId="44" fontId="3" fillId="0" borderId="1" xfId="17" applyNumberFormat="1" applyFont="1" applyFill="1" applyBorder="1" applyAlignment="1"/>
    <xf numFmtId="165" fontId="6" fillId="0" borderId="1" xfId="17" applyNumberFormat="1" applyFont="1" applyFill="1" applyBorder="1" applyAlignment="1">
      <alignment horizontal="right"/>
    </xf>
    <xf numFmtId="0" fontId="0" fillId="8" borderId="0" xfId="0" applyFill="1" applyBorder="1"/>
    <xf numFmtId="43" fontId="3" fillId="8" borderId="0" xfId="1" applyFont="1" applyFill="1" applyBorder="1" applyAlignment="1"/>
    <xf numFmtId="164" fontId="3" fillId="8" borderId="0" xfId="1" applyNumberFormat="1" applyFont="1" applyFill="1" applyBorder="1" applyAlignment="1">
      <alignment horizontal="center"/>
    </xf>
    <xf numFmtId="164" fontId="3" fillId="8" borderId="0" xfId="1" applyNumberFormat="1" applyFont="1" applyFill="1" applyBorder="1" applyAlignment="1">
      <alignment horizontal="left"/>
    </xf>
    <xf numFmtId="164" fontId="6" fillId="8" borderId="0" xfId="1" applyNumberFormat="1" applyFont="1" applyFill="1" applyBorder="1" applyAlignment="1">
      <alignment horizontal="left"/>
    </xf>
    <xf numFmtId="43" fontId="3" fillId="8" borderId="0" xfId="1" applyFont="1" applyFill="1" applyBorder="1" applyAlignment="1"/>
    <xf numFmtId="167" fontId="3" fillId="8" borderId="0" xfId="43" applyNumberFormat="1" applyFont="1" applyFill="1" applyBorder="1" applyAlignment="1">
      <alignment horizontal="right"/>
    </xf>
    <xf numFmtId="0" fontId="0" fillId="0" borderId="0" xfId="0"/>
    <xf numFmtId="43" fontId="3" fillId="0" borderId="0" xfId="2" applyFont="1" applyFill="1" applyBorder="1" applyAlignment="1"/>
    <xf numFmtId="165" fontId="6" fillId="0" borderId="1" xfId="17" applyNumberFormat="1" applyFont="1" applyFill="1" applyBorder="1" applyAlignment="1"/>
    <xf numFmtId="43" fontId="3" fillId="0" borderId="1" xfId="17" applyNumberFormat="1" applyFont="1" applyFill="1" applyBorder="1" applyAlignment="1"/>
    <xf numFmtId="43" fontId="5" fillId="0" borderId="1" xfId="17" applyNumberFormat="1" applyFont="1" applyFill="1" applyBorder="1" applyAlignment="1"/>
    <xf numFmtId="166" fontId="5" fillId="0" borderId="1" xfId="17" applyNumberFormat="1" applyFont="1" applyFill="1" applyBorder="1" applyAlignment="1"/>
    <xf numFmtId="166" fontId="5" fillId="0" borderId="1" xfId="17" applyNumberFormat="1" applyFont="1" applyFill="1" applyBorder="1" applyAlignment="1">
      <alignment horizontal="left"/>
    </xf>
    <xf numFmtId="43" fontId="1" fillId="0" borderId="1" xfId="17" applyNumberFormat="1" applyFill="1" applyBorder="1" applyAlignment="1"/>
    <xf numFmtId="167" fontId="1" fillId="0" borderId="1" xfId="17" applyNumberFormat="1" applyFill="1" applyBorder="1" applyAlignment="1">
      <alignment horizontal="right"/>
    </xf>
    <xf numFmtId="165" fontId="6" fillId="0" borderId="1" xfId="17" applyNumberFormat="1" applyFont="1" applyFill="1" applyBorder="1" applyAlignment="1">
      <alignment horizontal="right"/>
    </xf>
    <xf numFmtId="0" fontId="0" fillId="8" borderId="0" xfId="0" applyFill="1" applyBorder="1"/>
    <xf numFmtId="43" fontId="3" fillId="8" borderId="0" xfId="1" applyNumberFormat="1" applyFont="1" applyFill="1" applyBorder="1" applyAlignment="1"/>
    <xf numFmtId="43" fontId="4" fillId="8" borderId="0" xfId="1" applyFont="1" applyFill="1" applyBorder="1" applyAlignment="1">
      <alignment horizontal="center" vertical="center" wrapText="1"/>
    </xf>
    <xf numFmtId="166" fontId="3" fillId="8" borderId="0" xfId="1" applyNumberFormat="1" applyFont="1" applyFill="1" applyBorder="1" applyAlignment="1"/>
    <xf numFmtId="166" fontId="1" fillId="8" borderId="0" xfId="1" applyNumberFormat="1" applyFont="1" applyFill="1" applyBorder="1" applyAlignment="1"/>
    <xf numFmtId="166" fontId="4" fillId="8" borderId="28" xfId="1" applyNumberFormat="1" applyFont="1" applyFill="1" applyBorder="1" applyAlignment="1"/>
    <xf numFmtId="43" fontId="3" fillId="8" borderId="0" xfId="1" applyFont="1" applyFill="1" applyBorder="1" applyAlignment="1"/>
    <xf numFmtId="164" fontId="3" fillId="8" borderId="0" xfId="1" applyNumberFormat="1" applyFont="1" applyFill="1" applyBorder="1" applyAlignment="1"/>
    <xf numFmtId="0" fontId="14" fillId="0" borderId="15" xfId="0" applyFont="1" applyBorder="1" applyAlignment="1">
      <alignment vertical="center" wrapText="1"/>
    </xf>
    <xf numFmtId="0" fontId="14" fillId="0" borderId="20" xfId="0" applyFont="1" applyBorder="1" applyAlignment="1">
      <alignment vertical="center" wrapText="1"/>
    </xf>
    <xf numFmtId="0" fontId="14" fillId="0" borderId="16" xfId="0" applyFont="1" applyBorder="1" applyAlignment="1">
      <alignment vertical="center" wrapText="1"/>
    </xf>
    <xf numFmtId="43" fontId="11" fillId="0" borderId="0" xfId="1" applyFont="1" applyFill="1" applyBorder="1" applyAlignment="1">
      <alignment horizontal="center" vertical="center" wrapText="1"/>
    </xf>
    <xf numFmtId="0" fontId="3" fillId="0" borderId="0" xfId="0" applyFont="1" applyAlignment="1">
      <alignment horizontal="center" vertical="center" wrapText="1"/>
    </xf>
    <xf numFmtId="0" fontId="4" fillId="3" borderId="17" xfId="1" applyNumberFormat="1" applyFont="1"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14" fillId="0" borderId="21"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3" xfId="0" applyFont="1" applyBorder="1" applyAlignment="1">
      <alignment horizontal="left" vertical="center" wrapText="1"/>
    </xf>
    <xf numFmtId="0" fontId="14" fillId="0" borderId="6" xfId="0" applyFont="1" applyBorder="1" applyAlignment="1">
      <alignment horizontal="left" vertical="center" wrapText="1"/>
    </xf>
    <xf numFmtId="0" fontId="14" fillId="0" borderId="22" xfId="0" applyFont="1" applyBorder="1" applyAlignment="1">
      <alignment horizontal="left" vertical="center" wrapText="1"/>
    </xf>
    <xf numFmtId="0" fontId="14" fillId="8" borderId="0" xfId="0" applyFont="1" applyFill="1" applyBorder="1" applyAlignment="1">
      <alignment vertical="center" wrapText="1"/>
    </xf>
    <xf numFmtId="0" fontId="0" fillId="8" borderId="0" xfId="0" applyFill="1" applyBorder="1" applyAlignment="1">
      <alignment wrapText="1"/>
    </xf>
  </cellXfs>
  <cellStyles count="89">
    <cellStyle name="20% - Accent3" xfId="17" builtinId="38"/>
    <cellStyle name="40% - Accent3" xfId="18" builtinId="39"/>
    <cellStyle name="Comma" xfId="1" builtinId="3"/>
    <cellStyle name="Comma 2" xfId="2"/>
    <cellStyle name="Comma 2 2" xfId="19"/>
    <cellStyle name="Comma 2 3" xfId="20"/>
    <cellStyle name="Comma 3" xfId="6"/>
    <cellStyle name="Comma 3 2" xfId="21"/>
    <cellStyle name="Comma 3 3" xfId="22"/>
    <cellStyle name="Comma 4" xfId="23"/>
    <cellStyle name="Comma 5" xfId="45"/>
    <cellStyle name="Comma 5 2" xfId="46"/>
    <cellStyle name="Comma 5 3" xfId="47"/>
    <cellStyle name="Comma 6" xfId="48"/>
    <cellStyle name="Comma 6 2" xfId="49"/>
    <cellStyle name="Currency 2" xfId="50"/>
    <cellStyle name="Hyperlink 2" xfId="83"/>
    <cellStyle name="Hyperlink 2 2" xfId="24"/>
    <cellStyle name="Normal" xfId="0" builtinId="0"/>
    <cellStyle name="Normal 2" xfId="4"/>
    <cellStyle name="Normal 2 2" xfId="8"/>
    <cellStyle name="Normal 2 2 2" xfId="25"/>
    <cellStyle name="Normal 2 2 2 2" xfId="51"/>
    <cellStyle name="Normal 2 2 3" xfId="52"/>
    <cellStyle name="Normal 2 2 4" xfId="53"/>
    <cellStyle name="Normal 2 2 5" xfId="84"/>
    <cellStyle name="Normal 2 3" xfId="7"/>
    <cellStyle name="Normal 2 3 2" xfId="26"/>
    <cellStyle name="Normal 2 4" xfId="27"/>
    <cellStyle name="Normal 2 5" xfId="28"/>
    <cellStyle name="Normal 3" xfId="9"/>
    <cellStyle name="Normal 3 2" xfId="29"/>
    <cellStyle name="Normal 3 2 2" xfId="30"/>
    <cellStyle name="Normal 3 2 3" xfId="31"/>
    <cellStyle name="Normal 3 2 4" xfId="54"/>
    <cellStyle name="Normal 3 2 4 2" xfId="55"/>
    <cellStyle name="Normal 3 2 4 3" xfId="56"/>
    <cellStyle name="Normal 3 2 5" xfId="57"/>
    <cellStyle name="Normal 3 3" xfId="32"/>
    <cellStyle name="Normal 3 4" xfId="33"/>
    <cellStyle name="Normal 3 5" xfId="34"/>
    <cellStyle name="Normal 4" xfId="10"/>
    <cellStyle name="Normal 4 2" xfId="58"/>
    <cellStyle name="Normal 4 2 2" xfId="59"/>
    <cellStyle name="Normal 4 2 3" xfId="60"/>
    <cellStyle name="Normal 4 3" xfId="61"/>
    <cellStyle name="Normal 5" xfId="11"/>
    <cellStyle name="Normal 5 2" xfId="63"/>
    <cellStyle name="Normal 5 3" xfId="64"/>
    <cellStyle name="Normal 5 4" xfId="62"/>
    <cellStyle name="Normal 6" xfId="5"/>
    <cellStyle name="Normal 6 2" xfId="16"/>
    <cellStyle name="Normal 6 3" xfId="65"/>
    <cellStyle name="Normal 7" xfId="44"/>
    <cellStyle name="Normal 7 2" xfId="85"/>
    <cellStyle name="Normal 7 3" xfId="87"/>
    <cellStyle name="Percent" xfId="43" builtinId="5"/>
    <cellStyle name="Percent 2" xfId="3"/>
    <cellStyle name="Percent 2 2" xfId="35"/>
    <cellStyle name="Percent 2 3" xfId="36"/>
    <cellStyle name="Percent 2 3 2" xfId="66"/>
    <cellStyle name="Percent 2 3 3" xfId="67"/>
    <cellStyle name="Percent 2 3 4" xfId="68"/>
    <cellStyle name="Percent 2 4" xfId="37"/>
    <cellStyle name="Percent 2 5" xfId="38"/>
    <cellStyle name="Percent 3" xfId="12"/>
    <cellStyle name="Percent 3 2" xfId="69"/>
    <cellStyle name="Percent 4" xfId="13"/>
    <cellStyle name="Percent 4 2" xfId="39"/>
    <cellStyle name="Percent 5" xfId="14"/>
    <cellStyle name="Percent 5 2" xfId="40"/>
    <cellStyle name="Percent 5 2 2" xfId="70"/>
    <cellStyle name="Percent 5 2 3" xfId="71"/>
    <cellStyle name="Percent 5 2 3 2" xfId="72"/>
    <cellStyle name="Percent 5 3" xfId="73"/>
    <cellStyle name="Percent 5 3 2" xfId="74"/>
    <cellStyle name="Percent 6" xfId="15"/>
    <cellStyle name="Percent 6 2" xfId="75"/>
    <cellStyle name="Percent 7" xfId="41"/>
    <cellStyle name="Percent 7 2" xfId="76"/>
    <cellStyle name="Percent 7 3" xfId="77"/>
    <cellStyle name="Percent 7 4" xfId="78"/>
    <cellStyle name="Percent 7 4 2" xfId="79"/>
    <cellStyle name="Percent 7 5" xfId="80"/>
    <cellStyle name="Percent 8" xfId="42"/>
    <cellStyle name="Percent 8 2" xfId="81"/>
    <cellStyle name="Percent 8 3" xfId="82"/>
    <cellStyle name="Percent 9" xfId="86"/>
    <cellStyle name="Percent 9 2" xfId="88"/>
  </cellStyles>
  <dxfs count="15">
    <dxf>
      <font>
        <b/>
        <i val="0"/>
        <color theme="0"/>
      </font>
      <fill>
        <patternFill>
          <bgColor rgb="FFFF0000"/>
        </patternFill>
      </fill>
    </dxf>
    <dxf>
      <font>
        <color rgb="FF006100"/>
      </font>
      <fill>
        <patternFill>
          <bgColor rgb="FFC6EFCE"/>
        </patternFill>
      </fill>
    </dxf>
    <dxf>
      <font>
        <color rgb="FF9C0006"/>
      </font>
      <fill>
        <patternFill>
          <bgColor rgb="FFFFC7CE"/>
        </patternFill>
      </fill>
    </dxf>
    <dxf>
      <font>
        <b/>
        <i val="0"/>
        <color theme="0"/>
      </font>
      <fill>
        <patternFill>
          <bgColor rgb="FFFF0000"/>
        </patternFill>
      </fill>
    </dxf>
    <dxf>
      <font>
        <color rgb="FF006100"/>
      </font>
      <fill>
        <patternFill>
          <bgColor rgb="FFC6EFCE"/>
        </patternFill>
      </fill>
    </dxf>
    <dxf>
      <font>
        <color rgb="FF9C0006"/>
      </font>
      <fill>
        <patternFill>
          <bgColor rgb="FFFFC7CE"/>
        </patternFill>
      </fill>
    </dxf>
    <dxf>
      <font>
        <b/>
        <i val="0"/>
        <color theme="0"/>
      </font>
      <fill>
        <patternFill>
          <bgColor rgb="FFFF0000"/>
        </patternFill>
      </fill>
    </dxf>
    <dxf>
      <font>
        <color rgb="FF006100"/>
      </font>
      <fill>
        <patternFill>
          <bgColor rgb="FFC6EFCE"/>
        </patternFill>
      </fill>
    </dxf>
    <dxf>
      <font>
        <color rgb="FF9C0006"/>
      </font>
      <fill>
        <patternFill>
          <bgColor rgb="FFFFC7CE"/>
        </patternFill>
      </fill>
    </dxf>
    <dxf>
      <font>
        <b/>
        <i val="0"/>
        <color theme="0"/>
      </font>
      <fill>
        <patternFill>
          <bgColor rgb="FFFF0000"/>
        </patternFill>
      </fill>
    </dxf>
    <dxf>
      <font>
        <color rgb="FF006100"/>
      </font>
      <fill>
        <patternFill>
          <bgColor rgb="FFC6EFCE"/>
        </patternFill>
      </fill>
    </dxf>
    <dxf>
      <font>
        <color rgb="FF9C0006"/>
      </font>
      <fill>
        <patternFill>
          <bgColor rgb="FFFFC7CE"/>
        </patternFill>
      </fill>
    </dxf>
    <dxf>
      <font>
        <b/>
        <i val="0"/>
        <color theme="0"/>
      </font>
      <fill>
        <patternFill>
          <bgColor rgb="FFFF00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ZA" sz="1100" b="1" i="0" baseline="0">
                <a:effectLst/>
              </a:rPr>
              <a:t>Gross Margin Comparison / Bruto Marge Vergelyking: Western Region</a:t>
            </a:r>
            <a:endParaRPr lang="en-GB" sz="1100">
              <a:effectLst/>
            </a:endParaRPr>
          </a:p>
        </c:rich>
      </c:tx>
      <c:layout/>
      <c:overlay val="0"/>
      <c:spPr>
        <a:noFill/>
        <a:ln>
          <a:noFill/>
        </a:ln>
        <a:effectLst/>
      </c:spPr>
    </c:title>
    <c:autoTitleDeleted val="0"/>
    <c:plotArea>
      <c:layout>
        <c:manualLayout>
          <c:layoutTarget val="inner"/>
          <c:xMode val="edge"/>
          <c:yMode val="edge"/>
          <c:x val="0.11253032797088575"/>
          <c:y val="0.19653836524809271"/>
          <c:w val="0.82062236981754888"/>
          <c:h val="0.73105627222507896"/>
        </c:manualLayout>
      </c:layout>
      <c:barChart>
        <c:barDir val="col"/>
        <c:grouping val="clustered"/>
        <c:varyColors val="0"/>
        <c:ser>
          <c:idx val="0"/>
          <c:order val="0"/>
          <c:spPr>
            <a:solidFill>
              <a:schemeClr val="bg1"/>
            </a:solidFill>
            <a:ln w="25400">
              <a:solidFill>
                <a:schemeClr val="accent1"/>
              </a:solidFill>
            </a:ln>
            <a:effectLst/>
          </c:spPr>
          <c:invertIfNegative val="0"/>
          <c:dLbls>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'Crop Comparison'!$B$2:$E$2</c:f>
              <c:strCache>
                <c:ptCount val="4"/>
                <c:pt idx="0">
                  <c:v>Maize</c:v>
                </c:pt>
                <c:pt idx="1">
                  <c:v>Sunflower</c:v>
                </c:pt>
                <c:pt idx="2">
                  <c:v>Soybeans</c:v>
                </c:pt>
                <c:pt idx="3">
                  <c:v>Groundnut</c:v>
                </c:pt>
              </c:strCache>
            </c:strRef>
          </c:cat>
          <c:val>
            <c:numRef>
              <c:f>'Crop Comparison'!$B$26:$E$26</c:f>
              <c:numCache>
                <c:formatCode>"R"\ #,##0</c:formatCode>
                <c:ptCount val="4"/>
                <c:pt idx="0">
                  <c:v>-635.71379551999962</c:v>
                </c:pt>
                <c:pt idx="1">
                  <c:v>-394.67444635510128</c:v>
                </c:pt>
                <c:pt idx="2">
                  <c:v>1347.5083076673</c:v>
                </c:pt>
                <c:pt idx="3">
                  <c:v>2381.0930599999992</c:v>
                </c:pt>
              </c:numCache>
            </c:numRef>
          </c:val>
          <c:extLst xmlns:c16r2="http://schemas.microsoft.com/office/drawing/2015/06/chart">
            <c:ext xmlns:c16="http://schemas.microsoft.com/office/drawing/2014/chart" uri="{C3380CC4-5D6E-409C-BE32-E72D297353CC}">
              <c16:uniqueId val="{00000000-488A-4523-9C61-8ED29DAB98C0}"/>
            </c:ext>
          </c:extLst>
        </c:ser>
        <c:dLbls>
          <c:showLegendKey val="0"/>
          <c:showVal val="0"/>
          <c:showCatName val="0"/>
          <c:showSerName val="0"/>
          <c:showPercent val="0"/>
          <c:showBubbleSize val="0"/>
        </c:dLbls>
        <c:gapWidth val="150"/>
        <c:axId val="110528384"/>
        <c:axId val="110529920"/>
      </c:barChart>
      <c:catAx>
        <c:axId val="1105283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10529920"/>
        <c:crosses val="autoZero"/>
        <c:auto val="1"/>
        <c:lblAlgn val="ctr"/>
        <c:lblOffset val="100"/>
        <c:noMultiLvlLbl val="0"/>
      </c:catAx>
      <c:valAx>
        <c:axId val="110529920"/>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10528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6</xdr:col>
      <xdr:colOff>161925</xdr:colOff>
      <xdr:row>2</xdr:row>
      <xdr:rowOff>5715</xdr:rowOff>
    </xdr:from>
    <xdr:to>
      <xdr:col>6</xdr:col>
      <xdr:colOff>838200</xdr:colOff>
      <xdr:row>6</xdr:row>
      <xdr:rowOff>144794</xdr:rowOff>
    </xdr:to>
    <xdr:pic>
      <xdr:nvPicPr>
        <xdr:cNvPr id="2" name="Picture 1" descr="L:\Bedryfsbediening\Templates\Graan SA - nuwe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0" y="501015"/>
          <a:ext cx="676275" cy="882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73</xdr:row>
      <xdr:rowOff>9525</xdr:rowOff>
    </xdr:from>
    <xdr:to>
      <xdr:col>0</xdr:col>
      <xdr:colOff>600075</xdr:colOff>
      <xdr:row>75</xdr:row>
      <xdr:rowOff>0</xdr:rowOff>
    </xdr:to>
    <xdr:pic>
      <xdr:nvPicPr>
        <xdr:cNvPr id="3" name="Picture 3" descr="http://www.maizetrust.co.za/images/masthead.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14125575"/>
          <a:ext cx="571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139700</xdr:colOff>
      <xdr:row>2</xdr:row>
      <xdr:rowOff>152400</xdr:rowOff>
    </xdr:from>
    <xdr:to>
      <xdr:col>6</xdr:col>
      <xdr:colOff>815975</xdr:colOff>
      <xdr:row>7</xdr:row>
      <xdr:rowOff>108811</xdr:rowOff>
    </xdr:to>
    <xdr:pic>
      <xdr:nvPicPr>
        <xdr:cNvPr id="2" name="Picture 1" descr="L:\Bedryfsbediening\Templates\Graan SA - nuwe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42200" y="647700"/>
          <a:ext cx="676275" cy="8708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89653</xdr:colOff>
      <xdr:row>2</xdr:row>
      <xdr:rowOff>44823</xdr:rowOff>
    </xdr:from>
    <xdr:to>
      <xdr:col>6</xdr:col>
      <xdr:colOff>765928</xdr:colOff>
      <xdr:row>6</xdr:row>
      <xdr:rowOff>205405</xdr:rowOff>
    </xdr:to>
    <xdr:pic>
      <xdr:nvPicPr>
        <xdr:cNvPr id="2" name="Picture 1" descr="L:\Bedryfsbediening\Templates\Graan SA - nuwe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4293" y="555363"/>
          <a:ext cx="676275" cy="893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161925</xdr:colOff>
      <xdr:row>2</xdr:row>
      <xdr:rowOff>5716</xdr:rowOff>
    </xdr:from>
    <xdr:to>
      <xdr:col>6</xdr:col>
      <xdr:colOff>708212</xdr:colOff>
      <xdr:row>5</xdr:row>
      <xdr:rowOff>181536</xdr:rowOff>
    </xdr:to>
    <xdr:pic>
      <xdr:nvPicPr>
        <xdr:cNvPr id="2" name="Picture 1" descr="L:\Bedryfsbediening\Templates\Graan SA - nuwe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9475" y="491491"/>
          <a:ext cx="546287" cy="747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89653</xdr:colOff>
      <xdr:row>2</xdr:row>
      <xdr:rowOff>44823</xdr:rowOff>
    </xdr:from>
    <xdr:to>
      <xdr:col>6</xdr:col>
      <xdr:colOff>765928</xdr:colOff>
      <xdr:row>6</xdr:row>
      <xdr:rowOff>182916</xdr:rowOff>
    </xdr:to>
    <xdr:pic>
      <xdr:nvPicPr>
        <xdr:cNvPr id="2" name="Picture 1" descr="L:\Bedryfsbediening\Templates\Graan SA - nuwe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80953" y="502023"/>
          <a:ext cx="676275" cy="882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225798</xdr:colOff>
      <xdr:row>1</xdr:row>
      <xdr:rowOff>89086</xdr:rowOff>
    </xdr:from>
    <xdr:to>
      <xdr:col>6</xdr:col>
      <xdr:colOff>295786</xdr:colOff>
      <xdr:row>6</xdr:row>
      <xdr:rowOff>21162</xdr:rowOff>
    </xdr:to>
    <xdr:pic>
      <xdr:nvPicPr>
        <xdr:cNvPr id="2" name="Picture 1" descr="L:\Bedryfsbediening\Templates\Graan SA - nuwe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5923" y="289111"/>
          <a:ext cx="676275" cy="897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19051</xdr:colOff>
      <xdr:row>28</xdr:row>
      <xdr:rowOff>27455</xdr:rowOff>
    </xdr:from>
    <xdr:to>
      <xdr:col>5</xdr:col>
      <xdr:colOff>57150</xdr:colOff>
      <xdr:row>43</xdr:row>
      <xdr:rowOff>49866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aadcprd01\gsadata\GSADATA\Bedryfsbediening\Produksie\Produksie%20Begroting\Developing%20producers\2015-16\Template%20for%20Finance%20Demo%20Central%209%20June%20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dryfsbediening/Produksie/Produksie%20Begroting/Somer%20gewas%20streke/Somer%20modelle/2017-18/Setlagole/Grain%20SA%20Budgets%20201718%20Setlagole%20V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Grants Received"/>
      <sheetName val="C Exec summ"/>
      <sheetName val="C Farmer info"/>
      <sheetName val="C Land Access"/>
      <sheetName val="C Assets - N T&amp;I"/>
      <sheetName val="C Assets - N Irri"/>
      <sheetName val="C Assets - N Tools"/>
      <sheetName val="C Land use"/>
      <sheetName val="C Crop summ"/>
      <sheetName val="P Maize"/>
      <sheetName val="P Maize irri"/>
      <sheetName val="P Soya"/>
      <sheetName val="P Sunflower"/>
      <sheetName val="P Sorghum"/>
      <sheetName val="P Dry beans"/>
      <sheetName val="P Lucerne"/>
      <sheetName val="P Groundnuts"/>
      <sheetName val="P Wheat"/>
      <sheetName val="P Wheat irri"/>
      <sheetName val="P Cash Flow"/>
      <sheetName val="P Asset&amp;Liab Summary"/>
      <sheetName val="P Tractor Rep"/>
      <sheetName val="P Imp Rep"/>
      <sheetName val="General info"/>
      <sheetName val="Data sheet (Assumptions)"/>
      <sheetName val="Monthly planner"/>
      <sheetName val="C Asset su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25">
          <cell r="B25" t="str">
            <v>Arable land</v>
          </cell>
        </row>
      </sheetData>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sheet"/>
      <sheetName val="Maize"/>
      <sheetName val="Sunflower"/>
      <sheetName val="Cotton"/>
      <sheetName val="Sorghum"/>
      <sheetName val="Groundnuts"/>
      <sheetName val="Crop Comparison"/>
      <sheetName val="Inventarus "/>
      <sheetName val="Laste"/>
      <sheetName val="vaste koste"/>
      <sheetName val="Strategie"/>
      <sheetName val="Rent calculations"/>
    </sheetNames>
    <sheetDataSet>
      <sheetData sheetId="0">
        <row r="5">
          <cell r="E5">
            <v>9000</v>
          </cell>
        </row>
        <row r="11">
          <cell r="E11">
            <v>63</v>
          </cell>
        </row>
        <row r="16">
          <cell r="E16">
            <v>140.4</v>
          </cell>
        </row>
        <row r="18">
          <cell r="E18">
            <v>833.33333333333337</v>
          </cell>
        </row>
        <row r="19">
          <cell r="E19">
            <v>320</v>
          </cell>
        </row>
        <row r="20">
          <cell r="E20">
            <v>40</v>
          </cell>
        </row>
        <row r="21">
          <cell r="E21">
            <v>0</v>
          </cell>
        </row>
        <row r="22">
          <cell r="E22">
            <v>0.09</v>
          </cell>
        </row>
        <row r="26">
          <cell r="B26">
            <v>8834</v>
          </cell>
          <cell r="E26">
            <v>11</v>
          </cell>
        </row>
        <row r="27">
          <cell r="B27">
            <v>5135</v>
          </cell>
          <cell r="E27">
            <v>16.62</v>
          </cell>
        </row>
        <row r="28">
          <cell r="B28">
            <v>15.4</v>
          </cell>
          <cell r="E28">
            <v>175</v>
          </cell>
        </row>
        <row r="29">
          <cell r="B29">
            <v>38.5</v>
          </cell>
          <cell r="E29">
            <v>0.8</v>
          </cell>
        </row>
        <row r="30">
          <cell r="B30">
            <v>12.9</v>
          </cell>
          <cell r="E30">
            <v>0</v>
          </cell>
        </row>
        <row r="31">
          <cell r="E31">
            <v>900</v>
          </cell>
        </row>
        <row r="32">
          <cell r="E32">
            <v>0.105</v>
          </cell>
        </row>
        <row r="33">
          <cell r="B33">
            <v>500</v>
          </cell>
        </row>
        <row r="39">
          <cell r="E39" t="str">
            <v xml:space="preserve">     Palladium 960 EC</v>
          </cell>
          <cell r="G39">
            <v>194.33351000000002</v>
          </cell>
        </row>
        <row r="40">
          <cell r="E40" t="str">
            <v xml:space="preserve">     Roundup Power Max</v>
          </cell>
          <cell r="G40">
            <v>73</v>
          </cell>
        </row>
        <row r="41">
          <cell r="E41" t="str">
            <v xml:space="preserve">    Treflan</v>
          </cell>
          <cell r="G41">
            <v>110</v>
          </cell>
        </row>
        <row r="42">
          <cell r="E42" t="str">
            <v xml:space="preserve">    Add up</v>
          </cell>
          <cell r="G42">
            <v>11</v>
          </cell>
        </row>
        <row r="43">
          <cell r="E43" t="str">
            <v xml:space="preserve">     Insectido</v>
          </cell>
          <cell r="G43">
            <v>94.444000000000003</v>
          </cell>
        </row>
        <row r="44">
          <cell r="E44" t="str">
            <v xml:space="preserve">    Abamectin Plus</v>
          </cell>
          <cell r="G44">
            <v>338.66999999999996</v>
          </cell>
        </row>
        <row r="45">
          <cell r="E45" t="str">
            <v xml:space="preserve">    Commodobuff</v>
          </cell>
          <cell r="G45">
            <v>31.25</v>
          </cell>
        </row>
        <row r="46">
          <cell r="E46" t="str">
            <v xml:space="preserve">    Captan</v>
          </cell>
          <cell r="G46">
            <v>1186.6099999999999</v>
          </cell>
          <cell r="H46" t="str">
            <v xml:space="preserve">    CHEMICALS</v>
          </cell>
        </row>
        <row r="47">
          <cell r="E47" t="str">
            <v xml:space="preserve">    CHEMICALS</v>
          </cell>
          <cell r="G47">
            <v>0</v>
          </cell>
          <cell r="H47" t="str">
            <v xml:space="preserve">    CHEMICALS</v>
          </cell>
        </row>
        <row r="48">
          <cell r="E48" t="str">
            <v xml:space="preserve">    CHEMICALS</v>
          </cell>
          <cell r="G48">
            <v>0</v>
          </cell>
          <cell r="H48" t="str">
            <v xml:space="preserve">    CHEMICALS</v>
          </cell>
        </row>
        <row r="49">
          <cell r="H49" t="str">
            <v xml:space="preserve">    CHEMICALS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3"/>
  <sheetViews>
    <sheetView tabSelected="1" zoomScale="90" zoomScaleNormal="90" workbookViewId="0">
      <selection activeCell="C20" sqref="C20"/>
    </sheetView>
  </sheetViews>
  <sheetFormatPr defaultRowHeight="15" x14ac:dyDescent="0.25"/>
  <cols>
    <col min="1" max="1" width="36" style="140" customWidth="1"/>
    <col min="2" max="3" width="14.85546875" style="140" customWidth="1"/>
    <col min="4" max="5" width="13.85546875" style="140" customWidth="1"/>
    <col min="6" max="6" width="8.85546875" style="140"/>
    <col min="7" max="7" width="24.28515625" style="140" customWidth="1"/>
    <col min="8" max="16384" width="9.140625" style="140"/>
  </cols>
  <sheetData>
    <row r="1" spans="1:5" x14ac:dyDescent="0.25">
      <c r="A1" s="139" t="s">
        <v>77</v>
      </c>
      <c r="B1" s="139" t="s">
        <v>145</v>
      </c>
    </row>
    <row r="2" spans="1:5" x14ac:dyDescent="0.25">
      <c r="A2" s="99" t="s">
        <v>80</v>
      </c>
      <c r="B2" s="100" t="s">
        <v>49</v>
      </c>
      <c r="C2" s="100" t="s">
        <v>50</v>
      </c>
      <c r="D2" s="100" t="s">
        <v>75</v>
      </c>
      <c r="E2" s="196" t="s">
        <v>129</v>
      </c>
    </row>
    <row r="3" spans="1:5" x14ac:dyDescent="0.25">
      <c r="A3" s="199" t="s">
        <v>45</v>
      </c>
      <c r="B3" s="200">
        <v>2700</v>
      </c>
      <c r="C3" s="200">
        <v>5120</v>
      </c>
      <c r="D3" s="200">
        <v>5300</v>
      </c>
      <c r="E3" s="217">
        <f>(13000*20%)+(10000*35%)+(9000*30%)+(3000*15%)+(1500*0%)</f>
        <v>9250</v>
      </c>
    </row>
    <row r="4" spans="1:5" x14ac:dyDescent="0.25">
      <c r="A4" s="199" t="s">
        <v>76</v>
      </c>
      <c r="B4" s="200">
        <v>260</v>
      </c>
      <c r="C4" s="200">
        <v>295</v>
      </c>
      <c r="D4" s="200">
        <f>63+65</f>
        <v>128</v>
      </c>
      <c r="E4" s="200">
        <v>63</v>
      </c>
    </row>
    <row r="5" spans="1:5" x14ac:dyDescent="0.25">
      <c r="A5" s="199" t="s">
        <v>32</v>
      </c>
      <c r="B5" s="190"/>
      <c r="C5" s="190"/>
      <c r="D5" s="190"/>
      <c r="E5" s="201"/>
    </row>
    <row r="6" spans="1:5" x14ac:dyDescent="0.25">
      <c r="A6" s="199" t="s">
        <v>86</v>
      </c>
      <c r="B6" s="200">
        <v>3100</v>
      </c>
      <c r="C6" s="200">
        <v>2376</v>
      </c>
      <c r="D6" s="200">
        <v>835</v>
      </c>
      <c r="E6" s="200">
        <v>1470</v>
      </c>
    </row>
    <row r="7" spans="1:5" x14ac:dyDescent="0.25">
      <c r="A7" s="199" t="s">
        <v>88</v>
      </c>
      <c r="B7" s="187">
        <v>60000</v>
      </c>
      <c r="C7" s="187">
        <v>180000</v>
      </c>
      <c r="D7" s="194"/>
      <c r="E7" s="200">
        <v>50</v>
      </c>
    </row>
    <row r="8" spans="1:5" x14ac:dyDescent="0.25">
      <c r="A8" s="199" t="s">
        <v>87</v>
      </c>
      <c r="B8" s="193">
        <f>B6/B7</f>
        <v>5.1666666666666666E-2</v>
      </c>
      <c r="C8" s="193">
        <f>C6/C7</f>
        <v>1.32E-2</v>
      </c>
      <c r="D8" s="187"/>
      <c r="E8" s="200">
        <v>28.6</v>
      </c>
    </row>
    <row r="9" spans="1:5" x14ac:dyDescent="0.25">
      <c r="A9" s="199" t="s">
        <v>84</v>
      </c>
      <c r="B9" s="202">
        <f>450*1.1</f>
        <v>495.00000000000006</v>
      </c>
      <c r="C9" s="202">
        <f>350*1.1</f>
        <v>385.00000000000006</v>
      </c>
      <c r="D9" s="202">
        <f>350*1.1</f>
        <v>385.00000000000006</v>
      </c>
      <c r="E9" s="202">
        <f>600*1.1</f>
        <v>660</v>
      </c>
    </row>
    <row r="10" spans="1:5" x14ac:dyDescent="0.25">
      <c r="A10" s="220" t="s">
        <v>138</v>
      </c>
      <c r="B10" s="221">
        <v>1.7000000000000001E-2</v>
      </c>
      <c r="C10" s="221">
        <v>2.8000000000000001E-2</v>
      </c>
      <c r="D10" s="221">
        <v>0.10299999999999999</v>
      </c>
      <c r="E10" s="221">
        <v>1.6E-2</v>
      </c>
    </row>
    <row r="11" spans="1:5" x14ac:dyDescent="0.25">
      <c r="A11" s="238" t="s">
        <v>139</v>
      </c>
      <c r="B11" s="239">
        <v>300</v>
      </c>
      <c r="C11" s="239">
        <v>300</v>
      </c>
      <c r="D11" s="239">
        <v>300</v>
      </c>
      <c r="E11" s="239">
        <v>700</v>
      </c>
    </row>
    <row r="12" spans="1:5" x14ac:dyDescent="0.25">
      <c r="A12" s="199" t="s">
        <v>110</v>
      </c>
      <c r="B12" s="202">
        <v>200</v>
      </c>
      <c r="C12" s="202">
        <v>250</v>
      </c>
      <c r="D12" s="202">
        <v>250</v>
      </c>
      <c r="E12" s="202">
        <v>0</v>
      </c>
    </row>
    <row r="13" spans="1:5" x14ac:dyDescent="0.25">
      <c r="A13" s="199" t="s">
        <v>111</v>
      </c>
      <c r="B13" s="202">
        <v>25</v>
      </c>
      <c r="C13" s="202">
        <v>75</v>
      </c>
      <c r="D13" s="202">
        <v>25</v>
      </c>
      <c r="E13" s="202">
        <v>25</v>
      </c>
    </row>
    <row r="14" spans="1:5" x14ac:dyDescent="0.25">
      <c r="A14" s="191"/>
      <c r="B14" s="189"/>
      <c r="C14" s="189"/>
      <c r="D14" s="191"/>
      <c r="E14" s="197"/>
    </row>
    <row r="15" spans="1:5" x14ac:dyDescent="0.25">
      <c r="A15" s="195" t="s">
        <v>81</v>
      </c>
      <c r="B15" s="192" t="s">
        <v>82</v>
      </c>
      <c r="C15" s="191"/>
      <c r="D15" s="191"/>
      <c r="E15" s="197"/>
    </row>
    <row r="16" spans="1:5" x14ac:dyDescent="0.25">
      <c r="A16" s="203" t="s">
        <v>78</v>
      </c>
      <c r="B16" s="203">
        <v>8660</v>
      </c>
      <c r="C16" s="186"/>
      <c r="D16" s="186"/>
      <c r="E16" s="197"/>
    </row>
    <row r="17" spans="1:8" x14ac:dyDescent="0.25">
      <c r="A17" s="199" t="s">
        <v>79</v>
      </c>
      <c r="B17" s="203">
        <v>5810</v>
      </c>
      <c r="C17" s="186"/>
      <c r="D17" s="186"/>
      <c r="E17" s="197"/>
    </row>
    <row r="18" spans="1:8" x14ac:dyDescent="0.25">
      <c r="A18" s="203" t="s">
        <v>12</v>
      </c>
      <c r="B18" s="205">
        <v>16.899999999999999</v>
      </c>
      <c r="C18" s="191"/>
      <c r="D18" s="191"/>
      <c r="E18" s="197"/>
    </row>
    <row r="19" spans="1:8" x14ac:dyDescent="0.25">
      <c r="A19" s="203" t="s">
        <v>13</v>
      </c>
      <c r="B19" s="205">
        <v>36.5</v>
      </c>
      <c r="C19" s="186"/>
      <c r="D19" s="186"/>
      <c r="E19" s="197"/>
    </row>
    <row r="20" spans="1:8" x14ac:dyDescent="0.25">
      <c r="A20" s="203" t="s">
        <v>14</v>
      </c>
      <c r="B20" s="205">
        <v>14.7</v>
      </c>
      <c r="C20" s="191"/>
      <c r="D20" s="191"/>
      <c r="E20" s="197"/>
    </row>
    <row r="21" spans="1:8" x14ac:dyDescent="0.25">
      <c r="A21" s="199" t="s">
        <v>108</v>
      </c>
      <c r="B21" s="203">
        <v>500</v>
      </c>
      <c r="C21" s="191"/>
      <c r="D21" s="191"/>
      <c r="E21" s="197"/>
    </row>
    <row r="22" spans="1:8" x14ac:dyDescent="0.25">
      <c r="A22" s="198" t="s">
        <v>52</v>
      </c>
      <c r="B22" s="203"/>
      <c r="C22" s="204"/>
      <c r="D22" s="204"/>
      <c r="E22" s="197"/>
    </row>
    <row r="23" spans="1:8" x14ac:dyDescent="0.25">
      <c r="A23" s="199" t="s">
        <v>72</v>
      </c>
      <c r="B23" s="203">
        <v>95.2</v>
      </c>
      <c r="C23" s="204"/>
      <c r="D23" s="204"/>
      <c r="E23" s="197"/>
    </row>
    <row r="24" spans="1:8" x14ac:dyDescent="0.25">
      <c r="A24" s="199" t="s">
        <v>56</v>
      </c>
      <c r="B24" s="203">
        <v>163.18238720000002</v>
      </c>
      <c r="C24" s="219"/>
      <c r="D24" s="204"/>
      <c r="E24" s="197"/>
    </row>
    <row r="25" spans="1:8" x14ac:dyDescent="0.25">
      <c r="A25" s="199" t="s">
        <v>57</v>
      </c>
      <c r="B25" s="203">
        <v>326.36477440000004</v>
      </c>
      <c r="C25" s="219"/>
      <c r="D25" s="204"/>
      <c r="E25" s="197"/>
      <c r="H25" s="141"/>
    </row>
    <row r="26" spans="1:8" x14ac:dyDescent="0.25">
      <c r="A26" s="199" t="s">
        <v>58</v>
      </c>
      <c r="B26" s="203">
        <v>677.17529600000023</v>
      </c>
      <c r="C26" s="219"/>
      <c r="D26" s="204"/>
      <c r="E26" s="197"/>
    </row>
    <row r="27" spans="1:8" x14ac:dyDescent="0.25">
      <c r="A27" s="199" t="s">
        <v>91</v>
      </c>
      <c r="B27" s="203">
        <v>1292.53376</v>
      </c>
      <c r="C27" s="219"/>
      <c r="D27" s="204"/>
      <c r="E27" s="197"/>
    </row>
    <row r="28" spans="1:8" x14ac:dyDescent="0.25">
      <c r="A28" s="199" t="s">
        <v>92</v>
      </c>
      <c r="B28" s="203">
        <v>140.49280000000005</v>
      </c>
      <c r="C28" s="219"/>
      <c r="D28" s="204"/>
      <c r="E28" s="197"/>
    </row>
    <row r="29" spans="1:8" x14ac:dyDescent="0.25">
      <c r="A29" s="199" t="s">
        <v>59</v>
      </c>
      <c r="B29" s="203">
        <v>316.10880000000009</v>
      </c>
      <c r="C29" s="219"/>
      <c r="D29" s="204"/>
      <c r="E29" s="197"/>
    </row>
    <row r="30" spans="1:8" x14ac:dyDescent="0.25">
      <c r="A30" s="199" t="s">
        <v>60</v>
      </c>
      <c r="B30" s="203">
        <v>84.295680000000019</v>
      </c>
      <c r="C30" s="219"/>
      <c r="D30" s="204"/>
      <c r="E30" s="197"/>
    </row>
    <row r="31" spans="1:8" x14ac:dyDescent="0.25">
      <c r="A31" s="199" t="s">
        <v>94</v>
      </c>
      <c r="B31" s="203">
        <v>225.68000000000004</v>
      </c>
      <c r="C31" s="219"/>
      <c r="D31" s="204"/>
      <c r="E31" s="197"/>
    </row>
    <row r="32" spans="1:8" x14ac:dyDescent="0.25">
      <c r="A32" s="199" t="s">
        <v>101</v>
      </c>
      <c r="B32" s="203">
        <v>168.59136000000004</v>
      </c>
      <c r="C32" s="219"/>
      <c r="D32" s="204"/>
      <c r="E32" s="197"/>
    </row>
    <row r="33" spans="1:5" x14ac:dyDescent="0.25">
      <c r="A33" s="199" t="s">
        <v>83</v>
      </c>
      <c r="B33" s="203">
        <v>240.17244160000004</v>
      </c>
      <c r="C33" s="219"/>
      <c r="D33" s="204"/>
      <c r="E33" s="197"/>
    </row>
    <row r="34" spans="1:5" x14ac:dyDescent="0.25">
      <c r="A34" s="216" t="s">
        <v>130</v>
      </c>
      <c r="B34" s="218">
        <v>506.24000000000007</v>
      </c>
      <c r="C34" s="219"/>
      <c r="D34" s="219"/>
      <c r="E34" s="215"/>
    </row>
    <row r="35" spans="1:5" x14ac:dyDescent="0.25">
      <c r="A35" s="216" t="s">
        <v>131</v>
      </c>
      <c r="B35" s="218">
        <v>267.45600000000002</v>
      </c>
      <c r="C35" s="219"/>
      <c r="D35" s="219"/>
      <c r="E35" s="215"/>
    </row>
    <row r="36" spans="1:5" x14ac:dyDescent="0.25">
      <c r="A36" s="216" t="s">
        <v>136</v>
      </c>
      <c r="B36" s="218">
        <v>884.80000000000007</v>
      </c>
      <c r="C36" s="219"/>
      <c r="D36" s="219"/>
      <c r="E36" s="215"/>
    </row>
    <row r="37" spans="1:5" x14ac:dyDescent="0.25">
      <c r="A37" s="216" t="s">
        <v>132</v>
      </c>
      <c r="B37" s="218">
        <v>190.4</v>
      </c>
      <c r="C37" s="219"/>
      <c r="D37" s="219"/>
      <c r="E37" s="215"/>
    </row>
    <row r="38" spans="1:5" x14ac:dyDescent="0.25">
      <c r="A38" s="199" t="s">
        <v>133</v>
      </c>
      <c r="B38" s="203">
        <v>94.640000000000015</v>
      </c>
      <c r="C38" s="219"/>
      <c r="D38" s="186"/>
      <c r="E38" s="197"/>
    </row>
    <row r="39" spans="1:5" x14ac:dyDescent="0.25">
      <c r="A39" s="199" t="s">
        <v>134</v>
      </c>
      <c r="B39" s="191">
        <v>586.88000000000011</v>
      </c>
      <c r="C39" s="219"/>
      <c r="D39" s="191"/>
      <c r="E39" s="197"/>
    </row>
    <row r="40" spans="1:5" x14ac:dyDescent="0.25">
      <c r="A40" s="199" t="s">
        <v>135</v>
      </c>
      <c r="B40" s="191">
        <v>28.056000000000004</v>
      </c>
      <c r="C40" s="219"/>
      <c r="D40" s="191"/>
      <c r="E40" s="197"/>
    </row>
    <row r="41" spans="1:5" x14ac:dyDescent="0.25">
      <c r="A41" s="216" t="s">
        <v>97</v>
      </c>
      <c r="B41" s="191"/>
      <c r="C41" s="191"/>
      <c r="D41" s="191"/>
      <c r="E41" s="197"/>
    </row>
    <row r="42" spans="1:5" x14ac:dyDescent="0.25">
      <c r="A42" s="199" t="s">
        <v>98</v>
      </c>
      <c r="B42" s="191"/>
      <c r="C42" s="191"/>
      <c r="D42" s="191"/>
      <c r="E42" s="197"/>
    </row>
    <row r="43" spans="1:5" x14ac:dyDescent="0.25">
      <c r="A43" s="199" t="s">
        <v>99</v>
      </c>
      <c r="B43" s="191"/>
      <c r="C43" s="191"/>
      <c r="D43" s="191"/>
      <c r="E43" s="197"/>
    </row>
    <row r="44" spans="1:5" x14ac:dyDescent="0.25">
      <c r="A44" s="199" t="s">
        <v>16</v>
      </c>
      <c r="B44" s="205">
        <v>14.6</v>
      </c>
      <c r="C44" s="186"/>
      <c r="D44" s="186"/>
      <c r="E44" s="197"/>
    </row>
    <row r="45" spans="1:5" x14ac:dyDescent="0.25">
      <c r="A45" s="216" t="s">
        <v>137</v>
      </c>
      <c r="B45" s="218">
        <v>250</v>
      </c>
      <c r="C45" s="191"/>
      <c r="D45" s="191"/>
      <c r="E45" s="215"/>
    </row>
    <row r="46" spans="1:5" x14ac:dyDescent="0.25">
      <c r="A46" s="199" t="s">
        <v>21</v>
      </c>
      <c r="B46" s="203">
        <v>450</v>
      </c>
      <c r="C46" s="186"/>
      <c r="D46" s="186"/>
      <c r="E46" s="197"/>
    </row>
    <row r="47" spans="1:5" x14ac:dyDescent="0.25">
      <c r="A47" s="199" t="s">
        <v>22</v>
      </c>
      <c r="B47" s="206">
        <v>0</v>
      </c>
      <c r="C47" s="191"/>
      <c r="D47" s="191"/>
      <c r="E47" s="197"/>
    </row>
    <row r="48" spans="1:5" x14ac:dyDescent="0.25">
      <c r="A48" s="199" t="s">
        <v>85</v>
      </c>
      <c r="B48" s="203">
        <v>900</v>
      </c>
      <c r="C48" s="187"/>
      <c r="D48" s="199"/>
      <c r="E48" s="197"/>
    </row>
    <row r="49" spans="1:5" x14ac:dyDescent="0.25">
      <c r="A49" s="199" t="s">
        <v>109</v>
      </c>
      <c r="B49" s="188">
        <v>0.11</v>
      </c>
      <c r="C49" s="187"/>
      <c r="D49" s="199"/>
      <c r="E49" s="197"/>
    </row>
    <row r="50" spans="1:5" x14ac:dyDescent="0.25">
      <c r="A50" s="46"/>
      <c r="B50" s="142"/>
      <c r="C50" s="142"/>
      <c r="D50" s="46"/>
    </row>
    <row r="51" spans="1:5" x14ac:dyDescent="0.25">
      <c r="A51" s="46"/>
      <c r="B51" s="142"/>
      <c r="C51" s="142"/>
      <c r="D51" s="46"/>
    </row>
    <row r="52" spans="1:5" x14ac:dyDescent="0.25">
      <c r="A52" s="46"/>
      <c r="B52" s="142"/>
      <c r="C52" s="142"/>
      <c r="D52" s="46"/>
    </row>
    <row r="53" spans="1:5" x14ac:dyDescent="0.25">
      <c r="A53" s="46"/>
      <c r="B53" s="142"/>
      <c r="C53" s="142"/>
      <c r="D53" s="46"/>
    </row>
    <row r="54" spans="1:5" x14ac:dyDescent="0.25">
      <c r="A54" s="46"/>
      <c r="B54" s="142"/>
      <c r="C54" s="142"/>
      <c r="D54" s="46"/>
    </row>
    <row r="55" spans="1:5" x14ac:dyDescent="0.25">
      <c r="A55" s="46"/>
      <c r="B55" s="142"/>
      <c r="C55" s="142"/>
      <c r="D55" s="46"/>
    </row>
    <row r="56" spans="1:5" x14ac:dyDescent="0.25">
      <c r="A56" s="46"/>
      <c r="B56" s="142"/>
      <c r="C56" s="142"/>
      <c r="D56" s="46"/>
    </row>
    <row r="57" spans="1:5" x14ac:dyDescent="0.25">
      <c r="A57" s="46"/>
      <c r="B57" s="142"/>
      <c r="C57" s="142"/>
      <c r="D57" s="46"/>
    </row>
    <row r="58" spans="1:5" x14ac:dyDescent="0.25">
      <c r="A58" s="46"/>
      <c r="B58" s="142"/>
      <c r="C58" s="142"/>
      <c r="D58" s="46"/>
    </row>
    <row r="59" spans="1:5" x14ac:dyDescent="0.25">
      <c r="A59" s="46"/>
      <c r="B59" s="142"/>
      <c r="C59" s="142"/>
      <c r="D59" s="46"/>
    </row>
    <row r="60" spans="1:5" x14ac:dyDescent="0.25">
      <c r="A60" s="46"/>
      <c r="B60" s="142"/>
      <c r="C60" s="142"/>
      <c r="D60" s="46"/>
    </row>
    <row r="61" spans="1:5" x14ac:dyDescent="0.25">
      <c r="A61" s="46"/>
      <c r="B61" s="142"/>
      <c r="C61" s="142"/>
      <c r="D61" s="46"/>
    </row>
    <row r="62" spans="1:5" x14ac:dyDescent="0.25">
      <c r="A62" s="46"/>
      <c r="B62" s="142"/>
      <c r="C62" s="142"/>
      <c r="D62" s="46"/>
    </row>
    <row r="63" spans="1:5" x14ac:dyDescent="0.25">
      <c r="A63" s="46"/>
      <c r="B63" s="142"/>
      <c r="C63" s="142"/>
      <c r="D63" s="46"/>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zoomScale="85" zoomScaleNormal="85" workbookViewId="0">
      <selection activeCell="C59" sqref="C59"/>
    </sheetView>
  </sheetViews>
  <sheetFormatPr defaultRowHeight="15" x14ac:dyDescent="0.25"/>
  <cols>
    <col min="1" max="1" width="31.7109375" customWidth="1"/>
    <col min="2" max="7" width="14.85546875" customWidth="1"/>
    <col min="8" max="8" width="12.42578125" bestFit="1" customWidth="1"/>
  </cols>
  <sheetData>
    <row r="1" spans="1:8" s="45" customFormat="1" ht="22.9" customHeight="1" x14ac:dyDescent="0.25">
      <c r="A1" s="243" t="str">
        <f>"Production cost and profitability analysis of MAIZE for the "&amp;B3</f>
        <v>Production cost and profitability analysis of MAIZE for the 2019/20 production season</v>
      </c>
      <c r="B1" s="244"/>
      <c r="C1" s="244"/>
      <c r="D1" s="244"/>
      <c r="E1" s="244"/>
      <c r="F1" s="244"/>
      <c r="G1" s="244"/>
      <c r="H1" s="60"/>
    </row>
    <row r="2" spans="1:8" s="63" customFormat="1" ht="16.149999999999999" customHeight="1" x14ac:dyDescent="0.3">
      <c r="A2" s="61"/>
      <c r="B2" s="62"/>
      <c r="C2" s="62"/>
      <c r="D2" s="62"/>
      <c r="E2" s="62"/>
      <c r="F2" s="62"/>
      <c r="G2" s="62"/>
      <c r="H2" s="62"/>
    </row>
    <row r="3" spans="1:8" ht="14.45" x14ac:dyDescent="0.3">
      <c r="A3" s="64" t="s">
        <v>0</v>
      </c>
      <c r="B3" s="64" t="str">
        <f>'Price sheet'!B1</f>
        <v>2019/20 production season</v>
      </c>
      <c r="C3" s="64"/>
      <c r="D3" s="64"/>
      <c r="E3" s="1"/>
      <c r="F3" s="1"/>
      <c r="G3" s="1"/>
      <c r="H3" s="1"/>
    </row>
    <row r="4" spans="1:8" x14ac:dyDescent="0.25">
      <c r="A4" s="2"/>
      <c r="B4" s="3" t="str">
        <f>PROPER(A3)</f>
        <v>Maize</v>
      </c>
      <c r="C4" s="1"/>
      <c r="D4" s="1"/>
      <c r="E4" s="1"/>
      <c r="F4" s="1"/>
      <c r="G4" s="1"/>
      <c r="H4" s="1"/>
    </row>
    <row r="5" spans="1:8" x14ac:dyDescent="0.25">
      <c r="A5" s="4" t="s">
        <v>1</v>
      </c>
      <c r="B5" s="4" t="str">
        <f>'[1]General info'!B25</f>
        <v>Arable land</v>
      </c>
      <c r="C5" s="5" t="s">
        <v>2</v>
      </c>
      <c r="D5" s="1"/>
      <c r="E5" s="1"/>
      <c r="F5" s="1"/>
      <c r="G5" s="1"/>
      <c r="H5" s="1"/>
    </row>
    <row r="6" spans="1:8" ht="14.45" x14ac:dyDescent="0.3">
      <c r="A6" s="4" t="str">
        <f>"Area for "&amp;B4&amp;"."</f>
        <v>Area for Maize.</v>
      </c>
      <c r="B6" s="57">
        <v>10</v>
      </c>
      <c r="C6" s="5" t="s">
        <v>2</v>
      </c>
      <c r="D6" s="1"/>
      <c r="E6" s="1"/>
      <c r="F6" s="1"/>
      <c r="G6" s="1"/>
      <c r="H6" s="1"/>
    </row>
    <row r="7" spans="1:8" ht="14.45" x14ac:dyDescent="0.3">
      <c r="A7" s="1"/>
      <c r="B7" s="1"/>
      <c r="C7" s="1"/>
      <c r="D7" s="1"/>
      <c r="E7" s="1"/>
      <c r="F7" s="1"/>
      <c r="G7" s="1"/>
      <c r="H7" s="1"/>
    </row>
    <row r="8" spans="1:8" ht="14.45" x14ac:dyDescent="0.3">
      <c r="A8" s="6" t="str">
        <f>"TOTAL INCOME FOR "&amp;A3</f>
        <v>TOTAL INCOME FOR MAIZE</v>
      </c>
      <c r="B8" s="7" t="s">
        <v>3</v>
      </c>
      <c r="C8" s="7" t="s">
        <v>4</v>
      </c>
      <c r="D8" s="7" t="s">
        <v>5</v>
      </c>
      <c r="E8" s="1"/>
      <c r="F8" s="8"/>
      <c r="G8" s="8"/>
      <c r="H8" s="8"/>
    </row>
    <row r="9" spans="1:8" ht="14.45" x14ac:dyDescent="0.3">
      <c r="A9" s="39" t="s">
        <v>44</v>
      </c>
      <c r="B9" s="50">
        <v>1.8</v>
      </c>
      <c r="C9" s="42">
        <v>2.8</v>
      </c>
      <c r="D9" s="50">
        <v>3.3</v>
      </c>
      <c r="E9" s="1"/>
      <c r="F9" s="8"/>
      <c r="G9" s="8"/>
      <c r="H9" s="8"/>
    </row>
    <row r="10" spans="1:8" s="30" customFormat="1" ht="14.45" x14ac:dyDescent="0.3">
      <c r="A10" s="33"/>
      <c r="B10" s="34"/>
      <c r="C10" s="34"/>
      <c r="D10" s="34"/>
      <c r="E10" s="31"/>
      <c r="F10" s="32"/>
      <c r="G10" s="32"/>
      <c r="H10" s="32"/>
    </row>
    <row r="11" spans="1:8" ht="14.45" x14ac:dyDescent="0.3">
      <c r="A11" s="41" t="s">
        <v>45</v>
      </c>
      <c r="B11" s="56">
        <f>C11</f>
        <v>2700</v>
      </c>
      <c r="C11" s="56">
        <f>'Price sheet'!B3</f>
        <v>2700</v>
      </c>
      <c r="D11" s="56">
        <f>C11</f>
        <v>2700</v>
      </c>
      <c r="E11" s="1"/>
      <c r="F11" s="1"/>
      <c r="G11" s="8"/>
      <c r="H11" s="8"/>
    </row>
    <row r="12" spans="1:8" s="35" customFormat="1" ht="14.45" x14ac:dyDescent="0.3">
      <c r="A12" s="41" t="s">
        <v>46</v>
      </c>
      <c r="B12" s="56">
        <f>C12</f>
        <v>260</v>
      </c>
      <c r="C12" s="56">
        <f>'Price sheet'!B4</f>
        <v>260</v>
      </c>
      <c r="D12" s="56">
        <f>C12</f>
        <v>260</v>
      </c>
      <c r="E12" s="36"/>
      <c r="F12" s="36"/>
      <c r="G12" s="38"/>
      <c r="H12" s="38"/>
    </row>
    <row r="13" spans="1:8" s="35" customFormat="1" ht="14.45" x14ac:dyDescent="0.3">
      <c r="A13" s="41" t="s">
        <v>47</v>
      </c>
      <c r="B13" s="56">
        <f>B11-B12</f>
        <v>2440</v>
      </c>
      <c r="C13" s="56">
        <f t="shared" ref="C13:D13" si="0">C11-C12</f>
        <v>2440</v>
      </c>
      <c r="D13" s="56">
        <f t="shared" si="0"/>
        <v>2440</v>
      </c>
      <c r="E13" s="36"/>
      <c r="F13" s="36"/>
      <c r="G13" s="38"/>
      <c r="H13" s="38"/>
    </row>
    <row r="14" spans="1:8" s="35" customFormat="1" ht="14.45" x14ac:dyDescent="0.3">
      <c r="A14" s="37"/>
      <c r="B14" s="40"/>
      <c r="C14" s="40"/>
      <c r="D14" s="40"/>
      <c r="E14" s="36"/>
      <c r="F14" s="36"/>
      <c r="G14" s="38"/>
      <c r="H14" s="38"/>
    </row>
    <row r="15" spans="1:8" ht="14.45" x14ac:dyDescent="0.3">
      <c r="A15" s="43" t="s">
        <v>6</v>
      </c>
      <c r="B15" s="29">
        <f>B9*B13</f>
        <v>4392</v>
      </c>
      <c r="C15" s="29">
        <f>C9*C13</f>
        <v>6832</v>
      </c>
      <c r="D15" s="29">
        <f>D9*D13</f>
        <v>8052</v>
      </c>
      <c r="E15" s="1"/>
      <c r="F15" s="1"/>
      <c r="G15" s="8"/>
      <c r="H15" s="8"/>
    </row>
    <row r="16" spans="1:8" ht="14.45" x14ac:dyDescent="0.3">
      <c r="A16" s="4" t="str">
        <f>"Yield from "&amp;B4</f>
        <v>Yield from Maize</v>
      </c>
      <c r="B16" s="9">
        <f>B6</f>
        <v>10</v>
      </c>
      <c r="C16" s="9">
        <f>B6</f>
        <v>10</v>
      </c>
      <c r="D16" s="9">
        <f>B6</f>
        <v>10</v>
      </c>
      <c r="E16" s="1"/>
      <c r="F16" s="1"/>
      <c r="G16" s="8"/>
      <c r="H16" s="8"/>
    </row>
    <row r="17" spans="1:8" thickBot="1" x14ac:dyDescent="0.35">
      <c r="A17" s="2" t="str">
        <f>"Income for "&amp;B4&amp;" per year"</f>
        <v>Income for Maize per year</v>
      </c>
      <c r="B17" s="10">
        <f>B16*B15</f>
        <v>43920</v>
      </c>
      <c r="C17" s="10">
        <f>C16*C15</f>
        <v>68320</v>
      </c>
      <c r="D17" s="10">
        <f>D16*D15</f>
        <v>80520</v>
      </c>
      <c r="E17" s="1"/>
      <c r="F17" s="1"/>
      <c r="G17" s="11"/>
      <c r="H17" s="11"/>
    </row>
    <row r="18" spans="1:8" ht="14.45" x14ac:dyDescent="0.3">
      <c r="A18" s="2"/>
      <c r="B18" s="28"/>
      <c r="C18" s="28"/>
      <c r="D18" s="28"/>
      <c r="E18" s="1"/>
      <c r="F18" s="1"/>
      <c r="G18" s="11"/>
      <c r="H18" s="11"/>
    </row>
    <row r="19" spans="1:8" ht="14.45" x14ac:dyDescent="0.3">
      <c r="A19" s="12" t="s">
        <v>7</v>
      </c>
      <c r="B19" s="13"/>
      <c r="C19" s="13"/>
      <c r="D19" s="13"/>
      <c r="E19" s="13"/>
      <c r="F19" s="13"/>
      <c r="G19" s="14"/>
      <c r="H19" s="14"/>
    </row>
    <row r="20" spans="1:8" ht="42.6" customHeight="1" x14ac:dyDescent="0.3">
      <c r="A20" s="15" t="s">
        <v>8</v>
      </c>
      <c r="B20" s="16" t="s">
        <v>61</v>
      </c>
      <c r="C20" s="16" t="s">
        <v>62</v>
      </c>
      <c r="D20" s="16" t="s">
        <v>48</v>
      </c>
      <c r="E20" s="16" t="s">
        <v>63</v>
      </c>
      <c r="F20" s="16" t="s">
        <v>9</v>
      </c>
      <c r="G20" s="16" t="str">
        <f>"Total for "&amp;B4</f>
        <v>Total for Maize</v>
      </c>
    </row>
    <row r="21" spans="1:8" x14ac:dyDescent="0.25">
      <c r="A21" s="132" t="s">
        <v>10</v>
      </c>
      <c r="B21" s="103" t="s">
        <v>53</v>
      </c>
      <c r="C21" s="104"/>
      <c r="D21" s="105">
        <f>'Price sheet'!B8</f>
        <v>5.1666666666666666E-2</v>
      </c>
      <c r="E21" s="106">
        <v>18000</v>
      </c>
      <c r="F21" s="133">
        <f>D21*E21</f>
        <v>930</v>
      </c>
      <c r="G21" s="134">
        <f>F21*$B$6</f>
        <v>9300</v>
      </c>
    </row>
    <row r="22" spans="1:8" s="101" customFormat="1" x14ac:dyDescent="0.25">
      <c r="A22" s="102"/>
      <c r="B22" s="103"/>
      <c r="C22" s="104"/>
      <c r="D22" s="105"/>
      <c r="E22" s="106"/>
      <c r="F22" s="107"/>
      <c r="G22" s="108"/>
    </row>
    <row r="23" spans="1:8" s="101" customFormat="1" x14ac:dyDescent="0.25">
      <c r="A23" s="132" t="s">
        <v>68</v>
      </c>
      <c r="B23" s="103"/>
      <c r="C23" s="104"/>
      <c r="D23" s="105"/>
      <c r="E23" s="106"/>
      <c r="F23" s="133">
        <f>SUM(F24:F28)</f>
        <v>1599</v>
      </c>
      <c r="G23" s="134">
        <f>F23*$B$6</f>
        <v>15990</v>
      </c>
    </row>
    <row r="24" spans="1:8" x14ac:dyDescent="0.25">
      <c r="A24" s="114" t="s">
        <v>102</v>
      </c>
      <c r="B24" s="103" t="s">
        <v>54</v>
      </c>
      <c r="C24" s="137">
        <v>0</v>
      </c>
      <c r="D24" s="109">
        <f>'Price sheet'!B16/20</f>
        <v>433</v>
      </c>
      <c r="E24" s="110">
        <v>0</v>
      </c>
      <c r="F24" s="107">
        <f>C24*D24*E24</f>
        <v>0</v>
      </c>
      <c r="G24" s="108">
        <f t="shared" ref="G24:G52" si="1">F24*$B$6</f>
        <v>0</v>
      </c>
    </row>
    <row r="25" spans="1:8" x14ac:dyDescent="0.25">
      <c r="A25" s="111" t="s">
        <v>12</v>
      </c>
      <c r="B25" s="103" t="s">
        <v>11</v>
      </c>
      <c r="C25" s="137">
        <v>1</v>
      </c>
      <c r="D25" s="112">
        <f>'Price sheet'!B18</f>
        <v>16.899999999999999</v>
      </c>
      <c r="E25" s="106">
        <v>60</v>
      </c>
      <c r="F25" s="107">
        <f t="shared" ref="F25:F28" si="2">C25*D25*E25</f>
        <v>1013.9999999999999</v>
      </c>
      <c r="G25" s="108">
        <f t="shared" si="1"/>
        <v>10139.999999999998</v>
      </c>
    </row>
    <row r="26" spans="1:8" x14ac:dyDescent="0.25">
      <c r="A26" s="111" t="s">
        <v>13</v>
      </c>
      <c r="B26" s="103" t="s">
        <v>11</v>
      </c>
      <c r="C26" s="137">
        <v>1</v>
      </c>
      <c r="D26" s="112">
        <f>'Price sheet'!B19</f>
        <v>36.5</v>
      </c>
      <c r="E26" s="106">
        <v>12</v>
      </c>
      <c r="F26" s="107">
        <f t="shared" si="2"/>
        <v>438</v>
      </c>
      <c r="G26" s="108">
        <f t="shared" si="1"/>
        <v>4380</v>
      </c>
    </row>
    <row r="27" spans="1:8" x14ac:dyDescent="0.25">
      <c r="A27" s="111" t="s">
        <v>14</v>
      </c>
      <c r="B27" s="103" t="s">
        <v>11</v>
      </c>
      <c r="C27" s="137">
        <v>1</v>
      </c>
      <c r="D27" s="112">
        <f>'Price sheet'!B20</f>
        <v>14.7</v>
      </c>
      <c r="E27" s="106">
        <v>10</v>
      </c>
      <c r="F27" s="107">
        <f>C27*D27*E27</f>
        <v>147</v>
      </c>
      <c r="G27" s="108">
        <f t="shared" si="1"/>
        <v>1470</v>
      </c>
    </row>
    <row r="28" spans="1:8" x14ac:dyDescent="0.25">
      <c r="A28" s="114" t="s">
        <v>104</v>
      </c>
      <c r="B28" s="103" t="s">
        <v>54</v>
      </c>
      <c r="C28" s="137">
        <v>0</v>
      </c>
      <c r="D28" s="109">
        <f>'Price sheet'!B17/20</f>
        <v>290.5</v>
      </c>
      <c r="E28" s="110">
        <v>0</v>
      </c>
      <c r="F28" s="107">
        <f t="shared" si="2"/>
        <v>0</v>
      </c>
      <c r="G28" s="108">
        <f t="shared" si="1"/>
        <v>0</v>
      </c>
    </row>
    <row r="29" spans="1:8" s="101" customFormat="1" x14ac:dyDescent="0.25">
      <c r="A29" s="102"/>
      <c r="B29" s="103"/>
      <c r="C29" s="104"/>
      <c r="D29" s="109"/>
      <c r="E29" s="110"/>
      <c r="F29" s="107"/>
      <c r="G29" s="108"/>
    </row>
    <row r="30" spans="1:8" x14ac:dyDescent="0.25">
      <c r="A30" s="132" t="s">
        <v>55</v>
      </c>
      <c r="B30" s="147" t="s">
        <v>107</v>
      </c>
      <c r="C30" s="138">
        <v>1</v>
      </c>
      <c r="D30" s="107">
        <f>'Price sheet'!B21</f>
        <v>500</v>
      </c>
      <c r="E30" s="113">
        <v>1</v>
      </c>
      <c r="F30" s="133">
        <f>C30*D30*E30</f>
        <v>500</v>
      </c>
      <c r="G30" s="134">
        <f t="shared" si="1"/>
        <v>5000</v>
      </c>
    </row>
    <row r="31" spans="1:8" s="101" customFormat="1" x14ac:dyDescent="0.25">
      <c r="A31" s="102"/>
      <c r="B31" s="103"/>
      <c r="C31" s="104"/>
      <c r="D31" s="107"/>
      <c r="E31" s="113"/>
      <c r="F31" s="107"/>
      <c r="G31" s="108"/>
    </row>
    <row r="32" spans="1:8" x14ac:dyDescent="0.25">
      <c r="A32" s="132" t="s">
        <v>52</v>
      </c>
      <c r="B32" s="102"/>
      <c r="C32" s="102"/>
      <c r="D32" s="102"/>
      <c r="E32" s="102"/>
      <c r="F32" s="133">
        <f>SUM(F33:F44)</f>
        <v>706.21879551999996</v>
      </c>
      <c r="G32" s="133">
        <f>SUM(G33:G44)</f>
        <v>7062.1879552</v>
      </c>
    </row>
    <row r="33" spans="1:7" s="45" customFormat="1" x14ac:dyDescent="0.25">
      <c r="A33" s="114" t="s">
        <v>72</v>
      </c>
      <c r="B33" s="103" t="s">
        <v>15</v>
      </c>
      <c r="C33" s="143">
        <v>1</v>
      </c>
      <c r="D33" s="115">
        <f>'Price sheet'!B23</f>
        <v>95.2</v>
      </c>
      <c r="E33" s="102">
        <v>1.75</v>
      </c>
      <c r="F33" s="107">
        <f>C33*D33*E33</f>
        <v>166.6</v>
      </c>
      <c r="G33" s="102">
        <f>F33*$B$6</f>
        <v>1666</v>
      </c>
    </row>
    <row r="34" spans="1:7" x14ac:dyDescent="0.25">
      <c r="A34" s="102" t="s">
        <v>56</v>
      </c>
      <c r="B34" s="103" t="s">
        <v>15</v>
      </c>
      <c r="C34" s="143">
        <v>1</v>
      </c>
      <c r="D34" s="115">
        <f>'Price sheet'!B24</f>
        <v>163.18238720000002</v>
      </c>
      <c r="E34" s="102">
        <v>2</v>
      </c>
      <c r="F34" s="107">
        <f>C34*D34*E34</f>
        <v>326.36477440000004</v>
      </c>
      <c r="G34" s="102">
        <f>F34*$B$6</f>
        <v>3263.6477440000003</v>
      </c>
    </row>
    <row r="35" spans="1:7" x14ac:dyDescent="0.25">
      <c r="A35" s="102" t="s">
        <v>57</v>
      </c>
      <c r="B35" s="103" t="s">
        <v>15</v>
      </c>
      <c r="C35" s="143">
        <v>1</v>
      </c>
      <c r="D35" s="115">
        <f>'Price sheet'!B25</f>
        <v>326.36477440000004</v>
      </c>
      <c r="E35" s="102">
        <v>0.4</v>
      </c>
      <c r="F35" s="107">
        <f>C35*D35*E35</f>
        <v>130.54590976000003</v>
      </c>
      <c r="G35" s="102">
        <f t="shared" si="1"/>
        <v>1305.4590976000004</v>
      </c>
    </row>
    <row r="36" spans="1:7" x14ac:dyDescent="0.25">
      <c r="A36" s="102" t="s">
        <v>58</v>
      </c>
      <c r="B36" s="103" t="s">
        <v>15</v>
      </c>
      <c r="C36" s="143">
        <v>1</v>
      </c>
      <c r="D36" s="115">
        <f>'Price sheet'!B26</f>
        <v>677.17529600000023</v>
      </c>
      <c r="E36" s="116">
        <v>3.5000000000000003E-2</v>
      </c>
      <c r="F36" s="107">
        <f t="shared" ref="F36" si="3">C36*D36*E36</f>
        <v>23.701135360000009</v>
      </c>
      <c r="G36" s="102">
        <f t="shared" si="1"/>
        <v>237.01135360000009</v>
      </c>
    </row>
    <row r="37" spans="1:7" s="45" customFormat="1" x14ac:dyDescent="0.25">
      <c r="A37" s="114" t="s">
        <v>91</v>
      </c>
      <c r="B37" s="103" t="s">
        <v>15</v>
      </c>
      <c r="C37" s="143">
        <v>0</v>
      </c>
      <c r="D37" s="115">
        <f>'Price sheet'!B27</f>
        <v>1292.53376</v>
      </c>
      <c r="E37" s="117">
        <v>0.2</v>
      </c>
      <c r="F37" s="107">
        <f>C37*D37*E37</f>
        <v>0</v>
      </c>
      <c r="G37" s="102">
        <f t="shared" si="1"/>
        <v>0</v>
      </c>
    </row>
    <row r="38" spans="1:7" s="45" customFormat="1" x14ac:dyDescent="0.25">
      <c r="A38" s="114" t="s">
        <v>92</v>
      </c>
      <c r="B38" s="103" t="s">
        <v>15</v>
      </c>
      <c r="C38" s="143">
        <v>0</v>
      </c>
      <c r="D38" s="115">
        <f>'Price sheet'!B28</f>
        <v>140.49280000000005</v>
      </c>
      <c r="E38" s="117">
        <v>1.3</v>
      </c>
      <c r="F38" s="107">
        <f>C38*D38*E38</f>
        <v>0</v>
      </c>
      <c r="G38" s="102">
        <f>F38*$B$6</f>
        <v>0</v>
      </c>
    </row>
    <row r="39" spans="1:7" x14ac:dyDescent="0.25">
      <c r="A39" s="102" t="s">
        <v>59</v>
      </c>
      <c r="B39" s="103" t="s">
        <v>15</v>
      </c>
      <c r="C39" s="143">
        <v>1</v>
      </c>
      <c r="D39" s="115">
        <f>'Price sheet'!B29</f>
        <v>316.10880000000009</v>
      </c>
      <c r="E39" s="102">
        <v>0.12</v>
      </c>
      <c r="F39" s="107">
        <f t="shared" ref="F39" si="4">C39*D39*E39</f>
        <v>37.933056000000008</v>
      </c>
      <c r="G39" s="102">
        <f t="shared" ref="G39" si="5">F39*$B$6</f>
        <v>379.3305600000001</v>
      </c>
    </row>
    <row r="40" spans="1:7" x14ac:dyDescent="0.25">
      <c r="A40" s="102" t="s">
        <v>60</v>
      </c>
      <c r="B40" s="103" t="s">
        <v>15</v>
      </c>
      <c r="C40" s="143">
        <v>1</v>
      </c>
      <c r="D40" s="115">
        <f>'Price sheet'!B30</f>
        <v>84.295680000000019</v>
      </c>
      <c r="E40" s="102">
        <v>0.25</v>
      </c>
      <c r="F40" s="107">
        <f>C40*D40*E40</f>
        <v>21.073920000000005</v>
      </c>
      <c r="G40" s="102">
        <f>F40*$B$6</f>
        <v>210.73920000000004</v>
      </c>
    </row>
    <row r="41" spans="1:7" s="101" customFormat="1" x14ac:dyDescent="0.25">
      <c r="A41" s="114" t="s">
        <v>100</v>
      </c>
      <c r="B41" s="103"/>
      <c r="C41" s="143"/>
      <c r="D41" s="115"/>
      <c r="E41" s="102"/>
      <c r="F41" s="107">
        <f t="shared" ref="F41:F43" si="6">C41*D41*E41</f>
        <v>0</v>
      </c>
      <c r="G41" s="102">
        <f t="shared" ref="G41:G43" si="7">F41*$B$6</f>
        <v>0</v>
      </c>
    </row>
    <row r="42" spans="1:7" s="101" customFormat="1" x14ac:dyDescent="0.25">
      <c r="A42" s="114" t="s">
        <v>100</v>
      </c>
      <c r="B42" s="103"/>
      <c r="C42" s="106"/>
      <c r="D42" s="115"/>
      <c r="E42" s="102"/>
      <c r="F42" s="107">
        <f t="shared" si="6"/>
        <v>0</v>
      </c>
      <c r="G42" s="102">
        <f t="shared" si="7"/>
        <v>0</v>
      </c>
    </row>
    <row r="43" spans="1:7" s="101" customFormat="1" x14ac:dyDescent="0.25">
      <c r="A43" s="114" t="s">
        <v>100</v>
      </c>
      <c r="B43" s="103"/>
      <c r="C43" s="106"/>
      <c r="D43" s="115"/>
      <c r="E43" s="102"/>
      <c r="F43" s="107">
        <f t="shared" si="6"/>
        <v>0</v>
      </c>
      <c r="G43" s="102">
        <f t="shared" si="7"/>
        <v>0</v>
      </c>
    </row>
    <row r="44" spans="1:7" s="101" customFormat="1" x14ac:dyDescent="0.25">
      <c r="A44" s="114"/>
      <c r="B44" s="103"/>
      <c r="C44" s="106"/>
      <c r="D44" s="115"/>
      <c r="E44" s="102"/>
      <c r="F44" s="107"/>
      <c r="G44" s="102"/>
    </row>
    <row r="45" spans="1:7" x14ac:dyDescent="0.25">
      <c r="A45" s="132" t="s">
        <v>16</v>
      </c>
      <c r="B45" s="103" t="s">
        <v>15</v>
      </c>
      <c r="C45" s="143"/>
      <c r="D45" s="112">
        <f>'Price sheet'!B44</f>
        <v>14.6</v>
      </c>
      <c r="E45" s="106">
        <v>75</v>
      </c>
      <c r="F45" s="133">
        <f>D45*E45</f>
        <v>1095</v>
      </c>
      <c r="G45" s="134">
        <f t="shared" si="1"/>
        <v>10950</v>
      </c>
    </row>
    <row r="46" spans="1:7" x14ac:dyDescent="0.25">
      <c r="A46" s="132" t="s">
        <v>17</v>
      </c>
      <c r="B46" s="102"/>
      <c r="C46" s="143">
        <v>0</v>
      </c>
      <c r="D46" s="102"/>
      <c r="E46" s="118">
        <f>'Price sheet'!B10</f>
        <v>1.7000000000000001E-2</v>
      </c>
      <c r="F46" s="134">
        <f>IFERROR((C46*E46*C15),0)</f>
        <v>0</v>
      </c>
      <c r="G46" s="134">
        <f t="shared" si="1"/>
        <v>0</v>
      </c>
    </row>
    <row r="47" spans="1:7" s="222" customFormat="1" x14ac:dyDescent="0.25">
      <c r="A47" s="226" t="s">
        <v>141</v>
      </c>
      <c r="B47" s="229"/>
      <c r="C47" s="224">
        <v>0</v>
      </c>
      <c r="D47" s="229">
        <v>0</v>
      </c>
      <c r="E47" s="229"/>
      <c r="F47" s="228">
        <f>D47*C47</f>
        <v>0</v>
      </c>
      <c r="G47" s="227"/>
    </row>
    <row r="48" spans="1:7" x14ac:dyDescent="0.25">
      <c r="A48" s="226" t="s">
        <v>106</v>
      </c>
      <c r="B48" s="102"/>
      <c r="C48" s="143">
        <v>1</v>
      </c>
      <c r="D48" s="102">
        <f>'Price sheet'!B11</f>
        <v>300</v>
      </c>
      <c r="E48" s="102"/>
      <c r="F48" s="135">
        <f>D48*C48</f>
        <v>300</v>
      </c>
      <c r="G48" s="135">
        <f t="shared" si="1"/>
        <v>3000</v>
      </c>
    </row>
    <row r="49" spans="1:8" x14ac:dyDescent="0.25">
      <c r="A49" s="132" t="s">
        <v>73</v>
      </c>
      <c r="B49" s="103" t="s">
        <v>18</v>
      </c>
      <c r="C49" s="143">
        <v>1</v>
      </c>
      <c r="D49" s="112">
        <f>'Price sheet'!B9</f>
        <v>495.00000000000006</v>
      </c>
      <c r="E49" s="102"/>
      <c r="F49" s="135">
        <f>D49*C49</f>
        <v>495.00000000000006</v>
      </c>
      <c r="G49" s="134">
        <f t="shared" si="1"/>
        <v>4950.0000000000009</v>
      </c>
    </row>
    <row r="50" spans="1:8" x14ac:dyDescent="0.25">
      <c r="A50" s="132" t="s">
        <v>64</v>
      </c>
      <c r="B50" s="103" t="s">
        <v>18</v>
      </c>
      <c r="C50" s="143">
        <v>0</v>
      </c>
      <c r="D50" s="112">
        <f>'Price sheet'!B12</f>
        <v>200</v>
      </c>
      <c r="E50" s="102">
        <f>IF($C$13=0,0,(F21+F23+F30+F32+F45+F46+F48+F49+F51+F52+F53+F54)/$C$13)</f>
        <v>2.9160732768524591</v>
      </c>
      <c r="F50" s="135">
        <f>C50*D50*E50</f>
        <v>0</v>
      </c>
      <c r="G50" s="134">
        <f t="shared" si="1"/>
        <v>0</v>
      </c>
    </row>
    <row r="51" spans="1:8" x14ac:dyDescent="0.25">
      <c r="A51" s="132" t="s">
        <v>19</v>
      </c>
      <c r="B51" s="103" t="s">
        <v>20</v>
      </c>
      <c r="C51" s="137">
        <v>1</v>
      </c>
      <c r="D51" s="119">
        <f>'Price sheet'!B13</f>
        <v>25</v>
      </c>
      <c r="E51" s="224">
        <v>40</v>
      </c>
      <c r="F51" s="135">
        <f>D51*C51*E51*(C9/20)</f>
        <v>139.99999999999997</v>
      </c>
      <c r="G51" s="134">
        <f t="shared" si="1"/>
        <v>1399.9999999999998</v>
      </c>
    </row>
    <row r="52" spans="1:8" x14ac:dyDescent="0.25">
      <c r="A52" s="132" t="s">
        <v>21</v>
      </c>
      <c r="B52" s="102"/>
      <c r="C52" s="137">
        <v>1</v>
      </c>
      <c r="D52" s="102">
        <f>'Price sheet'!B46</f>
        <v>450</v>
      </c>
      <c r="E52" s="102"/>
      <c r="F52" s="135">
        <f>D52*C52</f>
        <v>450</v>
      </c>
      <c r="G52" s="135">
        <f t="shared" si="1"/>
        <v>4500</v>
      </c>
    </row>
    <row r="53" spans="1:8" x14ac:dyDescent="0.25">
      <c r="A53" s="132" t="s">
        <v>22</v>
      </c>
      <c r="B53" s="103"/>
      <c r="C53" s="137">
        <v>0</v>
      </c>
      <c r="D53" s="102">
        <f>'Price sheet'!B47</f>
        <v>0</v>
      </c>
      <c r="E53" s="102"/>
      <c r="F53" s="135">
        <f t="shared" ref="F53:F54" si="8">D53*C53</f>
        <v>0</v>
      </c>
      <c r="G53" s="134">
        <f>F53*$B$6</f>
        <v>0</v>
      </c>
    </row>
    <row r="54" spans="1:8" s="45" customFormat="1" x14ac:dyDescent="0.25">
      <c r="A54" s="132" t="s">
        <v>85</v>
      </c>
      <c r="B54" s="103"/>
      <c r="C54" s="137">
        <v>1</v>
      </c>
      <c r="D54" s="102">
        <f>'Price sheet'!B48</f>
        <v>900</v>
      </c>
      <c r="E54" s="102"/>
      <c r="F54" s="135">
        <f t="shared" si="8"/>
        <v>900</v>
      </c>
      <c r="G54" s="135">
        <f>F54*$B$6</f>
        <v>9000</v>
      </c>
    </row>
    <row r="55" spans="1:8" s="101" customFormat="1" x14ac:dyDescent="0.25">
      <c r="A55" s="132" t="s">
        <v>109</v>
      </c>
      <c r="B55" s="103"/>
      <c r="C55" s="137">
        <v>1</v>
      </c>
      <c r="D55" s="146">
        <f>'Price sheet'!B49</f>
        <v>0.11</v>
      </c>
      <c r="E55" s="102"/>
      <c r="F55" s="135">
        <f>C55*(D55*(F21+F23+F30+F45+F46+F48+F49+F50+F51+F52+F53+F54)*6/12)</f>
        <v>352.49500000000006</v>
      </c>
      <c r="G55" s="135">
        <f>F55*$B$6</f>
        <v>3524.9500000000007</v>
      </c>
    </row>
    <row r="56" spans="1:8" ht="15.75" thickBot="1" x14ac:dyDescent="0.3">
      <c r="A56" s="66" t="s">
        <v>23</v>
      </c>
      <c r="B56" s="65"/>
      <c r="C56" s="65"/>
      <c r="D56" s="65"/>
      <c r="E56" s="65"/>
      <c r="F56" s="131">
        <f>F21+F23+F30+F32+SUM(F45:F55)</f>
        <v>7467.7137955199996</v>
      </c>
      <c r="G56" s="131">
        <f>G21+G23+G30+G32+SUM(G45:G55)</f>
        <v>74677.1379552</v>
      </c>
    </row>
    <row r="57" spans="1:8" x14ac:dyDescent="0.25">
      <c r="A57" s="1"/>
      <c r="B57" s="1"/>
      <c r="C57" s="1"/>
      <c r="D57" s="1"/>
      <c r="E57" s="1"/>
      <c r="F57" s="2"/>
      <c r="G57" s="2"/>
      <c r="H57" s="1"/>
    </row>
    <row r="58" spans="1:8" x14ac:dyDescent="0.25">
      <c r="A58" s="18" t="s">
        <v>24</v>
      </c>
      <c r="B58" s="1"/>
      <c r="C58" s="1"/>
      <c r="D58" s="19"/>
      <c r="E58" s="1"/>
      <c r="F58" s="1"/>
      <c r="G58" s="1"/>
      <c r="H58" s="1"/>
    </row>
    <row r="59" spans="1:8" x14ac:dyDescent="0.25">
      <c r="A59" s="20" t="s">
        <v>25</v>
      </c>
      <c r="B59" s="21">
        <f>C17-G56</f>
        <v>-6357.1379551999999</v>
      </c>
      <c r="C59" s="1"/>
      <c r="D59" s="1"/>
      <c r="E59" s="1"/>
      <c r="F59" s="1"/>
      <c r="G59" s="1"/>
      <c r="H59" s="1"/>
    </row>
    <row r="60" spans="1:8" x14ac:dyDescent="0.25">
      <c r="A60" s="22" t="s">
        <v>26</v>
      </c>
      <c r="B60" s="23">
        <f>C15-F56</f>
        <v>-635.71379551999962</v>
      </c>
      <c r="C60" s="1"/>
      <c r="D60" s="1"/>
      <c r="E60" s="1"/>
      <c r="F60" s="1"/>
      <c r="G60" s="1"/>
      <c r="H60" s="1"/>
    </row>
    <row r="61" spans="1:8" x14ac:dyDescent="0.25">
      <c r="A61" s="22" t="s">
        <v>27</v>
      </c>
      <c r="B61" s="23">
        <f>B60/C9</f>
        <v>-227.04064125714274</v>
      </c>
      <c r="C61" s="1"/>
      <c r="D61" s="1"/>
      <c r="E61" s="1"/>
      <c r="F61" s="1"/>
      <c r="G61" s="1"/>
      <c r="H61" s="1"/>
    </row>
    <row r="62" spans="1:8" s="101" customFormat="1" x14ac:dyDescent="0.25">
      <c r="A62" s="24" t="s">
        <v>103</v>
      </c>
      <c r="B62" s="136">
        <f>F56/C13</f>
        <v>3.060538440786885</v>
      </c>
      <c r="C62" s="46"/>
      <c r="D62" s="46"/>
      <c r="E62" s="46"/>
      <c r="F62" s="46"/>
      <c r="G62" s="46"/>
      <c r="H62" s="46"/>
    </row>
    <row r="63" spans="1:8" x14ac:dyDescent="0.25">
      <c r="A63" s="1"/>
      <c r="B63" s="1"/>
      <c r="C63" s="1"/>
      <c r="D63" s="1"/>
      <c r="E63" s="1"/>
      <c r="F63" s="1"/>
      <c r="G63" s="1"/>
      <c r="H63" s="1"/>
    </row>
    <row r="64" spans="1:8" x14ac:dyDescent="0.25">
      <c r="A64" s="15" t="s">
        <v>28</v>
      </c>
      <c r="B64" s="245" t="s">
        <v>47</v>
      </c>
      <c r="C64" s="246"/>
      <c r="D64" s="246"/>
      <c r="E64" s="246"/>
      <c r="F64" s="246"/>
      <c r="G64" s="247"/>
    </row>
    <row r="65" spans="1:7" x14ac:dyDescent="0.25">
      <c r="A65" s="25" t="s">
        <v>29</v>
      </c>
      <c r="B65" s="44">
        <f>C65-100</f>
        <v>2140</v>
      </c>
      <c r="C65" s="44">
        <f>D65-100</f>
        <v>2240</v>
      </c>
      <c r="D65" s="44">
        <f>E65-100</f>
        <v>2340</v>
      </c>
      <c r="E65" s="44">
        <f>C13</f>
        <v>2440</v>
      </c>
      <c r="F65" s="44">
        <f>E65+100</f>
        <v>2540</v>
      </c>
      <c r="G65" s="44">
        <f>F65+100</f>
        <v>2640</v>
      </c>
    </row>
    <row r="66" spans="1:7" x14ac:dyDescent="0.25">
      <c r="A66" s="67">
        <f>A67-0.2</f>
        <v>2.1999999999999993</v>
      </c>
      <c r="B66" s="55">
        <f t="shared" ref="B66:G72" si="9">B$65-($F$56/$A66)</f>
        <v>-1254.4153616000008</v>
      </c>
      <c r="C66" s="55">
        <f t="shared" si="9"/>
        <v>-1154.4153616000008</v>
      </c>
      <c r="D66" s="55">
        <f t="shared" si="9"/>
        <v>-1054.4153616000008</v>
      </c>
      <c r="E66" s="55">
        <f t="shared" si="9"/>
        <v>-954.41536160000078</v>
      </c>
      <c r="F66" s="55">
        <f t="shared" si="9"/>
        <v>-854.41536160000078</v>
      </c>
      <c r="G66" s="55">
        <f t="shared" si="9"/>
        <v>-754.41536160000078</v>
      </c>
    </row>
    <row r="67" spans="1:7" x14ac:dyDescent="0.25">
      <c r="A67" s="67">
        <f>A68-0.2</f>
        <v>2.3999999999999995</v>
      </c>
      <c r="B67" s="55">
        <f t="shared" si="9"/>
        <v>-971.54741480000075</v>
      </c>
      <c r="C67" s="55">
        <f t="shared" si="9"/>
        <v>-871.54741480000075</v>
      </c>
      <c r="D67" s="55">
        <f t="shared" si="9"/>
        <v>-771.54741480000075</v>
      </c>
      <c r="E67" s="55">
        <f t="shared" si="9"/>
        <v>-671.54741480000075</v>
      </c>
      <c r="F67" s="55">
        <f t="shared" si="9"/>
        <v>-571.54741480000075</v>
      </c>
      <c r="G67" s="55">
        <f t="shared" si="9"/>
        <v>-471.54741480000075</v>
      </c>
    </row>
    <row r="68" spans="1:7" x14ac:dyDescent="0.25">
      <c r="A68" s="67">
        <f>A69-0.2</f>
        <v>2.5999999999999996</v>
      </c>
      <c r="B68" s="55">
        <f t="shared" si="9"/>
        <v>-732.19761366153853</v>
      </c>
      <c r="C68" s="55">
        <f t="shared" si="9"/>
        <v>-632.19761366153853</v>
      </c>
      <c r="D68" s="55">
        <f t="shared" si="9"/>
        <v>-532.19761366153853</v>
      </c>
      <c r="E68" s="55">
        <f t="shared" si="9"/>
        <v>-432.19761366153853</v>
      </c>
      <c r="F68" s="55">
        <f t="shared" si="9"/>
        <v>-332.19761366153853</v>
      </c>
      <c r="G68" s="55">
        <f t="shared" si="9"/>
        <v>-232.19761366153853</v>
      </c>
    </row>
    <row r="69" spans="1:7" x14ac:dyDescent="0.25">
      <c r="A69" s="27">
        <f>C9</f>
        <v>2.8</v>
      </c>
      <c r="B69" s="55">
        <f t="shared" si="9"/>
        <v>-527.04064125714285</v>
      </c>
      <c r="C69" s="55">
        <f t="shared" si="9"/>
        <v>-427.04064125714285</v>
      </c>
      <c r="D69" s="55">
        <f t="shared" si="9"/>
        <v>-327.04064125714285</v>
      </c>
      <c r="E69" s="55">
        <f>E$65-($F$56/$A69)</f>
        <v>-227.04064125714285</v>
      </c>
      <c r="F69" s="55">
        <f t="shared" si="9"/>
        <v>-127.04064125714285</v>
      </c>
      <c r="G69" s="55">
        <f t="shared" si="9"/>
        <v>-27.040641257142852</v>
      </c>
    </row>
    <row r="70" spans="1:7" x14ac:dyDescent="0.25">
      <c r="A70" s="67">
        <f>A69+0.2</f>
        <v>3</v>
      </c>
      <c r="B70" s="55">
        <f t="shared" si="9"/>
        <v>-349.23793183999987</v>
      </c>
      <c r="C70" s="55">
        <f t="shared" si="9"/>
        <v>-249.23793183999987</v>
      </c>
      <c r="D70" s="55">
        <f t="shared" si="9"/>
        <v>-149.23793183999987</v>
      </c>
      <c r="E70" s="55">
        <f t="shared" si="9"/>
        <v>-49.237931839999874</v>
      </c>
      <c r="F70" s="55">
        <f t="shared" si="9"/>
        <v>50.762068160000126</v>
      </c>
      <c r="G70" s="55">
        <f t="shared" si="9"/>
        <v>150.76206816000013</v>
      </c>
    </row>
    <row r="71" spans="1:7" x14ac:dyDescent="0.25">
      <c r="A71" s="67">
        <f>A70+0.2</f>
        <v>3.2</v>
      </c>
      <c r="B71" s="55">
        <f t="shared" si="9"/>
        <v>-193.66056109999954</v>
      </c>
      <c r="C71" s="55">
        <f t="shared" si="9"/>
        <v>-93.660561099999541</v>
      </c>
      <c r="D71" s="55">
        <f t="shared" si="9"/>
        <v>6.3394389000004594</v>
      </c>
      <c r="E71" s="55">
        <f t="shared" si="9"/>
        <v>106.33943890000046</v>
      </c>
      <c r="F71" s="55">
        <f t="shared" si="9"/>
        <v>206.33943890000046</v>
      </c>
      <c r="G71" s="55">
        <f t="shared" si="9"/>
        <v>306.33943890000046</v>
      </c>
    </row>
    <row r="72" spans="1:7" ht="15.75" thickBot="1" x14ac:dyDescent="0.3">
      <c r="A72" s="67">
        <f>A71+0.2</f>
        <v>3.4000000000000004</v>
      </c>
      <c r="B72" s="55">
        <f t="shared" si="9"/>
        <v>-56.386410447058552</v>
      </c>
      <c r="C72" s="55">
        <f t="shared" si="9"/>
        <v>43.613589552941448</v>
      </c>
      <c r="D72" s="55">
        <f t="shared" si="9"/>
        <v>143.61358955294145</v>
      </c>
      <c r="E72" s="55">
        <f t="shared" si="9"/>
        <v>243.61358955294145</v>
      </c>
      <c r="F72" s="55">
        <f t="shared" si="9"/>
        <v>343.61358955294145</v>
      </c>
      <c r="G72" s="55">
        <f>G$65-($F$56/$A72)</f>
        <v>443.61358955294145</v>
      </c>
    </row>
    <row r="73" spans="1:7" ht="35.450000000000003" customHeight="1" thickBot="1" x14ac:dyDescent="0.3">
      <c r="A73" s="240" t="s">
        <v>65</v>
      </c>
      <c r="B73" s="241"/>
      <c r="C73" s="241"/>
      <c r="D73" s="241"/>
      <c r="E73" s="241"/>
      <c r="F73" s="241"/>
      <c r="G73" s="242"/>
    </row>
    <row r="74" spans="1:7" x14ac:dyDescent="0.25">
      <c r="A74" s="248" t="s">
        <v>105</v>
      </c>
      <c r="B74" s="249"/>
      <c r="C74" s="249"/>
      <c r="D74" s="249"/>
      <c r="E74" s="249"/>
      <c r="F74" s="249"/>
      <c r="G74" s="250"/>
    </row>
    <row r="75" spans="1:7" ht="15.75" thickBot="1" x14ac:dyDescent="0.3">
      <c r="A75" s="251"/>
      <c r="B75" s="252"/>
      <c r="C75" s="252"/>
      <c r="D75" s="252"/>
      <c r="E75" s="252"/>
      <c r="F75" s="252"/>
      <c r="G75" s="253"/>
    </row>
  </sheetData>
  <mergeCells count="4">
    <mergeCell ref="A73:G73"/>
    <mergeCell ref="A1:G1"/>
    <mergeCell ref="B64:G64"/>
    <mergeCell ref="A74:G75"/>
  </mergeCells>
  <conditionalFormatting sqref="B66:G72">
    <cfRule type="cellIs" dxfId="14" priority="1" operator="lessThan">
      <formula>0</formula>
    </cfRule>
    <cfRule type="cellIs" dxfId="13" priority="2" operator="greaterThan">
      <formula>0</formula>
    </cfRule>
    <cfRule type="cellIs" dxfId="12" priority="3" operator="lessThan">
      <formula>$G$56</formula>
    </cfRule>
  </conditionalFormatting>
  <pageMargins left="0.31496062992125984" right="0.31496062992125984" top="0.35433070866141736" bottom="0.35433070866141736"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activeCell="C51" sqref="C51"/>
    </sheetView>
  </sheetViews>
  <sheetFormatPr defaultRowHeight="15" x14ac:dyDescent="0.25"/>
  <cols>
    <col min="1" max="1" width="34.28515625" customWidth="1"/>
    <col min="2" max="7" width="15.28515625" customWidth="1"/>
    <col min="8" max="8" width="12.42578125" bestFit="1" customWidth="1"/>
  </cols>
  <sheetData>
    <row r="1" spans="1:8" s="45" customFormat="1" ht="22.9" customHeight="1" x14ac:dyDescent="0.25">
      <c r="A1" s="243" t="str">
        <f>"Production cost and profitability analysis of SUNFLOWER for the "&amp;B3</f>
        <v>Production cost and profitability analysis of SUNFLOWER for the 2019/20 production season</v>
      </c>
      <c r="B1" s="243"/>
      <c r="C1" s="243"/>
      <c r="D1" s="243"/>
      <c r="E1" s="243"/>
      <c r="F1" s="243"/>
      <c r="G1" s="243"/>
      <c r="H1" s="60"/>
    </row>
    <row r="2" spans="1:8" s="63" customFormat="1" ht="16.149999999999999" customHeight="1" x14ac:dyDescent="0.3">
      <c r="A2" s="61"/>
      <c r="B2" s="62"/>
      <c r="C2" s="62"/>
      <c r="D2" s="62"/>
      <c r="E2" s="62"/>
      <c r="F2" s="62"/>
      <c r="G2" s="62"/>
      <c r="H2" s="62"/>
    </row>
    <row r="3" spans="1:8" ht="14.45" x14ac:dyDescent="0.3">
      <c r="A3" s="64" t="s">
        <v>30</v>
      </c>
      <c r="B3" s="64" t="str">
        <f>Maize!B3</f>
        <v>2019/20 production season</v>
      </c>
      <c r="C3" s="64"/>
      <c r="D3" s="64"/>
      <c r="E3" s="1"/>
      <c r="F3" s="1"/>
      <c r="G3" s="1"/>
      <c r="H3" s="1"/>
    </row>
    <row r="4" spans="1:8" ht="14.45" x14ac:dyDescent="0.3">
      <c r="A4" s="2"/>
      <c r="B4" s="3" t="str">
        <f>PROPER(A3)</f>
        <v>Sunflower</v>
      </c>
      <c r="C4" s="1"/>
      <c r="D4" s="1"/>
      <c r="E4" s="1"/>
      <c r="F4" s="1"/>
      <c r="G4" s="1"/>
      <c r="H4" s="1"/>
    </row>
    <row r="5" spans="1:8" x14ac:dyDescent="0.25">
      <c r="A5" s="4" t="s">
        <v>1</v>
      </c>
      <c r="B5" s="4" t="str">
        <f>'[1]General info'!B25</f>
        <v>Arable land</v>
      </c>
      <c r="C5" s="5" t="s">
        <v>2</v>
      </c>
      <c r="D5" s="1"/>
      <c r="E5" s="1"/>
      <c r="F5" s="1"/>
      <c r="G5" s="1"/>
      <c r="H5" s="1"/>
    </row>
    <row r="6" spans="1:8" ht="14.45" x14ac:dyDescent="0.3">
      <c r="A6" s="4" t="str">
        <f>"Area for "&amp;B4&amp;"."</f>
        <v>Area for Sunflower.</v>
      </c>
      <c r="B6" s="57">
        <v>10</v>
      </c>
      <c r="C6" s="5" t="s">
        <v>2</v>
      </c>
      <c r="D6" s="1"/>
      <c r="E6" s="1"/>
      <c r="F6" s="1"/>
      <c r="G6" s="1"/>
      <c r="H6" s="1"/>
    </row>
    <row r="7" spans="1:8" x14ac:dyDescent="0.25">
      <c r="A7" s="1"/>
      <c r="B7" s="1"/>
      <c r="C7" s="1"/>
      <c r="D7" s="1"/>
      <c r="E7" s="1"/>
      <c r="F7" s="1"/>
      <c r="G7" s="1"/>
      <c r="H7" s="1"/>
    </row>
    <row r="8" spans="1:8" ht="28.9" x14ac:dyDescent="0.3">
      <c r="A8" s="6" t="str">
        <f>"TOTAL INCOME FOR "&amp;A3</f>
        <v>TOTAL INCOME FOR SUNFLOWER</v>
      </c>
      <c r="B8" s="7" t="s">
        <v>3</v>
      </c>
      <c r="C8" s="7" t="s">
        <v>4</v>
      </c>
      <c r="D8" s="7" t="s">
        <v>5</v>
      </c>
      <c r="E8" s="1"/>
      <c r="F8" s="8"/>
      <c r="G8" s="8"/>
      <c r="H8" s="8"/>
    </row>
    <row r="9" spans="1:8" ht="14.45" x14ac:dyDescent="0.3">
      <c r="A9" s="49" t="s">
        <v>44</v>
      </c>
      <c r="B9" s="50">
        <v>0.5</v>
      </c>
      <c r="C9" s="58">
        <v>1.2</v>
      </c>
      <c r="D9" s="50">
        <v>1.8</v>
      </c>
      <c r="E9" s="1"/>
      <c r="F9" s="8"/>
      <c r="G9" s="8"/>
      <c r="H9" s="8"/>
    </row>
    <row r="10" spans="1:8" ht="14.45" x14ac:dyDescent="0.3">
      <c r="A10" s="49"/>
      <c r="B10" s="50"/>
      <c r="C10" s="50"/>
      <c r="D10" s="50"/>
      <c r="E10" s="1"/>
      <c r="F10" s="1"/>
      <c r="G10" s="8"/>
      <c r="H10" s="8"/>
    </row>
    <row r="11" spans="1:8" ht="14.45" x14ac:dyDescent="0.3">
      <c r="A11" s="48" t="s">
        <v>45</v>
      </c>
      <c r="B11" s="56">
        <f>C11</f>
        <v>5120</v>
      </c>
      <c r="C11" s="56">
        <f>'Price sheet'!C3</f>
        <v>5120</v>
      </c>
      <c r="D11" s="56">
        <f>C11</f>
        <v>5120</v>
      </c>
      <c r="E11" s="1"/>
      <c r="F11" s="1"/>
      <c r="G11" s="8"/>
      <c r="H11" s="8"/>
    </row>
    <row r="12" spans="1:8" ht="14.45" x14ac:dyDescent="0.3">
      <c r="A12" s="48" t="s">
        <v>46</v>
      </c>
      <c r="B12" s="56">
        <f>C12</f>
        <v>295</v>
      </c>
      <c r="C12" s="56">
        <f>'Price sheet'!C4</f>
        <v>295</v>
      </c>
      <c r="D12" s="56">
        <f>C12</f>
        <v>295</v>
      </c>
      <c r="E12" s="1"/>
      <c r="F12" s="1"/>
      <c r="G12" s="8"/>
      <c r="H12" s="8"/>
    </row>
    <row r="13" spans="1:8" ht="14.45" x14ac:dyDescent="0.3">
      <c r="A13" s="48" t="s">
        <v>47</v>
      </c>
      <c r="B13" s="56">
        <f>B11-B12</f>
        <v>4825</v>
      </c>
      <c r="C13" s="56">
        <f t="shared" ref="C13:D13" si="0">C11-C12</f>
        <v>4825</v>
      </c>
      <c r="D13" s="56">
        <f t="shared" si="0"/>
        <v>4825</v>
      </c>
      <c r="E13" s="1"/>
      <c r="F13" s="1"/>
      <c r="G13" s="11"/>
      <c r="H13" s="11"/>
    </row>
    <row r="14" spans="1:8" s="45" customFormat="1" ht="14.45" x14ac:dyDescent="0.3">
      <c r="A14" s="48"/>
      <c r="B14" s="51"/>
      <c r="C14" s="51"/>
      <c r="D14" s="51"/>
      <c r="E14" s="46"/>
      <c r="F14" s="46"/>
      <c r="G14" s="54"/>
      <c r="H14" s="54"/>
    </row>
    <row r="15" spans="1:8" s="45" customFormat="1" ht="14.45" x14ac:dyDescent="0.3">
      <c r="A15" s="59" t="s">
        <v>6</v>
      </c>
      <c r="B15" s="29">
        <f>B9*B13</f>
        <v>2412.5</v>
      </c>
      <c r="C15" s="29">
        <f t="shared" ref="C15" si="1">C9*C13</f>
        <v>5790</v>
      </c>
      <c r="D15" s="29">
        <f>D9*D13</f>
        <v>8685</v>
      </c>
      <c r="E15" s="46"/>
      <c r="F15" s="46"/>
      <c r="G15" s="54"/>
      <c r="H15" s="54"/>
    </row>
    <row r="16" spans="1:8" s="45" customFormat="1" ht="14.45" x14ac:dyDescent="0.3">
      <c r="A16" s="48" t="str">
        <f>"Yield from "&amp;B4</f>
        <v>Yield from Sunflower</v>
      </c>
      <c r="B16" s="52">
        <f>B6</f>
        <v>10</v>
      </c>
      <c r="C16" s="52">
        <f>B6</f>
        <v>10</v>
      </c>
      <c r="D16" s="52">
        <f>B6</f>
        <v>10</v>
      </c>
      <c r="E16" s="46"/>
      <c r="F16" s="46"/>
      <c r="G16" s="54"/>
      <c r="H16" s="54"/>
    </row>
    <row r="17" spans="1:8" s="45" customFormat="1" thickBot="1" x14ac:dyDescent="0.35">
      <c r="A17" s="47" t="str">
        <f>"Actual Income for "&amp;B4&amp;" per year"</f>
        <v>Actual Income for Sunflower per year</v>
      </c>
      <c r="B17" s="53">
        <f>B16*B15</f>
        <v>24125</v>
      </c>
      <c r="C17" s="53">
        <f>C16*C15</f>
        <v>57900</v>
      </c>
      <c r="D17" s="53">
        <f>D16*D15</f>
        <v>86850</v>
      </c>
      <c r="E17" s="46"/>
      <c r="F17" s="46"/>
      <c r="G17" s="54"/>
      <c r="H17" s="54"/>
    </row>
    <row r="18" spans="1:8" ht="14.45" x14ac:dyDescent="0.3">
      <c r="A18" s="1"/>
      <c r="B18" s="8"/>
      <c r="C18" s="8"/>
      <c r="D18" s="8"/>
      <c r="E18" s="1"/>
      <c r="F18" s="8"/>
      <c r="G18" s="1"/>
      <c r="H18" s="1"/>
    </row>
    <row r="19" spans="1:8" ht="14.45" x14ac:dyDescent="0.3">
      <c r="A19" s="12" t="s">
        <v>7</v>
      </c>
      <c r="B19" s="13"/>
      <c r="C19" s="13"/>
      <c r="D19" s="13"/>
      <c r="E19" s="13"/>
      <c r="F19" s="13"/>
      <c r="G19" s="14"/>
      <c r="H19" s="14"/>
    </row>
    <row r="20" spans="1:8" ht="28.9" x14ac:dyDescent="0.3">
      <c r="A20" s="15" t="s">
        <v>8</v>
      </c>
      <c r="B20" s="16" t="s">
        <v>61</v>
      </c>
      <c r="C20" s="16" t="s">
        <v>62</v>
      </c>
      <c r="D20" s="16" t="s">
        <v>48</v>
      </c>
      <c r="E20" s="16" t="s">
        <v>63</v>
      </c>
      <c r="F20" s="16" t="s">
        <v>9</v>
      </c>
      <c r="G20" s="16" t="str">
        <f>"Total for "&amp;B4</f>
        <v>Total for Sunflower</v>
      </c>
    </row>
    <row r="21" spans="1:8" x14ac:dyDescent="0.25">
      <c r="A21" s="132" t="s">
        <v>10</v>
      </c>
      <c r="B21" s="103" t="s">
        <v>53</v>
      </c>
      <c r="C21" s="104"/>
      <c r="D21" s="121">
        <f>'Price sheet'!C8</f>
        <v>1.32E-2</v>
      </c>
      <c r="E21" s="106">
        <v>35000</v>
      </c>
      <c r="F21" s="133">
        <f>D21*E21</f>
        <v>462</v>
      </c>
      <c r="G21" s="134">
        <f>F21*$B$6</f>
        <v>4620</v>
      </c>
    </row>
    <row r="22" spans="1:8" s="101" customFormat="1" x14ac:dyDescent="0.25">
      <c r="A22" s="102"/>
      <c r="B22" s="103"/>
      <c r="C22" s="104"/>
      <c r="D22" s="121"/>
      <c r="E22" s="106"/>
      <c r="F22" s="107"/>
      <c r="G22" s="108"/>
    </row>
    <row r="23" spans="1:8" s="101" customFormat="1" x14ac:dyDescent="0.25">
      <c r="A23" s="132" t="s">
        <v>68</v>
      </c>
      <c r="B23" s="103"/>
      <c r="C23" s="104"/>
      <c r="D23" s="121"/>
      <c r="E23" s="106"/>
      <c r="F23" s="133">
        <f>SUM(F24:F28)</f>
        <v>1026.8</v>
      </c>
      <c r="G23" s="134">
        <f>F23*$B$6</f>
        <v>10268</v>
      </c>
    </row>
    <row r="24" spans="1:8" x14ac:dyDescent="0.25">
      <c r="A24" s="114" t="s">
        <v>102</v>
      </c>
      <c r="B24" s="103" t="s">
        <v>11</v>
      </c>
      <c r="C24" s="137">
        <v>0</v>
      </c>
      <c r="D24" s="109">
        <f>'Price sheet'!B16/20</f>
        <v>433</v>
      </c>
      <c r="E24" s="110">
        <v>0</v>
      </c>
      <c r="F24" s="107">
        <f>C24*D24*E24</f>
        <v>0</v>
      </c>
      <c r="G24" s="108">
        <f t="shared" ref="G24:G47" si="2">F24*$B$6</f>
        <v>0</v>
      </c>
    </row>
    <row r="25" spans="1:8" x14ac:dyDescent="0.25">
      <c r="A25" s="111" t="s">
        <v>12</v>
      </c>
      <c r="B25" s="103" t="s">
        <v>11</v>
      </c>
      <c r="C25" s="137">
        <v>1</v>
      </c>
      <c r="D25" s="112">
        <f>'Price sheet'!B18</f>
        <v>16.899999999999999</v>
      </c>
      <c r="E25" s="106">
        <v>40</v>
      </c>
      <c r="F25" s="107">
        <f t="shared" ref="F25:F28" si="3">C25*D25*E25</f>
        <v>676</v>
      </c>
      <c r="G25" s="108">
        <f t="shared" si="2"/>
        <v>6760</v>
      </c>
    </row>
    <row r="26" spans="1:8" x14ac:dyDescent="0.25">
      <c r="A26" s="111" t="s">
        <v>13</v>
      </c>
      <c r="B26" s="103" t="s">
        <v>11</v>
      </c>
      <c r="C26" s="137">
        <v>1</v>
      </c>
      <c r="D26" s="112">
        <f>'Price sheet'!B19</f>
        <v>36.5</v>
      </c>
      <c r="E26" s="106">
        <v>8</v>
      </c>
      <c r="F26" s="107">
        <f t="shared" si="3"/>
        <v>292</v>
      </c>
      <c r="G26" s="108">
        <f t="shared" si="2"/>
        <v>2920</v>
      </c>
    </row>
    <row r="27" spans="1:8" x14ac:dyDescent="0.25">
      <c r="A27" s="111" t="s">
        <v>14</v>
      </c>
      <c r="B27" s="103" t="s">
        <v>11</v>
      </c>
      <c r="C27" s="137">
        <v>1</v>
      </c>
      <c r="D27" s="112">
        <f>'Price sheet'!B20</f>
        <v>14.7</v>
      </c>
      <c r="E27" s="106">
        <v>4</v>
      </c>
      <c r="F27" s="107">
        <f t="shared" si="3"/>
        <v>58.8</v>
      </c>
      <c r="G27" s="108">
        <f t="shared" si="2"/>
        <v>588</v>
      </c>
    </row>
    <row r="28" spans="1:8" x14ac:dyDescent="0.25">
      <c r="A28" s="114" t="s">
        <v>104</v>
      </c>
      <c r="B28" s="103" t="s">
        <v>11</v>
      </c>
      <c r="C28" s="137">
        <v>0</v>
      </c>
      <c r="D28" s="109">
        <f>'Price sheet'!B17/20</f>
        <v>290.5</v>
      </c>
      <c r="E28" s="110"/>
      <c r="F28" s="107">
        <f t="shared" si="3"/>
        <v>0</v>
      </c>
      <c r="G28" s="108">
        <f>F28*$B$6</f>
        <v>0</v>
      </c>
    </row>
    <row r="29" spans="1:8" s="101" customFormat="1" x14ac:dyDescent="0.25">
      <c r="A29" s="102"/>
      <c r="B29" s="103"/>
      <c r="C29" s="104"/>
      <c r="D29" s="109"/>
      <c r="E29" s="110"/>
      <c r="F29" s="107"/>
      <c r="G29" s="108"/>
    </row>
    <row r="30" spans="1:8" x14ac:dyDescent="0.25">
      <c r="A30" s="132" t="s">
        <v>55</v>
      </c>
      <c r="B30" s="147" t="s">
        <v>107</v>
      </c>
      <c r="C30" s="137">
        <v>1</v>
      </c>
      <c r="D30" s="107">
        <f>'Price sheet'!B21</f>
        <v>500</v>
      </c>
      <c r="E30" s="113">
        <v>1</v>
      </c>
      <c r="F30" s="133">
        <f>C30*D30*E30</f>
        <v>500</v>
      </c>
      <c r="G30" s="134">
        <f t="shared" si="2"/>
        <v>5000</v>
      </c>
    </row>
    <row r="31" spans="1:8" s="101" customFormat="1" x14ac:dyDescent="0.25">
      <c r="A31" s="102"/>
      <c r="B31" s="103"/>
      <c r="C31" s="104"/>
      <c r="D31" s="107"/>
      <c r="E31" s="113"/>
      <c r="F31" s="107"/>
      <c r="G31" s="108"/>
    </row>
    <row r="32" spans="1:8" x14ac:dyDescent="0.25">
      <c r="A32" s="132" t="s">
        <v>52</v>
      </c>
      <c r="B32" s="103"/>
      <c r="C32" s="144"/>
      <c r="D32" s="112"/>
      <c r="E32" s="120"/>
      <c r="F32" s="134">
        <f>SUM(F33:F38)</f>
        <v>274.66983936000003</v>
      </c>
      <c r="G32" s="134">
        <f>F32*$B$6</f>
        <v>2746.6983936000001</v>
      </c>
    </row>
    <row r="33" spans="1:8" x14ac:dyDescent="0.25">
      <c r="A33" s="114" t="s">
        <v>94</v>
      </c>
      <c r="B33" s="103" t="s">
        <v>15</v>
      </c>
      <c r="C33" s="143">
        <v>1</v>
      </c>
      <c r="D33" s="115">
        <f>'Price sheet'!B31</f>
        <v>225.68000000000004</v>
      </c>
      <c r="E33" s="102">
        <v>1</v>
      </c>
      <c r="F33" s="107">
        <f t="shared" ref="F33" si="4">C33*D33*E33</f>
        <v>225.68000000000004</v>
      </c>
      <c r="G33" s="108">
        <f>F33*$B$6</f>
        <v>2256.8000000000002</v>
      </c>
    </row>
    <row r="34" spans="1:8" x14ac:dyDescent="0.25">
      <c r="A34" s="102" t="s">
        <v>58</v>
      </c>
      <c r="B34" s="103" t="s">
        <v>15</v>
      </c>
      <c r="C34" s="143">
        <v>1</v>
      </c>
      <c r="D34" s="115">
        <f>'Price sheet'!B26</f>
        <v>677.17529600000023</v>
      </c>
      <c r="E34" s="116">
        <v>3.5000000000000003E-2</v>
      </c>
      <c r="F34" s="107">
        <f t="shared" ref="F34" si="5">C34*D34*E34</f>
        <v>23.701135360000009</v>
      </c>
      <c r="G34" s="108">
        <f>F34*$B$6</f>
        <v>237.01135360000009</v>
      </c>
    </row>
    <row r="35" spans="1:8" x14ac:dyDescent="0.25">
      <c r="A35" s="114" t="s">
        <v>95</v>
      </c>
      <c r="B35" s="103" t="s">
        <v>15</v>
      </c>
      <c r="C35" s="137">
        <v>1</v>
      </c>
      <c r="D35" s="112">
        <f>'Price sheet'!B32</f>
        <v>168.59136000000004</v>
      </c>
      <c r="E35" s="120">
        <v>0.15</v>
      </c>
      <c r="F35" s="108">
        <f t="shared" ref="F35:F38" si="6">IFERROR(E35*(D35/C35),0)</f>
        <v>25.288704000000006</v>
      </c>
      <c r="G35" s="108">
        <f t="shared" si="2"/>
        <v>252.88704000000007</v>
      </c>
    </row>
    <row r="36" spans="1:8" x14ac:dyDescent="0.25">
      <c r="A36" s="114" t="s">
        <v>96</v>
      </c>
      <c r="B36" s="103" t="s">
        <v>15</v>
      </c>
      <c r="C36" s="137">
        <v>1</v>
      </c>
      <c r="D36" s="112"/>
      <c r="E36" s="120"/>
      <c r="F36" s="108">
        <f t="shared" si="6"/>
        <v>0</v>
      </c>
      <c r="G36" s="108">
        <f t="shared" si="2"/>
        <v>0</v>
      </c>
    </row>
    <row r="37" spans="1:8" x14ac:dyDescent="0.25">
      <c r="A37" s="114" t="s">
        <v>96</v>
      </c>
      <c r="B37" s="103" t="s">
        <v>15</v>
      </c>
      <c r="C37" s="137">
        <v>1</v>
      </c>
      <c r="D37" s="112"/>
      <c r="E37" s="120"/>
      <c r="F37" s="108">
        <f t="shared" si="6"/>
        <v>0</v>
      </c>
      <c r="G37" s="108">
        <f t="shared" si="2"/>
        <v>0</v>
      </c>
    </row>
    <row r="38" spans="1:8" s="45" customFormat="1" x14ac:dyDescent="0.25">
      <c r="A38" s="114" t="s">
        <v>96</v>
      </c>
      <c r="B38" s="103" t="s">
        <v>15</v>
      </c>
      <c r="C38" s="144"/>
      <c r="D38" s="112">
        <v>0</v>
      </c>
      <c r="E38" s="120">
        <v>0</v>
      </c>
      <c r="F38" s="108">
        <f t="shared" si="6"/>
        <v>0</v>
      </c>
      <c r="G38" s="108">
        <f t="shared" si="2"/>
        <v>0</v>
      </c>
    </row>
    <row r="39" spans="1:8" s="101" customFormat="1" x14ac:dyDescent="0.25">
      <c r="A39" s="114"/>
      <c r="B39" s="103"/>
      <c r="C39" s="144"/>
      <c r="D39" s="112"/>
      <c r="E39" s="120"/>
      <c r="F39" s="108"/>
      <c r="G39" s="108"/>
    </row>
    <row r="40" spans="1:8" x14ac:dyDescent="0.25">
      <c r="A40" s="132" t="s">
        <v>16</v>
      </c>
      <c r="B40" s="103" t="s">
        <v>15</v>
      </c>
      <c r="C40" s="143"/>
      <c r="D40" s="112">
        <f>'Price sheet'!B44</f>
        <v>14.6</v>
      </c>
      <c r="E40" s="106">
        <v>75</v>
      </c>
      <c r="F40" s="133">
        <f>D40*E40</f>
        <v>1095</v>
      </c>
      <c r="G40" s="134">
        <f t="shared" si="2"/>
        <v>10950</v>
      </c>
    </row>
    <row r="41" spans="1:8" x14ac:dyDescent="0.25">
      <c r="A41" s="132" t="s">
        <v>74</v>
      </c>
      <c r="B41" s="102"/>
      <c r="C41" s="143">
        <v>0</v>
      </c>
      <c r="D41" s="102"/>
      <c r="E41" s="118">
        <f>'Price sheet'!C10</f>
        <v>2.8000000000000001E-2</v>
      </c>
      <c r="F41" s="134">
        <f>IFERROR((C41*E41*C15),0)</f>
        <v>0</v>
      </c>
      <c r="G41" s="134">
        <f t="shared" si="2"/>
        <v>0</v>
      </c>
    </row>
    <row r="42" spans="1:8" s="222" customFormat="1" x14ac:dyDescent="0.25">
      <c r="A42" s="226" t="s">
        <v>141</v>
      </c>
      <c r="B42" s="229"/>
      <c r="C42" s="224"/>
      <c r="D42" s="229"/>
      <c r="E42" s="230"/>
      <c r="F42" s="227"/>
      <c r="G42" s="227"/>
    </row>
    <row r="43" spans="1:8" x14ac:dyDescent="0.25">
      <c r="A43" s="226" t="s">
        <v>106</v>
      </c>
      <c r="B43" s="102"/>
      <c r="C43" s="143">
        <v>1</v>
      </c>
      <c r="D43" s="102">
        <f>'Price sheet'!C11</f>
        <v>300</v>
      </c>
      <c r="E43" s="102"/>
      <c r="F43" s="135">
        <f>D43*C43</f>
        <v>300</v>
      </c>
      <c r="G43" s="135">
        <f t="shared" si="2"/>
        <v>3000</v>
      </c>
    </row>
    <row r="44" spans="1:8" x14ac:dyDescent="0.25">
      <c r="A44" s="132" t="s">
        <v>73</v>
      </c>
      <c r="B44" s="103" t="s">
        <v>18</v>
      </c>
      <c r="C44" s="143">
        <v>1</v>
      </c>
      <c r="D44" s="112">
        <f>'Price sheet'!C9</f>
        <v>385.00000000000006</v>
      </c>
      <c r="E44" s="102"/>
      <c r="F44" s="135">
        <f>D44*C44</f>
        <v>385.00000000000006</v>
      </c>
      <c r="G44" s="134">
        <f t="shared" si="2"/>
        <v>3850.0000000000005</v>
      </c>
    </row>
    <row r="45" spans="1:8" x14ac:dyDescent="0.25">
      <c r="A45" s="132" t="s">
        <v>64</v>
      </c>
      <c r="B45" s="103" t="s">
        <v>18</v>
      </c>
      <c r="C45" s="143">
        <v>1</v>
      </c>
      <c r="D45" s="112">
        <f>'Price sheet'!C12</f>
        <v>250</v>
      </c>
      <c r="E45" s="102">
        <f>IF($C$13=0,0,(F21+F23+F30+F32+F40+F41+F43+F44+F46+F47+F48+F49)/$C$13)</f>
        <v>1.155123282768912</v>
      </c>
      <c r="F45" s="135">
        <f>C45*D45*E45</f>
        <v>288.78082069222796</v>
      </c>
      <c r="G45" s="134">
        <f t="shared" si="2"/>
        <v>2887.8082069222796</v>
      </c>
    </row>
    <row r="46" spans="1:8" x14ac:dyDescent="0.25">
      <c r="A46" s="132" t="s">
        <v>19</v>
      </c>
      <c r="B46" s="103" t="s">
        <v>20</v>
      </c>
      <c r="C46" s="137">
        <v>1</v>
      </c>
      <c r="D46" s="119">
        <f>'Price sheet'!C13</f>
        <v>75</v>
      </c>
      <c r="E46" s="224">
        <v>40</v>
      </c>
      <c r="F46" s="135">
        <f>D46*C46*E46*(C9/20)</f>
        <v>180</v>
      </c>
      <c r="G46" s="134">
        <f t="shared" si="2"/>
        <v>1800</v>
      </c>
      <c r="H46" s="101"/>
    </row>
    <row r="47" spans="1:8" x14ac:dyDescent="0.25">
      <c r="A47" s="132" t="s">
        <v>21</v>
      </c>
      <c r="B47" s="102"/>
      <c r="C47" s="137">
        <v>1</v>
      </c>
      <c r="D47" s="102">
        <f>'Price sheet'!B46</f>
        <v>450</v>
      </c>
      <c r="E47" s="102"/>
      <c r="F47" s="135">
        <f>D47*C47</f>
        <v>450</v>
      </c>
      <c r="G47" s="135">
        <f t="shared" si="2"/>
        <v>4500</v>
      </c>
    </row>
    <row r="48" spans="1:8" x14ac:dyDescent="0.25">
      <c r="A48" s="132" t="s">
        <v>22</v>
      </c>
      <c r="B48" s="103"/>
      <c r="C48" s="137">
        <v>0</v>
      </c>
      <c r="D48" s="102">
        <f>'Price sheet'!B47</f>
        <v>0</v>
      </c>
      <c r="E48" s="102"/>
      <c r="F48" s="135">
        <f>D48*C48</f>
        <v>0</v>
      </c>
      <c r="G48" s="134">
        <f>F48*$B$6</f>
        <v>0</v>
      </c>
    </row>
    <row r="49" spans="1:8" s="45" customFormat="1" x14ac:dyDescent="0.25">
      <c r="A49" s="132" t="s">
        <v>85</v>
      </c>
      <c r="B49" s="103"/>
      <c r="C49" s="137">
        <v>1</v>
      </c>
      <c r="D49" s="102">
        <f>'Price sheet'!B48</f>
        <v>900</v>
      </c>
      <c r="E49" s="102"/>
      <c r="F49" s="135">
        <f>D49*C49</f>
        <v>900</v>
      </c>
      <c r="G49" s="135">
        <f>F49*$B$6</f>
        <v>9000</v>
      </c>
    </row>
    <row r="50" spans="1:8" s="101" customFormat="1" x14ac:dyDescent="0.25">
      <c r="A50" s="132" t="s">
        <v>109</v>
      </c>
      <c r="B50" s="103"/>
      <c r="C50" s="137">
        <v>1</v>
      </c>
      <c r="D50" s="146">
        <f>'Price sheet'!B49</f>
        <v>0.11</v>
      </c>
      <c r="E50" s="102"/>
      <c r="F50" s="135">
        <f>C50*(D50*(F21+F23+F30+F32+F40+F41+F43+F44+F45+F46+F47+F48+F49)*6/12)</f>
        <v>322.42378630287254</v>
      </c>
      <c r="G50" s="135">
        <f>F50*$B$6</f>
        <v>3224.2378630287253</v>
      </c>
    </row>
    <row r="51" spans="1:8" ht="15.75" thickBot="1" x14ac:dyDescent="0.3">
      <c r="A51" s="17" t="s">
        <v>23</v>
      </c>
      <c r="B51" s="1"/>
      <c r="C51" s="1"/>
      <c r="D51" s="1"/>
      <c r="E51" s="1"/>
      <c r="F51" s="131">
        <f>F21+F23+F30+F32+SUM(F40:F50)</f>
        <v>6184.6744463551004</v>
      </c>
      <c r="G51" s="131">
        <f>G21+G23+G30+G32+SUM(G40:G50)</f>
        <v>61846.744463551004</v>
      </c>
    </row>
    <row r="52" spans="1:8" x14ac:dyDescent="0.25">
      <c r="A52" s="1"/>
      <c r="B52" s="1"/>
      <c r="C52" s="1"/>
      <c r="D52" s="1"/>
      <c r="E52" s="1"/>
      <c r="F52" s="2"/>
      <c r="G52" s="2"/>
      <c r="H52" s="1"/>
    </row>
    <row r="53" spans="1:8" x14ac:dyDescent="0.25">
      <c r="A53" s="18" t="s">
        <v>24</v>
      </c>
      <c r="B53" s="1"/>
      <c r="C53" s="1"/>
      <c r="D53" s="1"/>
      <c r="E53" s="1"/>
      <c r="F53" s="1"/>
      <c r="G53" s="1"/>
      <c r="H53" s="1"/>
    </row>
    <row r="54" spans="1:8" x14ac:dyDescent="0.25">
      <c r="A54" s="20" t="s">
        <v>25</v>
      </c>
      <c r="B54" s="21">
        <f>C17-G51</f>
        <v>-3946.7444635510037</v>
      </c>
      <c r="C54" s="1"/>
      <c r="D54" s="1"/>
      <c r="E54" s="1"/>
      <c r="F54" s="1"/>
      <c r="G54" s="1"/>
      <c r="H54" s="1"/>
    </row>
    <row r="55" spans="1:8" x14ac:dyDescent="0.25">
      <c r="A55" s="22" t="s">
        <v>26</v>
      </c>
      <c r="B55" s="23">
        <f>C15-F51</f>
        <v>-394.67444635510037</v>
      </c>
      <c r="C55" s="1"/>
      <c r="D55" s="1"/>
      <c r="E55" s="1"/>
      <c r="F55" s="1"/>
      <c r="G55" s="1"/>
      <c r="H55" s="1"/>
    </row>
    <row r="56" spans="1:8" x14ac:dyDescent="0.25">
      <c r="A56" s="22" t="s">
        <v>27</v>
      </c>
      <c r="B56" s="23">
        <f>B55/C9</f>
        <v>-328.89537196258368</v>
      </c>
      <c r="C56" s="1"/>
      <c r="D56" s="1"/>
      <c r="E56" s="1"/>
      <c r="F56" s="1"/>
      <c r="G56" s="1"/>
      <c r="H56" s="1"/>
    </row>
    <row r="57" spans="1:8" s="101" customFormat="1" x14ac:dyDescent="0.25">
      <c r="A57" s="24" t="s">
        <v>103</v>
      </c>
      <c r="B57" s="136">
        <f>F51/C13</f>
        <v>1.281797812716083</v>
      </c>
      <c r="C57" s="46"/>
      <c r="D57" s="46"/>
      <c r="E57" s="46"/>
      <c r="F57" s="46"/>
      <c r="G57" s="46"/>
      <c r="H57" s="46"/>
    </row>
    <row r="58" spans="1:8" x14ac:dyDescent="0.25">
      <c r="A58" s="1"/>
      <c r="B58" s="1"/>
      <c r="C58" s="1"/>
      <c r="D58" s="1"/>
      <c r="E58" s="1"/>
      <c r="F58" s="1"/>
      <c r="G58" s="1"/>
      <c r="H58" s="1"/>
    </row>
    <row r="59" spans="1:8" x14ac:dyDescent="0.25">
      <c r="A59" s="15" t="s">
        <v>28</v>
      </c>
      <c r="B59" s="245" t="s">
        <v>47</v>
      </c>
      <c r="C59" s="246"/>
      <c r="D59" s="246"/>
      <c r="E59" s="246"/>
      <c r="F59" s="246"/>
      <c r="G59" s="247"/>
    </row>
    <row r="60" spans="1:8" x14ac:dyDescent="0.25">
      <c r="A60" s="25" t="s">
        <v>29</v>
      </c>
      <c r="B60" s="26">
        <f>C60-100</f>
        <v>4525</v>
      </c>
      <c r="C60" s="26">
        <f>D60-100</f>
        <v>4625</v>
      </c>
      <c r="D60" s="26">
        <f>E60-100</f>
        <v>4725</v>
      </c>
      <c r="E60" s="26">
        <f>C13</f>
        <v>4825</v>
      </c>
      <c r="F60" s="26">
        <f>E60+100</f>
        <v>4925</v>
      </c>
      <c r="G60" s="26">
        <f>F60+100</f>
        <v>5025</v>
      </c>
    </row>
    <row r="61" spans="1:8" x14ac:dyDescent="0.25">
      <c r="A61" s="67">
        <f>A62-0.2</f>
        <v>0.60000000000000009</v>
      </c>
      <c r="B61" s="55">
        <f t="shared" ref="B61:G67" si="7">B$60-($F$51/$A61)</f>
        <v>-5782.7907439251649</v>
      </c>
      <c r="C61" s="55">
        <f t="shared" si="7"/>
        <v>-5682.7907439251649</v>
      </c>
      <c r="D61" s="55">
        <f t="shared" si="7"/>
        <v>-5582.7907439251649</v>
      </c>
      <c r="E61" s="55">
        <f t="shared" si="7"/>
        <v>-5482.7907439251649</v>
      </c>
      <c r="F61" s="55">
        <f t="shared" si="7"/>
        <v>-5382.7907439251649</v>
      </c>
      <c r="G61" s="55">
        <f t="shared" si="7"/>
        <v>-5282.7907439251649</v>
      </c>
    </row>
    <row r="62" spans="1:8" x14ac:dyDescent="0.25">
      <c r="A62" s="67">
        <f>A63-0.2</f>
        <v>0.8</v>
      </c>
      <c r="B62" s="55">
        <f t="shared" si="7"/>
        <v>-3205.8430579438755</v>
      </c>
      <c r="C62" s="55">
        <f t="shared" si="7"/>
        <v>-3105.8430579438755</v>
      </c>
      <c r="D62" s="55">
        <f t="shared" si="7"/>
        <v>-3005.8430579438755</v>
      </c>
      <c r="E62" s="55">
        <f t="shared" si="7"/>
        <v>-2905.8430579438755</v>
      </c>
      <c r="F62" s="55">
        <f t="shared" si="7"/>
        <v>-2805.8430579438755</v>
      </c>
      <c r="G62" s="55">
        <f t="shared" si="7"/>
        <v>-2705.8430579438755</v>
      </c>
    </row>
    <row r="63" spans="1:8" x14ac:dyDescent="0.25">
      <c r="A63" s="67">
        <f>A64-0.2</f>
        <v>1</v>
      </c>
      <c r="B63" s="55">
        <f t="shared" si="7"/>
        <v>-1659.6744463551004</v>
      </c>
      <c r="C63" s="55">
        <f t="shared" si="7"/>
        <v>-1559.6744463551004</v>
      </c>
      <c r="D63" s="55">
        <f t="shared" si="7"/>
        <v>-1459.6744463551004</v>
      </c>
      <c r="E63" s="55">
        <f t="shared" si="7"/>
        <v>-1359.6744463551004</v>
      </c>
      <c r="F63" s="55">
        <f t="shared" si="7"/>
        <v>-1259.6744463551004</v>
      </c>
      <c r="G63" s="55">
        <f t="shared" si="7"/>
        <v>-1159.6744463551004</v>
      </c>
    </row>
    <row r="64" spans="1:8" x14ac:dyDescent="0.25">
      <c r="A64" s="27">
        <f>C9</f>
        <v>1.2</v>
      </c>
      <c r="B64" s="55">
        <f t="shared" si="7"/>
        <v>-628.89537196258425</v>
      </c>
      <c r="C64" s="55">
        <f t="shared" si="7"/>
        <v>-528.89537196258425</v>
      </c>
      <c r="D64" s="55">
        <f t="shared" si="7"/>
        <v>-428.89537196258425</v>
      </c>
      <c r="E64" s="55">
        <f t="shared" si="7"/>
        <v>-328.89537196258425</v>
      </c>
      <c r="F64" s="55">
        <f t="shared" si="7"/>
        <v>-228.89537196258425</v>
      </c>
      <c r="G64" s="55">
        <f t="shared" si="7"/>
        <v>-128.89537196258425</v>
      </c>
    </row>
    <row r="65" spans="1:7" x14ac:dyDescent="0.25">
      <c r="A65" s="67">
        <f>A64+0.2</f>
        <v>1.4</v>
      </c>
      <c r="B65" s="55">
        <f t="shared" si="7"/>
        <v>107.37539546064272</v>
      </c>
      <c r="C65" s="55">
        <f t="shared" si="7"/>
        <v>207.37539546064272</v>
      </c>
      <c r="D65" s="55">
        <f t="shared" si="7"/>
        <v>307.37539546064272</v>
      </c>
      <c r="E65" s="55">
        <f t="shared" si="7"/>
        <v>407.37539546064272</v>
      </c>
      <c r="F65" s="55">
        <f t="shared" si="7"/>
        <v>507.37539546064272</v>
      </c>
      <c r="G65" s="55">
        <f t="shared" si="7"/>
        <v>607.37539546064272</v>
      </c>
    </row>
    <row r="66" spans="1:7" x14ac:dyDescent="0.25">
      <c r="A66" s="67">
        <f>A65+0.2</f>
        <v>1.5999999999999999</v>
      </c>
      <c r="B66" s="55">
        <f t="shared" si="7"/>
        <v>659.57847102806181</v>
      </c>
      <c r="C66" s="55">
        <f t="shared" si="7"/>
        <v>759.57847102806181</v>
      </c>
      <c r="D66" s="55">
        <f t="shared" si="7"/>
        <v>859.57847102806181</v>
      </c>
      <c r="E66" s="55">
        <f t="shared" si="7"/>
        <v>959.57847102806181</v>
      </c>
      <c r="F66" s="55">
        <f t="shared" si="7"/>
        <v>1059.5784710280618</v>
      </c>
      <c r="G66" s="55">
        <f t="shared" si="7"/>
        <v>1159.5784710280618</v>
      </c>
    </row>
    <row r="67" spans="1:7" ht="15.75" thickBot="1" x14ac:dyDescent="0.3">
      <c r="A67" s="67">
        <f>A66+0.2</f>
        <v>1.7999999999999998</v>
      </c>
      <c r="B67" s="55">
        <f t="shared" si="7"/>
        <v>1089.0697520249437</v>
      </c>
      <c r="C67" s="55">
        <f t="shared" si="7"/>
        <v>1189.0697520249437</v>
      </c>
      <c r="D67" s="55">
        <f t="shared" si="7"/>
        <v>1289.0697520249437</v>
      </c>
      <c r="E67" s="55">
        <f t="shared" si="7"/>
        <v>1389.0697520249437</v>
      </c>
      <c r="F67" s="55">
        <f t="shared" si="7"/>
        <v>1489.0697520249437</v>
      </c>
      <c r="G67" s="55">
        <f>G$60-($F$51/$A67)</f>
        <v>1589.0697520249437</v>
      </c>
    </row>
    <row r="68" spans="1:7" ht="34.9" customHeight="1" thickBot="1" x14ac:dyDescent="0.3">
      <c r="A68" s="240" t="s">
        <v>65</v>
      </c>
      <c r="B68" s="241"/>
      <c r="C68" s="241"/>
      <c r="D68" s="241"/>
      <c r="E68" s="241"/>
      <c r="F68" s="241"/>
      <c r="G68" s="242"/>
    </row>
  </sheetData>
  <mergeCells count="3">
    <mergeCell ref="A68:G68"/>
    <mergeCell ref="A1:G1"/>
    <mergeCell ref="B59:G59"/>
  </mergeCells>
  <conditionalFormatting sqref="B61:G67">
    <cfRule type="cellIs" dxfId="11" priority="1" operator="lessThan">
      <formula>0</formula>
    </cfRule>
    <cfRule type="cellIs" dxfId="10" priority="2" operator="greaterThan">
      <formula>0</formula>
    </cfRule>
    <cfRule type="cellIs" dxfId="9" priority="3" operator="lessThan">
      <formula>$G$51</formula>
    </cfRule>
  </conditionalFormatting>
  <pageMargins left="0.31496062992125984" right="0.31496062992125984" top="0.35433070866141736" bottom="0.35433070866141736"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zoomScale="90" zoomScaleNormal="90" zoomScaleSheetLayoutView="85" workbookViewId="0">
      <selection activeCell="L28" sqref="L28"/>
    </sheetView>
  </sheetViews>
  <sheetFormatPr defaultColWidth="9.140625" defaultRowHeight="15" x14ac:dyDescent="0.25"/>
  <cols>
    <col min="1" max="1" width="35.7109375" style="70" customWidth="1"/>
    <col min="2" max="7" width="13.140625" style="70" customWidth="1"/>
    <col min="8" max="8" width="15.85546875" style="70" customWidth="1"/>
    <col min="9" max="9" width="9.28515625" style="70" bestFit="1" customWidth="1"/>
    <col min="10" max="10" width="9.5703125" style="70" bestFit="1" customWidth="1"/>
    <col min="11" max="16384" width="9.140625" style="70"/>
  </cols>
  <sheetData>
    <row r="1" spans="1:10" s="45" customFormat="1" ht="18.75" customHeight="1" x14ac:dyDescent="0.25">
      <c r="A1" s="243" t="str">
        <f>"Production cost and profitability analysis of SOYA for the "&amp;B3</f>
        <v>Production cost and profitability analysis of SOYA for the 2019/20 production season</v>
      </c>
      <c r="B1" s="244"/>
      <c r="C1" s="244"/>
      <c r="D1" s="244"/>
      <c r="E1" s="244"/>
      <c r="F1" s="244"/>
      <c r="G1" s="244"/>
      <c r="H1" s="60"/>
    </row>
    <row r="2" spans="1:10" s="45" customFormat="1" ht="17.45" customHeight="1" x14ac:dyDescent="0.3">
      <c r="A2" s="68"/>
      <c r="B2" s="69"/>
      <c r="C2" s="69"/>
      <c r="D2" s="69"/>
      <c r="E2" s="69"/>
      <c r="F2" s="69"/>
      <c r="G2" s="69"/>
      <c r="H2" s="60"/>
    </row>
    <row r="3" spans="1:10" x14ac:dyDescent="0.25">
      <c r="A3" s="64" t="s">
        <v>93</v>
      </c>
      <c r="B3" s="64" t="str">
        <f>Maize!B3</f>
        <v>2019/20 production season</v>
      </c>
      <c r="C3" s="64"/>
      <c r="D3" s="64"/>
    </row>
    <row r="4" spans="1:10" ht="13.9" customHeight="1" x14ac:dyDescent="0.3">
      <c r="A4" s="71"/>
      <c r="B4" s="72" t="str">
        <f>PROPER(A3)</f>
        <v>Soybean</v>
      </c>
    </row>
    <row r="5" spans="1:10" ht="14.45" x14ac:dyDescent="0.3">
      <c r="A5" s="73" t="str">
        <f>"Area for "&amp;B4&amp;"."</f>
        <v>Area for Soybean.</v>
      </c>
      <c r="B5" s="74">
        <v>10</v>
      </c>
      <c r="C5" s="75" t="s">
        <v>2</v>
      </c>
      <c r="I5" s="76"/>
      <c r="J5" s="76"/>
    </row>
    <row r="6" spans="1:10" ht="14.45" x14ac:dyDescent="0.3">
      <c r="I6" s="76"/>
    </row>
    <row r="7" spans="1:10" ht="30.75" customHeight="1" x14ac:dyDescent="0.3">
      <c r="A7" s="77" t="str">
        <f>"TOTAL INCOME FOR "&amp;A3</f>
        <v>TOTAL INCOME FOR SOYBEAN</v>
      </c>
      <c r="B7" s="78" t="s">
        <v>3</v>
      </c>
      <c r="C7" s="78" t="s">
        <v>4</v>
      </c>
      <c r="D7" s="78" t="s">
        <v>5</v>
      </c>
      <c r="F7" s="76"/>
      <c r="G7" s="76"/>
      <c r="H7" s="76"/>
    </row>
    <row r="8" spans="1:10" ht="14.45" x14ac:dyDescent="0.3">
      <c r="A8" s="49" t="s">
        <v>44</v>
      </c>
      <c r="B8" s="80">
        <v>0.7</v>
      </c>
      <c r="C8" s="79">
        <v>1.6</v>
      </c>
      <c r="D8" s="80">
        <v>2</v>
      </c>
      <c r="F8" s="76"/>
      <c r="G8" s="76"/>
      <c r="H8" s="76"/>
    </row>
    <row r="9" spans="1:10" ht="14.45" x14ac:dyDescent="0.3">
      <c r="A9" s="49"/>
      <c r="B9" s="80"/>
      <c r="C9" s="80"/>
      <c r="D9" s="80"/>
      <c r="F9" s="76"/>
      <c r="G9" s="76"/>
      <c r="H9" s="76"/>
    </row>
    <row r="10" spans="1:10" ht="14.45" x14ac:dyDescent="0.3">
      <c r="A10" s="48" t="s">
        <v>45</v>
      </c>
      <c r="B10" s="81">
        <f>C10</f>
        <v>5300</v>
      </c>
      <c r="C10" s="81">
        <f>'Price sheet'!D3</f>
        <v>5300</v>
      </c>
      <c r="D10" s="81">
        <f>C10</f>
        <v>5300</v>
      </c>
      <c r="G10" s="76"/>
      <c r="H10" s="76"/>
    </row>
    <row r="11" spans="1:10" ht="14.45" x14ac:dyDescent="0.3">
      <c r="A11" s="48" t="s">
        <v>46</v>
      </c>
      <c r="B11" s="81">
        <f>C11</f>
        <v>128</v>
      </c>
      <c r="C11" s="81">
        <f>'Price sheet'!D4</f>
        <v>128</v>
      </c>
      <c r="D11" s="81">
        <f>C11</f>
        <v>128</v>
      </c>
      <c r="G11" s="76"/>
      <c r="H11" s="76"/>
    </row>
    <row r="12" spans="1:10" ht="14.45" x14ac:dyDescent="0.3">
      <c r="A12" s="48" t="s">
        <v>47</v>
      </c>
      <c r="B12" s="81">
        <f>B10-B11</f>
        <v>5172</v>
      </c>
      <c r="C12" s="81">
        <f t="shared" ref="C12:D12" si="0">C10-C11</f>
        <v>5172</v>
      </c>
      <c r="D12" s="81">
        <f t="shared" si="0"/>
        <v>5172</v>
      </c>
      <c r="G12" s="76"/>
      <c r="H12" s="76"/>
    </row>
    <row r="13" spans="1:10" ht="14.45" x14ac:dyDescent="0.3">
      <c r="A13" s="48"/>
      <c r="B13" s="81"/>
      <c r="C13" s="81"/>
      <c r="D13" s="81"/>
      <c r="G13" s="76"/>
      <c r="H13" s="76"/>
    </row>
    <row r="14" spans="1:10" ht="14.45" x14ac:dyDescent="0.3">
      <c r="A14" s="73" t="s">
        <v>6</v>
      </c>
      <c r="B14" s="81">
        <f>B8*B10</f>
        <v>3709.9999999999995</v>
      </c>
      <c r="C14" s="81">
        <f>C8*C10</f>
        <v>8480</v>
      </c>
      <c r="D14" s="81">
        <f>D8*D10</f>
        <v>10600</v>
      </c>
      <c r="G14" s="76"/>
      <c r="H14" s="76"/>
    </row>
    <row r="15" spans="1:10" ht="14.45" x14ac:dyDescent="0.3">
      <c r="A15" s="73" t="str">
        <f>"Yield from "&amp;B4</f>
        <v>Yield from Soybean</v>
      </c>
      <c r="B15" s="82">
        <f>B5</f>
        <v>10</v>
      </c>
      <c r="C15" s="82">
        <f>B5</f>
        <v>10</v>
      </c>
      <c r="D15" s="82">
        <f>B5</f>
        <v>10</v>
      </c>
      <c r="G15" s="76"/>
      <c r="H15" s="76"/>
    </row>
    <row r="16" spans="1:10" ht="15.75" customHeight="1" thickBot="1" x14ac:dyDescent="0.35">
      <c r="A16" s="83" t="str">
        <f>"Actual Income for "&amp;B4&amp;" per year"</f>
        <v>Actual Income for Soybean per year</v>
      </c>
      <c r="B16" s="84">
        <f>B15*B14</f>
        <v>37099.999999999993</v>
      </c>
      <c r="C16" s="84">
        <f>C15*C14</f>
        <v>84800</v>
      </c>
      <c r="D16" s="84">
        <f>D15*D14</f>
        <v>106000</v>
      </c>
      <c r="G16" s="85"/>
      <c r="H16" s="85"/>
    </row>
    <row r="17" spans="1:8" ht="14.45" x14ac:dyDescent="0.3">
      <c r="B17" s="76"/>
      <c r="C17" s="76"/>
      <c r="D17" s="76"/>
      <c r="F17" s="76"/>
    </row>
    <row r="18" spans="1:8" s="89" customFormat="1" ht="14.45" x14ac:dyDescent="0.3">
      <c r="A18" s="86" t="s">
        <v>7</v>
      </c>
      <c r="B18" s="87"/>
      <c r="C18" s="87"/>
      <c r="D18" s="87"/>
      <c r="E18" s="87"/>
      <c r="F18" s="87"/>
      <c r="G18" s="88"/>
      <c r="H18" s="88"/>
    </row>
    <row r="19" spans="1:8" s="87" customFormat="1" ht="43.15" x14ac:dyDescent="0.3">
      <c r="A19" s="90" t="s">
        <v>8</v>
      </c>
      <c r="B19" s="16" t="s">
        <v>61</v>
      </c>
      <c r="C19" s="16" t="s">
        <v>62</v>
      </c>
      <c r="D19" s="16" t="s">
        <v>48</v>
      </c>
      <c r="E19" s="16" t="s">
        <v>63</v>
      </c>
      <c r="F19" s="91" t="s">
        <v>9</v>
      </c>
      <c r="G19" s="91" t="str">
        <f>"Total for "&amp;B4</f>
        <v>Total for Soybean</v>
      </c>
    </row>
    <row r="20" spans="1:8" x14ac:dyDescent="0.25">
      <c r="A20" s="132" t="s">
        <v>10</v>
      </c>
      <c r="B20" s="103"/>
      <c r="C20" s="122"/>
      <c r="D20" s="112"/>
      <c r="E20" s="102"/>
      <c r="F20" s="134">
        <f>F21+F22</f>
        <v>1670</v>
      </c>
      <c r="G20" s="134">
        <f>F20*$B$5</f>
        <v>16700</v>
      </c>
    </row>
    <row r="21" spans="1:8" x14ac:dyDescent="0.25">
      <c r="A21" s="102" t="s">
        <v>66</v>
      </c>
      <c r="B21" s="103" t="s">
        <v>54</v>
      </c>
      <c r="C21" s="123">
        <f>1-C22</f>
        <v>0</v>
      </c>
      <c r="D21" s="124">
        <f>C12/1000</f>
        <v>5.1719999999999997</v>
      </c>
      <c r="E21" s="125">
        <f>E22</f>
        <v>2</v>
      </c>
      <c r="F21" s="108">
        <f>C21*D21*E21</f>
        <v>0</v>
      </c>
      <c r="G21" s="108">
        <f>F21*$B$5</f>
        <v>0</v>
      </c>
    </row>
    <row r="22" spans="1:8" x14ac:dyDescent="0.25">
      <c r="A22" s="102" t="s">
        <v>67</v>
      </c>
      <c r="B22" s="103" t="s">
        <v>54</v>
      </c>
      <c r="C22" s="126">
        <v>1</v>
      </c>
      <c r="D22" s="112">
        <f>'Price sheet'!D6</f>
        <v>835</v>
      </c>
      <c r="E22" s="106">
        <v>2</v>
      </c>
      <c r="F22" s="108">
        <f>C22*D22*E22</f>
        <v>1670</v>
      </c>
      <c r="G22" s="108">
        <f>F22*$B$5</f>
        <v>16700</v>
      </c>
    </row>
    <row r="23" spans="1:8" x14ac:dyDescent="0.25">
      <c r="A23" s="102"/>
      <c r="B23" s="103"/>
      <c r="C23" s="126"/>
      <c r="D23" s="112"/>
      <c r="E23" s="106"/>
      <c r="F23" s="108"/>
      <c r="G23" s="108"/>
    </row>
    <row r="24" spans="1:8" x14ac:dyDescent="0.25">
      <c r="A24" s="132" t="s">
        <v>68</v>
      </c>
      <c r="B24" s="103"/>
      <c r="C24" s="126"/>
      <c r="D24" s="112"/>
      <c r="E24" s="106"/>
      <c r="F24" s="133">
        <f>SUM(F25:F29)</f>
        <v>0</v>
      </c>
      <c r="G24" s="134">
        <f>F24*$B$6</f>
        <v>0</v>
      </c>
    </row>
    <row r="25" spans="1:8" x14ac:dyDescent="0.25">
      <c r="A25" s="114" t="s">
        <v>102</v>
      </c>
      <c r="B25" s="103" t="s">
        <v>11</v>
      </c>
      <c r="C25" s="137">
        <v>0</v>
      </c>
      <c r="D25" s="112">
        <f>'Price sheet'!B16/20</f>
        <v>433</v>
      </c>
      <c r="E25" s="102">
        <v>0</v>
      </c>
      <c r="F25" s="107">
        <f>C25*D25*E25</f>
        <v>0</v>
      </c>
      <c r="G25" s="108">
        <f>F25*$B$5</f>
        <v>0</v>
      </c>
    </row>
    <row r="26" spans="1:8" x14ac:dyDescent="0.25">
      <c r="A26" s="111" t="s">
        <v>12</v>
      </c>
      <c r="B26" s="103" t="s">
        <v>11</v>
      </c>
      <c r="C26" s="137">
        <v>0</v>
      </c>
      <c r="D26" s="119">
        <f>'Price sheet'!B18</f>
        <v>16.899999999999999</v>
      </c>
      <c r="E26" s="102">
        <v>0</v>
      </c>
      <c r="F26" s="107">
        <f t="shared" ref="F26:F29" si="1">C26*D26*E26</f>
        <v>0</v>
      </c>
      <c r="G26" s="108">
        <f t="shared" ref="G26:G49" si="2">F26*$B$5</f>
        <v>0</v>
      </c>
    </row>
    <row r="27" spans="1:8" x14ac:dyDescent="0.25">
      <c r="A27" s="111" t="s">
        <v>13</v>
      </c>
      <c r="B27" s="103" t="s">
        <v>11</v>
      </c>
      <c r="C27" s="137">
        <v>0</v>
      </c>
      <c r="D27" s="119">
        <f>'Price sheet'!B19</f>
        <v>36.5</v>
      </c>
      <c r="E27" s="102">
        <v>0</v>
      </c>
      <c r="F27" s="107">
        <f t="shared" si="1"/>
        <v>0</v>
      </c>
      <c r="G27" s="108">
        <f t="shared" si="2"/>
        <v>0</v>
      </c>
    </row>
    <row r="28" spans="1:8" x14ac:dyDescent="0.25">
      <c r="A28" s="111" t="s">
        <v>14</v>
      </c>
      <c r="B28" s="103" t="s">
        <v>11</v>
      </c>
      <c r="C28" s="137">
        <v>0</v>
      </c>
      <c r="D28" s="119">
        <f>'Price sheet'!B20</f>
        <v>14.7</v>
      </c>
      <c r="E28" s="102">
        <v>0</v>
      </c>
      <c r="F28" s="107">
        <f t="shared" si="1"/>
        <v>0</v>
      </c>
      <c r="G28" s="108">
        <f t="shared" si="2"/>
        <v>0</v>
      </c>
    </row>
    <row r="29" spans="1:8" x14ac:dyDescent="0.25">
      <c r="A29" s="114" t="s">
        <v>104</v>
      </c>
      <c r="B29" s="103" t="s">
        <v>11</v>
      </c>
      <c r="C29" s="137">
        <v>0</v>
      </c>
      <c r="D29" s="112">
        <f>'Price sheet'!B17/20</f>
        <v>290.5</v>
      </c>
      <c r="E29" s="102">
        <v>0</v>
      </c>
      <c r="F29" s="107">
        <f t="shared" si="1"/>
        <v>0</v>
      </c>
      <c r="G29" s="108">
        <f t="shared" si="2"/>
        <v>0</v>
      </c>
    </row>
    <row r="30" spans="1:8" x14ac:dyDescent="0.25">
      <c r="A30" s="102"/>
      <c r="B30" s="103"/>
      <c r="C30" s="127"/>
      <c r="D30" s="112"/>
      <c r="E30" s="102"/>
      <c r="F30" s="108"/>
      <c r="G30" s="108"/>
    </row>
    <row r="31" spans="1:8" x14ac:dyDescent="0.25">
      <c r="A31" s="132" t="s">
        <v>55</v>
      </c>
      <c r="B31" s="147" t="s">
        <v>107</v>
      </c>
      <c r="C31" s="145">
        <v>1</v>
      </c>
      <c r="D31" s="112">
        <f>'Price sheet'!B21</f>
        <v>500</v>
      </c>
      <c r="E31" s="106">
        <v>1</v>
      </c>
      <c r="F31" s="134">
        <f>C31*D31*E31</f>
        <v>500</v>
      </c>
      <c r="G31" s="134">
        <f>F31*$B$5</f>
        <v>5000</v>
      </c>
    </row>
    <row r="32" spans="1:8" x14ac:dyDescent="0.25">
      <c r="A32" s="102"/>
      <c r="B32" s="103"/>
      <c r="C32" s="145"/>
      <c r="D32" s="112"/>
      <c r="E32" s="106"/>
      <c r="F32" s="108"/>
      <c r="G32" s="108"/>
    </row>
    <row r="33" spans="1:7" x14ac:dyDescent="0.25">
      <c r="A33" s="132" t="s">
        <v>52</v>
      </c>
      <c r="B33" s="103"/>
      <c r="C33" s="145"/>
      <c r="D33" s="112"/>
      <c r="E33" s="102"/>
      <c r="F33" s="134">
        <f>SUM(F34:F39)</f>
        <v>883.75979776000008</v>
      </c>
      <c r="G33" s="134">
        <f>SUM(G34:G39)</f>
        <v>8837.5979776000022</v>
      </c>
    </row>
    <row r="34" spans="1:7" x14ac:dyDescent="0.25">
      <c r="A34" s="102" t="s">
        <v>69</v>
      </c>
      <c r="B34" s="103" t="s">
        <v>15</v>
      </c>
      <c r="C34" s="145">
        <v>3</v>
      </c>
      <c r="D34" s="102">
        <f>'Price sheet'!B23</f>
        <v>95.2</v>
      </c>
      <c r="E34" s="102">
        <v>1.75</v>
      </c>
      <c r="F34" s="108">
        <f>C34*D34*E34</f>
        <v>499.80000000000007</v>
      </c>
      <c r="G34" s="108">
        <f>F34*$B$5</f>
        <v>4998.0000000000009</v>
      </c>
    </row>
    <row r="35" spans="1:7" x14ac:dyDescent="0.25">
      <c r="A35" s="102" t="s">
        <v>70</v>
      </c>
      <c r="B35" s="103" t="s">
        <v>15</v>
      </c>
      <c r="C35" s="145">
        <v>1</v>
      </c>
      <c r="D35" s="128">
        <f>'Price sheet'!B26</f>
        <v>677.17529600000023</v>
      </c>
      <c r="E35" s="102">
        <v>3.5000000000000003E-2</v>
      </c>
      <c r="F35" s="108">
        <f>C35*D35*E35</f>
        <v>23.701135360000009</v>
      </c>
      <c r="G35" s="108">
        <f>F35*$B$5</f>
        <v>237.01135360000009</v>
      </c>
    </row>
    <row r="36" spans="1:7" x14ac:dyDescent="0.25">
      <c r="A36" s="102" t="s">
        <v>83</v>
      </c>
      <c r="B36" s="103" t="s">
        <v>15</v>
      </c>
      <c r="C36" s="145">
        <v>1</v>
      </c>
      <c r="D36" s="112">
        <f>'Price sheet'!B33</f>
        <v>240.17244160000004</v>
      </c>
      <c r="E36" s="102">
        <v>1.5</v>
      </c>
      <c r="F36" s="108">
        <f>C36*D36*E36</f>
        <v>360.25866240000005</v>
      </c>
      <c r="G36" s="108">
        <f t="shared" ref="G36:G39" si="3">F36*$B$5</f>
        <v>3602.5866240000005</v>
      </c>
    </row>
    <row r="37" spans="1:7" x14ac:dyDescent="0.25">
      <c r="A37" s="114" t="s">
        <v>96</v>
      </c>
      <c r="B37" s="103" t="s">
        <v>15</v>
      </c>
      <c r="C37" s="145"/>
      <c r="D37" s="112">
        <v>0</v>
      </c>
      <c r="E37" s="102"/>
      <c r="F37" s="108">
        <f t="shared" ref="F37:F38" si="4">C37*D37*E37</f>
        <v>0</v>
      </c>
      <c r="G37" s="108">
        <f t="shared" si="3"/>
        <v>0</v>
      </c>
    </row>
    <row r="38" spans="1:7" x14ac:dyDescent="0.25">
      <c r="A38" s="114" t="s">
        <v>96</v>
      </c>
      <c r="B38" s="103" t="s">
        <v>15</v>
      </c>
      <c r="C38" s="145"/>
      <c r="D38" s="112">
        <v>0</v>
      </c>
      <c r="E38" s="102">
        <v>0</v>
      </c>
      <c r="F38" s="108">
        <f t="shared" si="4"/>
        <v>0</v>
      </c>
      <c r="G38" s="108">
        <f t="shared" si="3"/>
        <v>0</v>
      </c>
    </row>
    <row r="39" spans="1:7" x14ac:dyDescent="0.25">
      <c r="A39" s="114" t="s">
        <v>96</v>
      </c>
      <c r="B39" s="103" t="s">
        <v>15</v>
      </c>
      <c r="C39" s="145">
        <v>0</v>
      </c>
      <c r="D39" s="112">
        <v>0</v>
      </c>
      <c r="E39" s="102">
        <v>0</v>
      </c>
      <c r="F39" s="108">
        <f>C39*D39*E39</f>
        <v>0</v>
      </c>
      <c r="G39" s="108">
        <f t="shared" si="3"/>
        <v>0</v>
      </c>
    </row>
    <row r="40" spans="1:7" x14ac:dyDescent="0.25">
      <c r="A40" s="114"/>
      <c r="B40" s="103"/>
      <c r="C40" s="145"/>
      <c r="D40" s="112"/>
      <c r="E40" s="102"/>
      <c r="F40" s="108"/>
      <c r="G40" s="108"/>
    </row>
    <row r="41" spans="1:7" x14ac:dyDescent="0.25">
      <c r="A41" s="132" t="s">
        <v>16</v>
      </c>
      <c r="B41" s="103" t="s">
        <v>15</v>
      </c>
      <c r="C41" s="145"/>
      <c r="D41" s="112">
        <f>'Price sheet'!B44</f>
        <v>14.6</v>
      </c>
      <c r="E41" s="106">
        <v>75</v>
      </c>
      <c r="F41" s="134">
        <f>D41*E41</f>
        <v>1095</v>
      </c>
      <c r="G41" s="134">
        <f t="shared" si="2"/>
        <v>10950</v>
      </c>
    </row>
    <row r="42" spans="1:7" x14ac:dyDescent="0.25">
      <c r="A42" s="132" t="s">
        <v>74</v>
      </c>
      <c r="B42" s="102"/>
      <c r="C42" s="145">
        <v>0</v>
      </c>
      <c r="D42" s="102"/>
      <c r="E42" s="129">
        <f>'Price sheet'!D10</f>
        <v>0.10299999999999999</v>
      </c>
      <c r="F42" s="134">
        <f>IFERROR((C42*E42*C15),0)</f>
        <v>0</v>
      </c>
      <c r="G42" s="134">
        <f t="shared" si="2"/>
        <v>0</v>
      </c>
    </row>
    <row r="43" spans="1:7" s="223" customFormat="1" x14ac:dyDescent="0.25">
      <c r="A43" s="226" t="s">
        <v>141</v>
      </c>
      <c r="B43" s="229"/>
      <c r="C43" s="231">
        <v>0</v>
      </c>
      <c r="D43" s="229">
        <v>0</v>
      </c>
      <c r="E43" s="229"/>
      <c r="F43" s="228">
        <f>D43*C43</f>
        <v>0</v>
      </c>
      <c r="G43" s="227"/>
    </row>
    <row r="44" spans="1:7" x14ac:dyDescent="0.25">
      <c r="A44" s="226" t="s">
        <v>106</v>
      </c>
      <c r="B44" s="102"/>
      <c r="C44" s="145">
        <v>1</v>
      </c>
      <c r="D44" s="102">
        <f>'Price sheet'!D11</f>
        <v>300</v>
      </c>
      <c r="E44" s="102"/>
      <c r="F44" s="135">
        <f>D44*C44</f>
        <v>300</v>
      </c>
      <c r="G44" s="134">
        <f t="shared" si="2"/>
        <v>3000</v>
      </c>
    </row>
    <row r="45" spans="1:7" x14ac:dyDescent="0.25">
      <c r="A45" s="132" t="s">
        <v>73</v>
      </c>
      <c r="B45" s="103" t="s">
        <v>18</v>
      </c>
      <c r="C45" s="145">
        <v>1</v>
      </c>
      <c r="D45" s="112">
        <f>'Price sheet'!D9</f>
        <v>385.00000000000006</v>
      </c>
      <c r="E45" s="102"/>
      <c r="F45" s="135">
        <f>D45*C45</f>
        <v>385.00000000000006</v>
      </c>
      <c r="G45" s="134">
        <f>F45*$B$5</f>
        <v>3850.0000000000005</v>
      </c>
    </row>
    <row r="46" spans="1:7" s="92" customFormat="1" x14ac:dyDescent="0.25">
      <c r="A46" s="132" t="s">
        <v>71</v>
      </c>
      <c r="B46" s="147" t="s">
        <v>18</v>
      </c>
      <c r="C46" s="145">
        <v>1</v>
      </c>
      <c r="D46" s="112">
        <f>'Price sheet'!D12</f>
        <v>250</v>
      </c>
      <c r="E46" s="102">
        <f>IF($C$12=0,0,(F20+F24+F31+F33+F41+F42+F44+F45+F47+F48+F49+F50)/$C$12)</f>
        <v>1.2110904481361175</v>
      </c>
      <c r="F46" s="135">
        <f>D46*C46*E46</f>
        <v>302.77261203402941</v>
      </c>
      <c r="G46" s="134">
        <f t="shared" si="2"/>
        <v>3027.7261203402941</v>
      </c>
    </row>
    <row r="47" spans="1:7" x14ac:dyDescent="0.25">
      <c r="A47" s="132" t="s">
        <v>19</v>
      </c>
      <c r="B47" s="103" t="s">
        <v>20</v>
      </c>
      <c r="C47" s="145">
        <v>1</v>
      </c>
      <c r="D47" s="112">
        <f>'Price sheet'!D13</f>
        <v>25</v>
      </c>
      <c r="E47" s="224">
        <v>40</v>
      </c>
      <c r="F47" s="134">
        <f>D47*C47*E47*(C8/20)</f>
        <v>80</v>
      </c>
      <c r="G47" s="134">
        <f t="shared" si="2"/>
        <v>800</v>
      </c>
    </row>
    <row r="48" spans="1:7" x14ac:dyDescent="0.25">
      <c r="A48" s="132" t="s">
        <v>21</v>
      </c>
      <c r="B48" s="102"/>
      <c r="C48" s="145">
        <v>1</v>
      </c>
      <c r="D48" s="102">
        <f>'Price sheet'!B46</f>
        <v>450</v>
      </c>
      <c r="E48" s="102"/>
      <c r="F48" s="135">
        <f>D48*C48</f>
        <v>450</v>
      </c>
      <c r="G48" s="134">
        <f t="shared" si="2"/>
        <v>4500</v>
      </c>
    </row>
    <row r="49" spans="1:7" x14ac:dyDescent="0.25">
      <c r="A49" s="132" t="s">
        <v>22</v>
      </c>
      <c r="B49" s="103"/>
      <c r="C49" s="145">
        <v>0</v>
      </c>
      <c r="D49" s="102">
        <f>'Price sheet'!B47</f>
        <v>0</v>
      </c>
      <c r="E49" s="102"/>
      <c r="F49" s="135">
        <f>D49*C49</f>
        <v>0</v>
      </c>
      <c r="G49" s="134">
        <f t="shared" si="2"/>
        <v>0</v>
      </c>
    </row>
    <row r="50" spans="1:7" x14ac:dyDescent="0.25">
      <c r="A50" s="132" t="s">
        <v>85</v>
      </c>
      <c r="B50" s="103"/>
      <c r="C50" s="137">
        <v>1</v>
      </c>
      <c r="D50" s="102">
        <f>'Price sheet'!B48</f>
        <v>900</v>
      </c>
      <c r="E50" s="102"/>
      <c r="F50" s="135">
        <f>D50*C50</f>
        <v>900</v>
      </c>
      <c r="G50" s="135">
        <f>F50*$B$5</f>
        <v>9000</v>
      </c>
    </row>
    <row r="51" spans="1:7" s="101" customFormat="1" x14ac:dyDescent="0.25">
      <c r="A51" s="132" t="s">
        <v>109</v>
      </c>
      <c r="B51" s="103"/>
      <c r="C51" s="137">
        <v>1</v>
      </c>
      <c r="D51" s="146">
        <f>'Price sheet'!B49</f>
        <v>0.11</v>
      </c>
      <c r="E51" s="102"/>
      <c r="F51" s="135">
        <f>C51*(D51*(F20+F24+F31+F33+F41+F42+F44+F45+F46+F47+F48+F49+F50)*6/12)</f>
        <v>361.15928253867168</v>
      </c>
      <c r="G51" s="135">
        <f>F51*$B$5</f>
        <v>3611.5928253867169</v>
      </c>
    </row>
    <row r="52" spans="1:7" ht="15.75" thickBot="1" x14ac:dyDescent="0.3">
      <c r="A52" s="93" t="s">
        <v>23</v>
      </c>
      <c r="F52" s="130">
        <f>F20+F24+F31+F33+SUM(F41:F51)</f>
        <v>6927.6916923327008</v>
      </c>
      <c r="G52" s="130">
        <f>G20+G24+G31+G33+SUM(G41:G51)</f>
        <v>69276.916923327022</v>
      </c>
    </row>
    <row r="53" spans="1:7" x14ac:dyDescent="0.25">
      <c r="F53" s="71"/>
      <c r="G53" s="71"/>
    </row>
    <row r="54" spans="1:7" x14ac:dyDescent="0.25">
      <c r="A54" s="94" t="s">
        <v>24</v>
      </c>
    </row>
    <row r="55" spans="1:7" x14ac:dyDescent="0.25">
      <c r="A55" s="20" t="s">
        <v>25</v>
      </c>
      <c r="B55" s="21">
        <f>C16-G52</f>
        <v>15523.083076672978</v>
      </c>
    </row>
    <row r="56" spans="1:7" x14ac:dyDescent="0.25">
      <c r="A56" s="22" t="s">
        <v>26</v>
      </c>
      <c r="B56" s="23">
        <f>C14-F52</f>
        <v>1552.3083076672992</v>
      </c>
    </row>
    <row r="57" spans="1:7" x14ac:dyDescent="0.25">
      <c r="A57" s="22" t="s">
        <v>27</v>
      </c>
      <c r="B57" s="23">
        <f>B56/C8</f>
        <v>970.19269229206202</v>
      </c>
    </row>
    <row r="58" spans="1:7" x14ac:dyDescent="0.25">
      <c r="A58" s="24" t="s">
        <v>103</v>
      </c>
      <c r="B58" s="136">
        <f>F52/C12</f>
        <v>1.3394608840550466</v>
      </c>
    </row>
    <row r="60" spans="1:7" x14ac:dyDescent="0.25">
      <c r="A60" s="90" t="s">
        <v>28</v>
      </c>
      <c r="B60" s="245" t="s">
        <v>47</v>
      </c>
      <c r="C60" s="246"/>
      <c r="D60" s="246"/>
      <c r="E60" s="246"/>
      <c r="F60" s="246"/>
      <c r="G60" s="247"/>
    </row>
    <row r="61" spans="1:7" x14ac:dyDescent="0.25">
      <c r="A61" s="95" t="s">
        <v>29</v>
      </c>
      <c r="B61" s="96">
        <f>C61-200</f>
        <v>4572</v>
      </c>
      <c r="C61" s="96">
        <f>D61-200</f>
        <v>4772</v>
      </c>
      <c r="D61" s="96">
        <f>E61-200</f>
        <v>4972</v>
      </c>
      <c r="E61" s="96">
        <f>C12</f>
        <v>5172</v>
      </c>
      <c r="F61" s="96">
        <f>E61+200</f>
        <v>5372</v>
      </c>
      <c r="G61" s="96">
        <f>F61+200</f>
        <v>5572</v>
      </c>
    </row>
    <row r="62" spans="1:7" s="98" customFormat="1" x14ac:dyDescent="0.25">
      <c r="A62" s="97">
        <f>A63-0.4</f>
        <v>0.40000000000000013</v>
      </c>
      <c r="B62" s="55">
        <f t="shared" ref="B62:G68" si="5">B$61-($F$52/$A62)</f>
        <v>-12747.229230831745</v>
      </c>
      <c r="C62" s="55">
        <f t="shared" si="5"/>
        <v>-12547.229230831745</v>
      </c>
      <c r="D62" s="55">
        <f t="shared" si="5"/>
        <v>-12347.229230831745</v>
      </c>
      <c r="E62" s="55">
        <f t="shared" si="5"/>
        <v>-12147.229230831745</v>
      </c>
      <c r="F62" s="55">
        <f t="shared" si="5"/>
        <v>-11947.229230831745</v>
      </c>
      <c r="G62" s="55">
        <f t="shared" si="5"/>
        <v>-11747.229230831745</v>
      </c>
    </row>
    <row r="63" spans="1:7" s="98" customFormat="1" x14ac:dyDescent="0.25">
      <c r="A63" s="97">
        <f>A64-0.4</f>
        <v>0.80000000000000016</v>
      </c>
      <c r="B63" s="55">
        <f t="shared" si="5"/>
        <v>-4087.6146154158741</v>
      </c>
      <c r="C63" s="55">
        <f t="shared" si="5"/>
        <v>-3887.6146154158741</v>
      </c>
      <c r="D63" s="55">
        <f t="shared" si="5"/>
        <v>-3687.6146154158741</v>
      </c>
      <c r="E63" s="55">
        <f t="shared" si="5"/>
        <v>-3487.6146154158741</v>
      </c>
      <c r="F63" s="55">
        <f t="shared" si="5"/>
        <v>-3287.6146154158741</v>
      </c>
      <c r="G63" s="55">
        <f t="shared" si="5"/>
        <v>-3087.6146154158741</v>
      </c>
    </row>
    <row r="64" spans="1:7" s="98" customFormat="1" x14ac:dyDescent="0.25">
      <c r="A64" s="97">
        <f>A65-0.4</f>
        <v>1.2000000000000002</v>
      </c>
      <c r="B64" s="55">
        <f t="shared" si="5"/>
        <v>-1201.07641027725</v>
      </c>
      <c r="C64" s="55">
        <f t="shared" si="5"/>
        <v>-1001.07641027725</v>
      </c>
      <c r="D64" s="55">
        <f t="shared" si="5"/>
        <v>-801.07641027725003</v>
      </c>
      <c r="E64" s="55">
        <f t="shared" si="5"/>
        <v>-601.07641027725003</v>
      </c>
      <c r="F64" s="55">
        <f t="shared" si="5"/>
        <v>-401.07641027725003</v>
      </c>
      <c r="G64" s="55">
        <f t="shared" si="5"/>
        <v>-201.07641027725003</v>
      </c>
    </row>
    <row r="65" spans="1:8" s="98" customFormat="1" x14ac:dyDescent="0.25">
      <c r="A65" s="97">
        <f>C8</f>
        <v>1.6</v>
      </c>
      <c r="B65" s="55">
        <f t="shared" si="5"/>
        <v>242.19269229206202</v>
      </c>
      <c r="C65" s="55">
        <f t="shared" si="5"/>
        <v>442.19269229206202</v>
      </c>
      <c r="D65" s="55">
        <f t="shared" si="5"/>
        <v>642.19269229206202</v>
      </c>
      <c r="E65" s="55">
        <f t="shared" si="5"/>
        <v>842.19269229206202</v>
      </c>
      <c r="F65" s="55">
        <f t="shared" si="5"/>
        <v>1042.192692292062</v>
      </c>
      <c r="G65" s="55">
        <f t="shared" si="5"/>
        <v>1242.192692292062</v>
      </c>
    </row>
    <row r="66" spans="1:8" s="98" customFormat="1" x14ac:dyDescent="0.25">
      <c r="A66" s="97">
        <f>A65+0.4</f>
        <v>2</v>
      </c>
      <c r="B66" s="55">
        <f t="shared" si="5"/>
        <v>1108.1541538336496</v>
      </c>
      <c r="C66" s="55">
        <f t="shared" si="5"/>
        <v>1308.1541538336496</v>
      </c>
      <c r="D66" s="55">
        <f t="shared" si="5"/>
        <v>1508.1541538336496</v>
      </c>
      <c r="E66" s="55">
        <f t="shared" si="5"/>
        <v>1708.1541538336496</v>
      </c>
      <c r="F66" s="55">
        <f t="shared" si="5"/>
        <v>1908.1541538336496</v>
      </c>
      <c r="G66" s="55">
        <f t="shared" si="5"/>
        <v>2108.1541538336496</v>
      </c>
    </row>
    <row r="67" spans="1:8" s="98" customFormat="1" x14ac:dyDescent="0.25">
      <c r="A67" s="97">
        <f>A66+0.4</f>
        <v>2.4</v>
      </c>
      <c r="B67" s="55">
        <f t="shared" si="5"/>
        <v>1685.4617948613745</v>
      </c>
      <c r="C67" s="55">
        <f t="shared" si="5"/>
        <v>1885.4617948613745</v>
      </c>
      <c r="D67" s="55">
        <f t="shared" si="5"/>
        <v>2085.4617948613745</v>
      </c>
      <c r="E67" s="55">
        <f t="shared" si="5"/>
        <v>2285.4617948613745</v>
      </c>
      <c r="F67" s="55">
        <f t="shared" si="5"/>
        <v>2485.4617948613745</v>
      </c>
      <c r="G67" s="55">
        <f t="shared" si="5"/>
        <v>2685.4617948613745</v>
      </c>
    </row>
    <row r="68" spans="1:8" s="98" customFormat="1" ht="15.75" thickBot="1" x14ac:dyDescent="0.3">
      <c r="A68" s="97">
        <f>A67+0.4</f>
        <v>2.8</v>
      </c>
      <c r="B68" s="55">
        <f t="shared" si="5"/>
        <v>2097.824395595464</v>
      </c>
      <c r="C68" s="55">
        <f t="shared" si="5"/>
        <v>2297.824395595464</v>
      </c>
      <c r="D68" s="55">
        <f t="shared" si="5"/>
        <v>2497.824395595464</v>
      </c>
      <c r="E68" s="55">
        <f t="shared" si="5"/>
        <v>2697.824395595464</v>
      </c>
      <c r="F68" s="55">
        <f t="shared" si="5"/>
        <v>2897.824395595464</v>
      </c>
      <c r="G68" s="55">
        <f t="shared" si="5"/>
        <v>3097.824395595464</v>
      </c>
    </row>
    <row r="69" spans="1:8" s="98" customFormat="1" ht="43.9" customHeight="1" thickBot="1" x14ac:dyDescent="0.3">
      <c r="A69" s="240" t="s">
        <v>65</v>
      </c>
      <c r="B69" s="241"/>
      <c r="C69" s="241"/>
      <c r="D69" s="241"/>
      <c r="E69" s="241"/>
      <c r="F69" s="241"/>
      <c r="G69" s="242"/>
      <c r="H69" s="70"/>
    </row>
  </sheetData>
  <mergeCells count="3">
    <mergeCell ref="A1:G1"/>
    <mergeCell ref="B60:G60"/>
    <mergeCell ref="A69:G69"/>
  </mergeCells>
  <conditionalFormatting sqref="B62:G68">
    <cfRule type="cellIs" dxfId="8" priority="1" operator="lessThan">
      <formula>0</formula>
    </cfRule>
    <cfRule type="cellIs" dxfId="7" priority="2" operator="greaterThan">
      <formula>0</formula>
    </cfRule>
    <cfRule type="cellIs" dxfId="6" priority="3" operator="lessThan">
      <formula>$H$54</formula>
    </cfRule>
  </conditionalFormatting>
  <printOptions gridLines="1"/>
  <pageMargins left="0.47244094488188998" right="0.196850393700787" top="0.511811023622047" bottom="0.55118110236220497" header="0.511811023622047" footer="0.511811023622047"/>
  <pageSetup paperSize="9" scale="73" firstPageNumber="7" orientation="portrait" r:id="rId1"/>
  <headerFooter alignWithMargins="0">
    <oddFooter>&amp;LAnnexure 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90" zoomScaleNormal="90" workbookViewId="0">
      <selection sqref="A1:G1"/>
    </sheetView>
  </sheetViews>
  <sheetFormatPr defaultRowHeight="15" x14ac:dyDescent="0.25"/>
  <cols>
    <col min="1" max="1" width="31.7109375" style="101" customWidth="1"/>
    <col min="2" max="6" width="14.85546875" style="101" customWidth="1"/>
    <col min="7" max="7" width="16.28515625" style="101" customWidth="1"/>
    <col min="8" max="8" width="12.42578125" style="101" bestFit="1" customWidth="1"/>
    <col min="9" max="16384" width="9.140625" style="101"/>
  </cols>
  <sheetData>
    <row r="1" spans="1:8" ht="22.9" customHeight="1" x14ac:dyDescent="0.25">
      <c r="A1" s="243" t="str">
        <f>"Production cost and profitability analysis of GROUNDNUTS for the "&amp;B3</f>
        <v>Production cost and profitability analysis of GROUNDNUTS for the 2019/20 production season</v>
      </c>
      <c r="B1" s="244"/>
      <c r="C1" s="244"/>
      <c r="D1" s="244"/>
      <c r="E1" s="244"/>
      <c r="F1" s="244"/>
      <c r="G1" s="244"/>
      <c r="H1" s="60"/>
    </row>
    <row r="2" spans="1:8" s="63" customFormat="1" ht="16.149999999999999" customHeight="1" x14ac:dyDescent="0.25">
      <c r="A2" s="61"/>
      <c r="B2" s="62"/>
      <c r="C2" s="62"/>
      <c r="D2" s="62"/>
      <c r="E2" s="62"/>
      <c r="F2" s="62"/>
      <c r="G2" s="62"/>
      <c r="H2" s="62"/>
    </row>
    <row r="3" spans="1:8" x14ac:dyDescent="0.25">
      <c r="A3" s="64" t="s">
        <v>123</v>
      </c>
      <c r="B3" s="64" t="str">
        <f>Maize!B3</f>
        <v>2019/20 production season</v>
      </c>
      <c r="C3" s="64"/>
      <c r="D3" s="64"/>
      <c r="E3" s="46"/>
      <c r="F3" s="46"/>
      <c r="G3" s="46"/>
      <c r="H3" s="46"/>
    </row>
    <row r="4" spans="1:8" x14ac:dyDescent="0.25">
      <c r="A4" s="47"/>
      <c r="B4" s="3" t="str">
        <f>PROPER(A3)</f>
        <v>Groundnuts</v>
      </c>
      <c r="C4" s="46"/>
      <c r="D4" s="46"/>
      <c r="E4" s="46"/>
      <c r="F4" s="46"/>
      <c r="G4" s="46"/>
      <c r="H4" s="46"/>
    </row>
    <row r="5" spans="1:8" x14ac:dyDescent="0.25">
      <c r="A5" s="48" t="s">
        <v>1</v>
      </c>
      <c r="B5" s="48" t="str">
        <f>'[1]General info'!B25</f>
        <v>Arable land</v>
      </c>
      <c r="C5" s="5" t="s">
        <v>2</v>
      </c>
      <c r="D5" s="46"/>
      <c r="E5" s="46"/>
      <c r="F5" s="46"/>
      <c r="G5" s="46"/>
      <c r="H5" s="46"/>
    </row>
    <row r="6" spans="1:8" x14ac:dyDescent="0.25">
      <c r="A6" s="48" t="str">
        <f>"Area for "&amp;B4&amp;"."</f>
        <v>Area for Groundnuts.</v>
      </c>
      <c r="B6" s="57">
        <v>10</v>
      </c>
      <c r="C6" s="5" t="s">
        <v>2</v>
      </c>
      <c r="D6" s="46"/>
      <c r="E6" s="46"/>
      <c r="F6" s="46"/>
      <c r="G6" s="46"/>
      <c r="H6" s="46"/>
    </row>
    <row r="7" spans="1:8" x14ac:dyDescent="0.25">
      <c r="A7" s="46"/>
      <c r="B7" s="46"/>
      <c r="C7" s="46"/>
      <c r="D7" s="46"/>
      <c r="E7" s="46"/>
      <c r="F7" s="46"/>
      <c r="G7" s="46"/>
      <c r="H7" s="46"/>
    </row>
    <row r="8" spans="1:8" ht="30" x14ac:dyDescent="0.25">
      <c r="A8" s="6" t="str">
        <f>"TOTAL INCOME FOR "&amp;A3</f>
        <v>TOTAL INCOME FOR GROUNDNUTS</v>
      </c>
      <c r="B8" s="7" t="s">
        <v>4</v>
      </c>
      <c r="C8" s="46"/>
      <c r="D8" s="38"/>
      <c r="E8" s="38"/>
      <c r="F8" s="38"/>
    </row>
    <row r="9" spans="1:8" x14ac:dyDescent="0.25">
      <c r="A9" s="49" t="s">
        <v>44</v>
      </c>
      <c r="B9" s="58">
        <v>1.2</v>
      </c>
      <c r="C9" s="46"/>
      <c r="D9" s="38"/>
      <c r="E9" s="38"/>
      <c r="F9" s="38"/>
    </row>
    <row r="10" spans="1:8" x14ac:dyDescent="0.25">
      <c r="A10" s="49"/>
      <c r="B10" s="50"/>
      <c r="C10" s="46"/>
      <c r="D10" s="38"/>
      <c r="E10" s="38"/>
      <c r="F10" s="38"/>
    </row>
    <row r="11" spans="1:8" x14ac:dyDescent="0.25">
      <c r="A11" s="48" t="s">
        <v>45</v>
      </c>
      <c r="B11" s="56">
        <f>'Price sheet'!E3</f>
        <v>9250</v>
      </c>
      <c r="C11" s="46"/>
      <c r="D11" s="46"/>
      <c r="E11" s="38"/>
      <c r="F11" s="38"/>
    </row>
    <row r="12" spans="1:8" x14ac:dyDescent="0.25">
      <c r="A12" s="48" t="s">
        <v>46</v>
      </c>
      <c r="B12" s="208">
        <f>'Price sheet'!E4</f>
        <v>63</v>
      </c>
      <c r="C12" s="46"/>
      <c r="D12" s="46"/>
      <c r="E12" s="38"/>
      <c r="F12" s="38"/>
    </row>
    <row r="13" spans="1:8" x14ac:dyDescent="0.25">
      <c r="A13" s="48" t="s">
        <v>47</v>
      </c>
      <c r="B13" s="56">
        <f>B11-B12</f>
        <v>9187</v>
      </c>
      <c r="C13" s="46"/>
      <c r="D13" s="46"/>
      <c r="E13" s="38"/>
      <c r="F13" s="38"/>
    </row>
    <row r="14" spans="1:8" x14ac:dyDescent="0.25">
      <c r="A14" s="48"/>
      <c r="B14" s="51"/>
      <c r="C14" s="46"/>
      <c r="D14" s="46"/>
      <c r="E14" s="38"/>
      <c r="F14" s="38"/>
    </row>
    <row r="15" spans="1:8" x14ac:dyDescent="0.25">
      <c r="A15" s="59" t="s">
        <v>6</v>
      </c>
      <c r="B15" s="29">
        <f>B9*B13</f>
        <v>11024.4</v>
      </c>
      <c r="C15" s="46"/>
      <c r="D15" s="46"/>
      <c r="E15" s="38"/>
      <c r="F15" s="38"/>
    </row>
    <row r="16" spans="1:8" x14ac:dyDescent="0.25">
      <c r="A16" s="48" t="str">
        <f>"Yield from "&amp;B4</f>
        <v>Yield from Groundnuts</v>
      </c>
      <c r="B16" s="52">
        <f>B6</f>
        <v>10</v>
      </c>
      <c r="C16" s="46"/>
      <c r="D16" s="46"/>
      <c r="E16" s="38"/>
      <c r="F16" s="38"/>
    </row>
    <row r="17" spans="1:9" ht="15.75" thickBot="1" x14ac:dyDescent="0.3">
      <c r="A17" s="47" t="str">
        <f>"Income for "&amp;B4&amp;" per year"</f>
        <v>Income for Groundnuts per year</v>
      </c>
      <c r="B17" s="53">
        <f>B16*B15</f>
        <v>110244</v>
      </c>
      <c r="C17" s="46"/>
      <c r="D17" s="46"/>
      <c r="E17" s="54"/>
      <c r="F17" s="54"/>
    </row>
    <row r="18" spans="1:9" x14ac:dyDescent="0.25">
      <c r="A18" s="47"/>
      <c r="B18" s="28"/>
      <c r="C18" s="28"/>
      <c r="D18" s="28"/>
      <c r="E18" s="46"/>
      <c r="F18" s="46"/>
      <c r="G18" s="54"/>
      <c r="H18" s="54"/>
    </row>
    <row r="19" spans="1:9" x14ac:dyDescent="0.25">
      <c r="A19" s="12" t="s">
        <v>7</v>
      </c>
      <c r="B19" s="13"/>
      <c r="C19" s="13"/>
      <c r="D19" s="13"/>
      <c r="E19" s="13"/>
      <c r="F19" s="13"/>
      <c r="G19" s="14"/>
      <c r="H19" s="14"/>
    </row>
    <row r="20" spans="1:9" ht="42.6" customHeight="1" x14ac:dyDescent="0.25">
      <c r="A20" s="15" t="s">
        <v>8</v>
      </c>
      <c r="B20" s="16" t="s">
        <v>61</v>
      </c>
      <c r="C20" s="16" t="s">
        <v>62</v>
      </c>
      <c r="D20" s="16" t="s">
        <v>48</v>
      </c>
      <c r="E20" s="16" t="s">
        <v>63</v>
      </c>
      <c r="F20" s="16" t="s">
        <v>9</v>
      </c>
      <c r="G20" s="16" t="str">
        <f>"Total for "&amp;B4</f>
        <v>Total for Groundnuts</v>
      </c>
    </row>
    <row r="21" spans="1:9" x14ac:dyDescent="0.25">
      <c r="A21" s="132" t="s">
        <v>124</v>
      </c>
      <c r="B21" s="147" t="s">
        <v>125</v>
      </c>
      <c r="C21" s="104"/>
      <c r="D21" s="124">
        <f>'Price sheet'!E8</f>
        <v>28.6</v>
      </c>
      <c r="E21" s="106">
        <v>50</v>
      </c>
      <c r="F21" s="133">
        <f>D21*E21</f>
        <v>1430</v>
      </c>
      <c r="G21" s="134">
        <f>F21*$B$6</f>
        <v>14300</v>
      </c>
      <c r="I21" s="63"/>
    </row>
    <row r="22" spans="1:9" x14ac:dyDescent="0.25">
      <c r="A22" s="114"/>
      <c r="B22" s="147"/>
      <c r="C22" s="104"/>
      <c r="D22" s="124"/>
      <c r="E22" s="106"/>
      <c r="F22" s="133"/>
      <c r="G22" s="134"/>
      <c r="I22" s="63"/>
    </row>
    <row r="23" spans="1:9" x14ac:dyDescent="0.25">
      <c r="A23" s="132" t="s">
        <v>68</v>
      </c>
      <c r="B23" s="147"/>
      <c r="C23" s="104"/>
      <c r="D23" s="124"/>
      <c r="E23" s="106"/>
      <c r="F23" s="172">
        <f>SUM(F24:F28)</f>
        <v>488.19999999999993</v>
      </c>
      <c r="G23" s="172">
        <f>F23*$B$6</f>
        <v>4881.9999999999991</v>
      </c>
      <c r="I23" s="63"/>
    </row>
    <row r="24" spans="1:9" x14ac:dyDescent="0.25">
      <c r="A24" s="114" t="s">
        <v>102</v>
      </c>
      <c r="B24" s="147" t="s">
        <v>126</v>
      </c>
      <c r="C24" s="143">
        <v>0</v>
      </c>
      <c r="D24" s="109">
        <f>'Price sheet'!B16</f>
        <v>8660</v>
      </c>
      <c r="E24" s="113">
        <v>0</v>
      </c>
      <c r="F24" s="173">
        <f>D24*E24*C24</f>
        <v>0</v>
      </c>
      <c r="G24" s="174">
        <f t="shared" ref="G24:G55" si="0">F24*$B$6</f>
        <v>0</v>
      </c>
    </row>
    <row r="25" spans="1:9" x14ac:dyDescent="0.25">
      <c r="A25" s="114" t="s">
        <v>127</v>
      </c>
      <c r="B25" s="103" t="s">
        <v>54</v>
      </c>
      <c r="C25" s="143">
        <v>0</v>
      </c>
      <c r="D25" s="212">
        <f>'Price sheet'!B17</f>
        <v>5810</v>
      </c>
      <c r="E25" s="113">
        <v>0</v>
      </c>
      <c r="F25" s="173">
        <f>D25*E25*C25</f>
        <v>0</v>
      </c>
      <c r="G25" s="174">
        <f>F25*$B$6</f>
        <v>0</v>
      </c>
    </row>
    <row r="26" spans="1:9" x14ac:dyDescent="0.25">
      <c r="A26" s="111" t="s">
        <v>12</v>
      </c>
      <c r="B26" s="103" t="s">
        <v>11</v>
      </c>
      <c r="C26" s="143">
        <v>1</v>
      </c>
      <c r="D26" s="207">
        <f>'Price sheet'!B18</f>
        <v>16.899999999999999</v>
      </c>
      <c r="E26" s="106">
        <v>12</v>
      </c>
      <c r="F26" s="173">
        <f t="shared" ref="F26:F30" si="1">D26*E26*C26</f>
        <v>202.79999999999998</v>
      </c>
      <c r="G26" s="174">
        <f t="shared" si="0"/>
        <v>2027.9999999999998</v>
      </c>
    </row>
    <row r="27" spans="1:9" x14ac:dyDescent="0.25">
      <c r="A27" s="111" t="s">
        <v>13</v>
      </c>
      <c r="B27" s="103" t="s">
        <v>11</v>
      </c>
      <c r="C27" s="143">
        <v>1</v>
      </c>
      <c r="D27" s="207">
        <f>'Price sheet'!B19</f>
        <v>36.5</v>
      </c>
      <c r="E27" s="106">
        <v>5</v>
      </c>
      <c r="F27" s="173">
        <f t="shared" si="1"/>
        <v>182.5</v>
      </c>
      <c r="G27" s="174">
        <f t="shared" si="0"/>
        <v>1825</v>
      </c>
    </row>
    <row r="28" spans="1:9" x14ac:dyDescent="0.25">
      <c r="A28" s="111" t="s">
        <v>14</v>
      </c>
      <c r="B28" s="103" t="s">
        <v>11</v>
      </c>
      <c r="C28" s="143">
        <v>1</v>
      </c>
      <c r="D28" s="207">
        <f>'Price sheet'!B20</f>
        <v>14.7</v>
      </c>
      <c r="E28" s="106">
        <v>7</v>
      </c>
      <c r="F28" s="173">
        <f t="shared" si="1"/>
        <v>102.89999999999999</v>
      </c>
      <c r="G28" s="174">
        <f t="shared" si="0"/>
        <v>1029</v>
      </c>
    </row>
    <row r="29" spans="1:9" x14ac:dyDescent="0.25">
      <c r="A29" s="102"/>
      <c r="B29" s="103"/>
      <c r="C29" s="143"/>
      <c r="D29" s="109"/>
      <c r="E29" s="113"/>
      <c r="F29" s="173"/>
      <c r="G29" s="174"/>
    </row>
    <row r="30" spans="1:9" x14ac:dyDescent="0.25">
      <c r="A30" s="114" t="s">
        <v>128</v>
      </c>
      <c r="B30" s="103" t="s">
        <v>11</v>
      </c>
      <c r="C30" s="143">
        <v>1</v>
      </c>
      <c r="D30" s="107">
        <f>'Price sheet'!B21</f>
        <v>500</v>
      </c>
      <c r="E30" s="113">
        <v>1</v>
      </c>
      <c r="F30" s="133">
        <f t="shared" si="1"/>
        <v>500</v>
      </c>
      <c r="G30" s="134">
        <f t="shared" si="0"/>
        <v>5000</v>
      </c>
    </row>
    <row r="31" spans="1:9" x14ac:dyDescent="0.25">
      <c r="A31" s="114"/>
      <c r="B31" s="103"/>
      <c r="C31" s="143"/>
      <c r="D31" s="107"/>
      <c r="E31" s="113"/>
      <c r="F31" s="133"/>
      <c r="G31" s="134"/>
    </row>
    <row r="32" spans="1:9" x14ac:dyDescent="0.25">
      <c r="A32" s="132" t="s">
        <v>52</v>
      </c>
      <c r="B32" s="102"/>
      <c r="C32" s="102"/>
      <c r="D32" s="102"/>
      <c r="E32" s="102"/>
      <c r="F32" s="133">
        <f>SUM(F33:F43)</f>
        <v>1586.5080000000003</v>
      </c>
      <c r="G32" s="133">
        <f>SUM(G33:G42)</f>
        <v>15865.08</v>
      </c>
    </row>
    <row r="33" spans="1:7" x14ac:dyDescent="0.25">
      <c r="A33" s="209" t="s">
        <v>130</v>
      </c>
      <c r="B33" s="176" t="s">
        <v>15</v>
      </c>
      <c r="C33" s="143">
        <v>0</v>
      </c>
      <c r="D33" s="177">
        <f>'Price sheet'!B34</f>
        <v>506.24000000000007</v>
      </c>
      <c r="E33" s="175">
        <v>0.75</v>
      </c>
      <c r="F33" s="178">
        <f>C33*D33*E33</f>
        <v>0</v>
      </c>
      <c r="G33" s="175">
        <f>F33*$B$6</f>
        <v>0</v>
      </c>
    </row>
    <row r="34" spans="1:7" x14ac:dyDescent="0.25">
      <c r="A34" s="209" t="s">
        <v>131</v>
      </c>
      <c r="B34" s="176" t="s">
        <v>15</v>
      </c>
      <c r="C34" s="143">
        <v>1</v>
      </c>
      <c r="D34" s="213">
        <f>'Price sheet'!B35</f>
        <v>267.45600000000002</v>
      </c>
      <c r="E34" s="175">
        <v>3</v>
      </c>
      <c r="F34" s="178">
        <f>C34*D34*E34</f>
        <v>802.36800000000005</v>
      </c>
      <c r="G34" s="175">
        <f>F34*$B$6</f>
        <v>8023.68</v>
      </c>
    </row>
    <row r="35" spans="1:7" x14ac:dyDescent="0.25">
      <c r="A35" s="209" t="s">
        <v>136</v>
      </c>
      <c r="B35" s="176" t="s">
        <v>15</v>
      </c>
      <c r="C35" s="224">
        <v>0.5</v>
      </c>
      <c r="D35" s="213">
        <f>'Price sheet'!B36</f>
        <v>884.80000000000007</v>
      </c>
      <c r="E35" s="175">
        <v>1</v>
      </c>
      <c r="F35" s="178">
        <f>C35*D35*E35</f>
        <v>442.40000000000003</v>
      </c>
      <c r="G35" s="175">
        <f t="shared" si="0"/>
        <v>4424</v>
      </c>
    </row>
    <row r="36" spans="1:7" x14ac:dyDescent="0.25">
      <c r="A36" s="209" t="s">
        <v>132</v>
      </c>
      <c r="B36" s="176" t="s">
        <v>15</v>
      </c>
      <c r="C36" s="143">
        <v>1</v>
      </c>
      <c r="D36" s="213">
        <f>'Price sheet'!B37</f>
        <v>190.4</v>
      </c>
      <c r="E36" s="175">
        <v>0.1</v>
      </c>
      <c r="F36" s="178">
        <f t="shared" ref="F36:F43" si="2">C36*D36*E36</f>
        <v>19.040000000000003</v>
      </c>
      <c r="G36" s="175">
        <f t="shared" si="0"/>
        <v>190.40000000000003</v>
      </c>
    </row>
    <row r="37" spans="1:7" x14ac:dyDescent="0.25">
      <c r="A37" s="209" t="s">
        <v>133</v>
      </c>
      <c r="B37" s="176" t="s">
        <v>15</v>
      </c>
      <c r="C37" s="143">
        <v>1</v>
      </c>
      <c r="D37" s="213">
        <f>'Price sheet'!B38</f>
        <v>94.640000000000015</v>
      </c>
      <c r="E37" s="225">
        <v>0.35</v>
      </c>
      <c r="F37" s="178">
        <f t="shared" si="2"/>
        <v>33.124000000000002</v>
      </c>
      <c r="G37" s="175">
        <f t="shared" si="0"/>
        <v>331.24</v>
      </c>
    </row>
    <row r="38" spans="1:7" x14ac:dyDescent="0.25">
      <c r="A38" s="209" t="s">
        <v>134</v>
      </c>
      <c r="B38" s="176" t="s">
        <v>15</v>
      </c>
      <c r="C38" s="143">
        <v>1</v>
      </c>
      <c r="D38" s="213">
        <f>'Price sheet'!B39</f>
        <v>586.88000000000011</v>
      </c>
      <c r="E38" s="179">
        <v>0.35</v>
      </c>
      <c r="F38" s="178">
        <f t="shared" si="2"/>
        <v>205.40800000000002</v>
      </c>
      <c r="G38" s="175">
        <f t="shared" si="0"/>
        <v>2054.08</v>
      </c>
    </row>
    <row r="39" spans="1:7" x14ac:dyDescent="0.25">
      <c r="A39" s="209" t="s">
        <v>135</v>
      </c>
      <c r="B39" s="176" t="s">
        <v>15</v>
      </c>
      <c r="C39" s="143">
        <v>1</v>
      </c>
      <c r="D39" s="213">
        <f>'Price sheet'!B40</f>
        <v>28.056000000000004</v>
      </c>
      <c r="E39" s="179">
        <v>3</v>
      </c>
      <c r="F39" s="178">
        <f>C39*D39*E39</f>
        <v>84.168000000000006</v>
      </c>
      <c r="G39" s="175">
        <f t="shared" si="0"/>
        <v>841.68000000000006</v>
      </c>
    </row>
    <row r="40" spans="1:7" x14ac:dyDescent="0.25">
      <c r="A40" s="209" t="str">
        <f>'[2]Price sheet'!H46</f>
        <v xml:space="preserve">    CHEMICALS</v>
      </c>
      <c r="B40" s="176" t="s">
        <v>15</v>
      </c>
      <c r="C40" s="143">
        <v>0</v>
      </c>
      <c r="D40" s="177">
        <v>0</v>
      </c>
      <c r="E40" s="180"/>
      <c r="F40" s="178">
        <f t="shared" si="2"/>
        <v>0</v>
      </c>
      <c r="G40" s="175">
        <f t="shared" si="0"/>
        <v>0</v>
      </c>
    </row>
    <row r="41" spans="1:7" x14ac:dyDescent="0.25">
      <c r="A41" s="175" t="str">
        <f>'[2]Price sheet'!H47</f>
        <v xml:space="preserve">    CHEMICALS</v>
      </c>
      <c r="B41" s="176" t="s">
        <v>15</v>
      </c>
      <c r="C41" s="143">
        <v>0</v>
      </c>
      <c r="D41" s="177">
        <v>0</v>
      </c>
      <c r="E41" s="180"/>
      <c r="F41" s="178">
        <f t="shared" si="2"/>
        <v>0</v>
      </c>
      <c r="G41" s="175">
        <f t="shared" si="0"/>
        <v>0</v>
      </c>
    </row>
    <row r="42" spans="1:7" x14ac:dyDescent="0.25">
      <c r="A42" s="175" t="str">
        <f>'[2]Price sheet'!H48</f>
        <v xml:space="preserve">    CHEMICALS</v>
      </c>
      <c r="B42" s="176" t="s">
        <v>15</v>
      </c>
      <c r="C42" s="143">
        <v>0</v>
      </c>
      <c r="D42" s="177">
        <v>0</v>
      </c>
      <c r="E42" s="180"/>
      <c r="F42" s="178">
        <f t="shared" si="2"/>
        <v>0</v>
      </c>
      <c r="G42" s="175">
        <f t="shared" si="0"/>
        <v>0</v>
      </c>
    </row>
    <row r="43" spans="1:7" x14ac:dyDescent="0.25">
      <c r="A43" s="175" t="str">
        <f>'[2]Price sheet'!H49</f>
        <v xml:space="preserve">    CHEMICALS</v>
      </c>
      <c r="B43" s="176" t="s">
        <v>15</v>
      </c>
      <c r="C43" s="143">
        <v>0</v>
      </c>
      <c r="D43" s="177">
        <v>0</v>
      </c>
      <c r="E43" s="180"/>
      <c r="F43" s="178">
        <f t="shared" si="2"/>
        <v>0</v>
      </c>
      <c r="G43" s="175">
        <f t="shared" si="0"/>
        <v>0</v>
      </c>
    </row>
    <row r="44" spans="1:7" x14ac:dyDescent="0.25">
      <c r="A44" s="175"/>
      <c r="B44" s="176"/>
      <c r="C44" s="106"/>
      <c r="D44" s="181"/>
      <c r="E44" s="180"/>
      <c r="F44" s="182"/>
      <c r="G44" s="183"/>
    </row>
    <row r="45" spans="1:7" x14ac:dyDescent="0.25">
      <c r="A45" s="132" t="s">
        <v>16</v>
      </c>
      <c r="B45" s="147" t="s">
        <v>119</v>
      </c>
      <c r="C45" s="137">
        <v>1</v>
      </c>
      <c r="D45" s="112">
        <f>'Price sheet'!B44</f>
        <v>14.6</v>
      </c>
      <c r="E45" s="106">
        <v>80</v>
      </c>
      <c r="F45" s="133">
        <f>C45*D45*E45</f>
        <v>1168</v>
      </c>
      <c r="G45" s="134">
        <f t="shared" si="0"/>
        <v>11680</v>
      </c>
    </row>
    <row r="46" spans="1:7" x14ac:dyDescent="0.25">
      <c r="A46" s="132" t="s">
        <v>17</v>
      </c>
      <c r="B46" s="147" t="s">
        <v>120</v>
      </c>
      <c r="C46" s="137">
        <v>0</v>
      </c>
      <c r="D46" s="102"/>
      <c r="E46" s="118">
        <f>'Price sheet'!E10</f>
        <v>1.6E-2</v>
      </c>
      <c r="F46" s="134">
        <f>IFERROR((C46*E46*B15),0)</f>
        <v>0</v>
      </c>
      <c r="G46" s="134">
        <f t="shared" si="0"/>
        <v>0</v>
      </c>
    </row>
    <row r="47" spans="1:7" x14ac:dyDescent="0.25">
      <c r="A47" s="132" t="s">
        <v>141</v>
      </c>
      <c r="B47" s="147"/>
      <c r="C47" s="137">
        <v>1</v>
      </c>
      <c r="D47" s="102">
        <f>'Price sheet'!B45</f>
        <v>250</v>
      </c>
      <c r="E47" s="106"/>
      <c r="F47" s="133">
        <f>C47*D47</f>
        <v>250</v>
      </c>
      <c r="G47" s="134">
        <f t="shared" si="0"/>
        <v>2500</v>
      </c>
    </row>
    <row r="48" spans="1:7" x14ac:dyDescent="0.25">
      <c r="A48" s="132" t="s">
        <v>106</v>
      </c>
      <c r="B48" s="147" t="s">
        <v>120</v>
      </c>
      <c r="C48" s="214">
        <v>1</v>
      </c>
      <c r="D48" s="211">
        <f>'Price sheet'!E11</f>
        <v>700</v>
      </c>
      <c r="E48" s="211"/>
      <c r="F48" s="210">
        <f>D48*C48</f>
        <v>700</v>
      </c>
      <c r="G48" s="135">
        <f t="shared" si="0"/>
        <v>7000</v>
      </c>
    </row>
    <row r="49" spans="1:8" x14ac:dyDescent="0.25">
      <c r="A49" s="132" t="s">
        <v>73</v>
      </c>
      <c r="B49" s="147" t="s">
        <v>120</v>
      </c>
      <c r="C49" s="137">
        <v>1</v>
      </c>
      <c r="D49" s="112">
        <f>'Price sheet'!E9</f>
        <v>660</v>
      </c>
      <c r="E49" s="102"/>
      <c r="F49" s="135">
        <f>D49*C49</f>
        <v>660</v>
      </c>
      <c r="G49" s="134">
        <f t="shared" si="0"/>
        <v>6600</v>
      </c>
    </row>
    <row r="50" spans="1:8" x14ac:dyDescent="0.25">
      <c r="A50" s="132" t="s">
        <v>64</v>
      </c>
      <c r="B50" s="147" t="s">
        <v>120</v>
      </c>
      <c r="C50" s="137">
        <v>0</v>
      </c>
      <c r="D50" s="112">
        <f>'Price sheet'!E12</f>
        <v>0</v>
      </c>
      <c r="E50" s="102">
        <f>IF($B$13=0,0,($F$21+$F$23+$F$30+$F$32+$F$51+$F$52+$F$53+$F$45+$F$46+F47+$F$48+$F$49+$F$54)/$B$13)</f>
        <v>0.89177185152933502</v>
      </c>
      <c r="F50" s="135">
        <f>D50*C50*E50</f>
        <v>0</v>
      </c>
      <c r="G50" s="134">
        <f t="shared" si="0"/>
        <v>0</v>
      </c>
    </row>
    <row r="51" spans="1:8" x14ac:dyDescent="0.25">
      <c r="A51" s="132" t="s">
        <v>19</v>
      </c>
      <c r="B51" s="103" t="s">
        <v>20</v>
      </c>
      <c r="C51" s="137">
        <v>1</v>
      </c>
      <c r="D51" s="112">
        <f>'Price sheet'!E13</f>
        <v>25</v>
      </c>
      <c r="E51" s="106">
        <v>40</v>
      </c>
      <c r="F51" s="134">
        <f>C51*E51*D51*(B9/20)</f>
        <v>60</v>
      </c>
      <c r="G51" s="134">
        <f t="shared" si="0"/>
        <v>600</v>
      </c>
    </row>
    <row r="52" spans="1:8" x14ac:dyDescent="0.25">
      <c r="A52" s="132" t="s">
        <v>21</v>
      </c>
      <c r="B52" s="147" t="s">
        <v>120</v>
      </c>
      <c r="C52" s="231">
        <v>1</v>
      </c>
      <c r="D52" s="229">
        <f>'Price sheet'!B46</f>
        <v>450</v>
      </c>
      <c r="E52" s="229"/>
      <c r="F52" s="228">
        <f>D52*C52</f>
        <v>450</v>
      </c>
      <c r="G52" s="135">
        <f t="shared" si="0"/>
        <v>4500</v>
      </c>
    </row>
    <row r="53" spans="1:8" x14ac:dyDescent="0.25">
      <c r="A53" s="132" t="s">
        <v>22</v>
      </c>
      <c r="B53" s="147" t="s">
        <v>120</v>
      </c>
      <c r="C53" s="137">
        <v>0</v>
      </c>
      <c r="D53" s="102">
        <f>'Price sheet'!B47</f>
        <v>0</v>
      </c>
      <c r="E53" s="102"/>
      <c r="F53" s="135">
        <f t="shared" ref="F53" si="3">D53*C53</f>
        <v>0</v>
      </c>
      <c r="G53" s="135">
        <f t="shared" si="0"/>
        <v>0</v>
      </c>
    </row>
    <row r="54" spans="1:8" x14ac:dyDescent="0.25">
      <c r="A54" s="132" t="s">
        <v>85</v>
      </c>
      <c r="B54" s="147" t="s">
        <v>120</v>
      </c>
      <c r="C54" s="137">
        <v>1</v>
      </c>
      <c r="D54" s="102">
        <f>'Price sheet'!B48</f>
        <v>900</v>
      </c>
      <c r="E54" s="102"/>
      <c r="F54" s="135">
        <f>D54*C54</f>
        <v>900</v>
      </c>
      <c r="G54" s="135">
        <f t="shared" si="0"/>
        <v>9000</v>
      </c>
    </row>
    <row r="55" spans="1:8" x14ac:dyDescent="0.25">
      <c r="A55" s="132" t="s">
        <v>109</v>
      </c>
      <c r="B55" s="147" t="s">
        <v>120</v>
      </c>
      <c r="C55" s="137">
        <v>1</v>
      </c>
      <c r="D55" s="146">
        <f>'Price sheet'!B49</f>
        <v>0.11</v>
      </c>
      <c r="E55" s="102"/>
      <c r="F55" s="135">
        <f>C55*(D55*($F$21+$F$23+$F$30+$F$32+((SUM(F45:F54))))*6/12)</f>
        <v>450.59894000000003</v>
      </c>
      <c r="G55" s="135">
        <f t="shared" si="0"/>
        <v>4505.9894000000004</v>
      </c>
    </row>
    <row r="56" spans="1:8" ht="15.75" thickBot="1" x14ac:dyDescent="0.3">
      <c r="A56" s="66" t="s">
        <v>23</v>
      </c>
      <c r="B56" s="65"/>
      <c r="C56" s="65"/>
      <c r="D56" s="65"/>
      <c r="E56" s="65"/>
      <c r="F56" s="131">
        <f>F21+F23+F30+F32+SUM(F45:F55)</f>
        <v>8643.3069400000004</v>
      </c>
      <c r="G56" s="131">
        <f>G21+G23+G30+G32+SUM(G45:G55)</f>
        <v>86433.069400000008</v>
      </c>
    </row>
    <row r="57" spans="1:8" x14ac:dyDescent="0.25">
      <c r="A57" s="46"/>
      <c r="B57" s="46"/>
      <c r="C57" s="46"/>
      <c r="D57" s="46"/>
      <c r="E57" s="46"/>
      <c r="F57" s="47"/>
      <c r="G57" s="47"/>
      <c r="H57" s="46"/>
    </row>
    <row r="58" spans="1:8" x14ac:dyDescent="0.25">
      <c r="A58" s="18" t="s">
        <v>24</v>
      </c>
      <c r="B58" s="46"/>
      <c r="C58" s="46"/>
      <c r="D58" s="19"/>
      <c r="E58" s="46"/>
      <c r="F58" s="46"/>
      <c r="G58" s="46"/>
      <c r="H58" s="46"/>
    </row>
    <row r="59" spans="1:8" x14ac:dyDescent="0.25">
      <c r="A59" s="20" t="s">
        <v>25</v>
      </c>
      <c r="B59" s="21">
        <f>B17-G56</f>
        <v>23810.930599999992</v>
      </c>
      <c r="C59" s="46"/>
      <c r="D59" s="46"/>
      <c r="E59" s="46"/>
      <c r="F59" s="46"/>
      <c r="G59" s="46"/>
      <c r="H59" s="46"/>
    </row>
    <row r="60" spans="1:8" x14ac:dyDescent="0.25">
      <c r="A60" s="22" t="s">
        <v>26</v>
      </c>
      <c r="B60" s="23">
        <f>B15-F56</f>
        <v>2381.0930599999992</v>
      </c>
      <c r="C60" s="46"/>
      <c r="D60" s="46"/>
      <c r="E60" s="46"/>
      <c r="F60" s="46"/>
      <c r="G60" s="46"/>
      <c r="H60" s="46"/>
    </row>
    <row r="61" spans="1:8" x14ac:dyDescent="0.25">
      <c r="A61" s="22" t="s">
        <v>27</v>
      </c>
      <c r="B61" s="23">
        <f>B60/B9</f>
        <v>1984.244216666666</v>
      </c>
      <c r="C61" s="46"/>
      <c r="D61" s="46"/>
      <c r="E61" s="46"/>
      <c r="F61" s="46"/>
      <c r="G61" s="46"/>
      <c r="H61" s="46"/>
    </row>
    <row r="62" spans="1:8" x14ac:dyDescent="0.25">
      <c r="A62" s="184" t="s">
        <v>103</v>
      </c>
      <c r="B62" s="185">
        <f>F56/B13</f>
        <v>0.94081930336344843</v>
      </c>
      <c r="C62" s="46"/>
      <c r="D62" s="46"/>
      <c r="E62" s="46"/>
      <c r="F62" s="46"/>
      <c r="G62" s="46"/>
      <c r="H62" s="46"/>
    </row>
    <row r="63" spans="1:8" x14ac:dyDescent="0.25">
      <c r="A63" s="46"/>
      <c r="B63" s="46"/>
      <c r="C63" s="46"/>
      <c r="D63" s="46"/>
      <c r="E63" s="46"/>
      <c r="F63" s="46"/>
      <c r="G63" s="46"/>
      <c r="H63" s="46"/>
    </row>
    <row r="64" spans="1:8" x14ac:dyDescent="0.25">
      <c r="A64" s="15" t="s">
        <v>28</v>
      </c>
      <c r="B64" s="245" t="s">
        <v>47</v>
      </c>
      <c r="C64" s="246"/>
      <c r="D64" s="246"/>
      <c r="E64" s="246"/>
      <c r="F64" s="246"/>
      <c r="G64" s="247"/>
    </row>
    <row r="65" spans="1:7" x14ac:dyDescent="0.25">
      <c r="A65" s="25" t="s">
        <v>29</v>
      </c>
      <c r="B65" s="44">
        <f t="shared" ref="B65:C65" si="4">C65-500</f>
        <v>7687</v>
      </c>
      <c r="C65" s="44">
        <f t="shared" si="4"/>
        <v>8187</v>
      </c>
      <c r="D65" s="44">
        <f>E65-500</f>
        <v>8687</v>
      </c>
      <c r="E65" s="44">
        <f>B13</f>
        <v>9187</v>
      </c>
      <c r="F65" s="44">
        <f>E65+500</f>
        <v>9687</v>
      </c>
      <c r="G65" s="44">
        <f>F65+500</f>
        <v>10187</v>
      </c>
    </row>
    <row r="66" spans="1:7" x14ac:dyDescent="0.25">
      <c r="A66" s="67">
        <f>A67-0.2</f>
        <v>0.60000000000000009</v>
      </c>
      <c r="B66" s="55">
        <f t="shared" ref="B66:G72" si="5">B$65-($F$56/$A66)</f>
        <v>-6718.5115666666643</v>
      </c>
      <c r="C66" s="55">
        <f t="shared" si="5"/>
        <v>-6218.5115666666643</v>
      </c>
      <c r="D66" s="55">
        <f t="shared" si="5"/>
        <v>-5718.5115666666643</v>
      </c>
      <c r="E66" s="55">
        <f t="shared" si="5"/>
        <v>-5218.5115666666643</v>
      </c>
      <c r="F66" s="55">
        <f t="shared" si="5"/>
        <v>-4718.5115666666643</v>
      </c>
      <c r="G66" s="55">
        <f t="shared" si="5"/>
        <v>-4218.5115666666643</v>
      </c>
    </row>
    <row r="67" spans="1:7" x14ac:dyDescent="0.25">
      <c r="A67" s="67">
        <f>A68-0.2</f>
        <v>0.8</v>
      </c>
      <c r="B67" s="55">
        <f t="shared" si="5"/>
        <v>-3117.1336749999991</v>
      </c>
      <c r="C67" s="55">
        <f t="shared" si="5"/>
        <v>-2617.1336749999991</v>
      </c>
      <c r="D67" s="55">
        <f t="shared" si="5"/>
        <v>-2117.1336749999991</v>
      </c>
      <c r="E67" s="55">
        <f t="shared" si="5"/>
        <v>-1617.1336749999991</v>
      </c>
      <c r="F67" s="55">
        <f t="shared" si="5"/>
        <v>-1117.1336749999991</v>
      </c>
      <c r="G67" s="55">
        <f t="shared" si="5"/>
        <v>-617.13367499999913</v>
      </c>
    </row>
    <row r="68" spans="1:7" x14ac:dyDescent="0.25">
      <c r="A68" s="67">
        <f>A69-0.2</f>
        <v>1</v>
      </c>
      <c r="B68" s="55">
        <f t="shared" si="5"/>
        <v>-956.3069400000004</v>
      </c>
      <c r="C68" s="55">
        <f t="shared" si="5"/>
        <v>-456.3069400000004</v>
      </c>
      <c r="D68" s="55">
        <f t="shared" si="5"/>
        <v>43.693059999999605</v>
      </c>
      <c r="E68" s="55">
        <f t="shared" si="5"/>
        <v>543.6930599999996</v>
      </c>
      <c r="F68" s="55">
        <f t="shared" si="5"/>
        <v>1043.6930599999996</v>
      </c>
      <c r="G68" s="55">
        <f t="shared" si="5"/>
        <v>1543.6930599999996</v>
      </c>
    </row>
    <row r="69" spans="1:7" x14ac:dyDescent="0.25">
      <c r="A69" s="27">
        <f>B9</f>
        <v>1.2</v>
      </c>
      <c r="B69" s="55">
        <f t="shared" si="5"/>
        <v>484.24421666666603</v>
      </c>
      <c r="C69" s="55">
        <f t="shared" si="5"/>
        <v>984.24421666666603</v>
      </c>
      <c r="D69" s="55">
        <f t="shared" si="5"/>
        <v>1484.244216666666</v>
      </c>
      <c r="E69" s="55">
        <f t="shared" si="5"/>
        <v>1984.244216666666</v>
      </c>
      <c r="F69" s="55">
        <f t="shared" si="5"/>
        <v>2484.244216666666</v>
      </c>
      <c r="G69" s="55">
        <f t="shared" si="5"/>
        <v>2984.244216666666</v>
      </c>
    </row>
    <row r="70" spans="1:7" x14ac:dyDescent="0.25">
      <c r="A70" s="67">
        <f>A69+0.2</f>
        <v>1.4</v>
      </c>
      <c r="B70" s="55">
        <f t="shared" si="5"/>
        <v>1513.2093285714282</v>
      </c>
      <c r="C70" s="55">
        <f t="shared" si="5"/>
        <v>2013.2093285714282</v>
      </c>
      <c r="D70" s="55">
        <f t="shared" si="5"/>
        <v>2513.2093285714282</v>
      </c>
      <c r="E70" s="55">
        <f t="shared" si="5"/>
        <v>3013.2093285714282</v>
      </c>
      <c r="F70" s="55">
        <f t="shared" si="5"/>
        <v>3513.2093285714282</v>
      </c>
      <c r="G70" s="55">
        <f t="shared" si="5"/>
        <v>4013.2093285714282</v>
      </c>
    </row>
    <row r="71" spans="1:7" x14ac:dyDescent="0.25">
      <c r="A71" s="67">
        <f>A70+0.2</f>
        <v>1.5999999999999999</v>
      </c>
      <c r="B71" s="55">
        <f t="shared" si="5"/>
        <v>2284.9331624999995</v>
      </c>
      <c r="C71" s="55">
        <f t="shared" si="5"/>
        <v>2784.9331624999995</v>
      </c>
      <c r="D71" s="55">
        <f t="shared" si="5"/>
        <v>3284.9331624999995</v>
      </c>
      <c r="E71" s="55">
        <f t="shared" si="5"/>
        <v>3784.9331624999995</v>
      </c>
      <c r="F71" s="55">
        <f t="shared" si="5"/>
        <v>4284.9331624999995</v>
      </c>
      <c r="G71" s="55">
        <f t="shared" si="5"/>
        <v>4784.9331624999995</v>
      </c>
    </row>
    <row r="72" spans="1:7" ht="15.75" thickBot="1" x14ac:dyDescent="0.3">
      <c r="A72" s="67">
        <f>A71+0.2</f>
        <v>1.7999999999999998</v>
      </c>
      <c r="B72" s="55">
        <f>B$65-($F$56/$A72)</f>
        <v>2885.1628111111104</v>
      </c>
      <c r="C72" s="55">
        <f t="shared" si="5"/>
        <v>3385.1628111111104</v>
      </c>
      <c r="D72" s="55">
        <f t="shared" si="5"/>
        <v>3885.1628111111104</v>
      </c>
      <c r="E72" s="55">
        <f t="shared" si="5"/>
        <v>4385.1628111111104</v>
      </c>
      <c r="F72" s="55">
        <f t="shared" si="5"/>
        <v>4885.1628111111104</v>
      </c>
      <c r="G72" s="55">
        <f t="shared" si="5"/>
        <v>5385.1628111111104</v>
      </c>
    </row>
    <row r="73" spans="1:7" ht="35.450000000000003" customHeight="1" thickBot="1" x14ac:dyDescent="0.3">
      <c r="A73" s="240" t="s">
        <v>65</v>
      </c>
      <c r="B73" s="241"/>
      <c r="C73" s="241"/>
      <c r="D73" s="241"/>
      <c r="E73" s="241"/>
      <c r="F73" s="241"/>
      <c r="G73" s="242"/>
    </row>
  </sheetData>
  <mergeCells count="3">
    <mergeCell ref="A1:G1"/>
    <mergeCell ref="B64:G64"/>
    <mergeCell ref="A73:G73"/>
  </mergeCells>
  <conditionalFormatting sqref="B66:G72">
    <cfRule type="cellIs" dxfId="5" priority="1" operator="lessThan">
      <formula>0</formula>
    </cfRule>
    <cfRule type="cellIs" dxfId="4" priority="2" operator="greaterThan">
      <formula>0</formula>
    </cfRule>
    <cfRule type="cellIs" dxfId="3" priority="3" operator="lessThan">
      <formula>$G$56</formula>
    </cfRule>
  </conditionalFormatting>
  <pageMargins left="0.70866141732283472" right="0.70866141732283472" top="0.74803149606299213" bottom="0.74803149606299213" header="0.31496062992125984" footer="0.31496062992125984"/>
  <pageSetup paperSize="9" scale="6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90" zoomScaleNormal="90" zoomScaleSheetLayoutView="85" workbookViewId="0">
      <selection activeCell="J7" sqref="J7"/>
    </sheetView>
  </sheetViews>
  <sheetFormatPr defaultColWidth="9.140625" defaultRowHeight="15" x14ac:dyDescent="0.25"/>
  <cols>
    <col min="1" max="1" width="33.140625" style="70" customWidth="1"/>
    <col min="2" max="6" width="13.140625" style="70" customWidth="1"/>
    <col min="7" max="7" width="17.140625" style="70" customWidth="1"/>
    <col min="8" max="8" width="15.85546875" style="70" customWidth="1"/>
    <col min="9" max="9" width="9.28515625" style="70" bestFit="1" customWidth="1"/>
    <col min="10" max="10" width="9.5703125" style="70" bestFit="1" customWidth="1"/>
    <col min="11" max="16384" width="9.140625" style="70"/>
  </cols>
  <sheetData>
    <row r="1" spans="1:10" s="101" customFormat="1" ht="18.75" customHeight="1" x14ac:dyDescent="0.25">
      <c r="A1" s="243" t="s">
        <v>116</v>
      </c>
      <c r="B1" s="244"/>
      <c r="C1" s="244"/>
      <c r="D1" s="244"/>
      <c r="E1" s="244"/>
      <c r="F1" s="244"/>
      <c r="G1" s="244"/>
      <c r="H1" s="60"/>
    </row>
    <row r="2" spans="1:10" s="101" customFormat="1" ht="17.45" customHeight="1" x14ac:dyDescent="0.25">
      <c r="A2" s="148"/>
      <c r="B2" s="149"/>
      <c r="C2" s="149"/>
      <c r="D2" s="149"/>
      <c r="E2" s="149"/>
      <c r="F2" s="149"/>
      <c r="G2" s="149"/>
      <c r="H2" s="60"/>
    </row>
    <row r="3" spans="1:10" x14ac:dyDescent="0.25">
      <c r="A3" s="64" t="s">
        <v>117</v>
      </c>
      <c r="B3" s="64" t="s">
        <v>118</v>
      </c>
      <c r="C3" s="64"/>
      <c r="D3" s="64"/>
    </row>
    <row r="4" spans="1:10" ht="13.9" customHeight="1" x14ac:dyDescent="0.25">
      <c r="A4" s="71"/>
      <c r="B4" s="72" t="str">
        <f>PROPER(A3)</f>
        <v>Cotton</v>
      </c>
    </row>
    <row r="5" spans="1:10" x14ac:dyDescent="0.25">
      <c r="A5" s="73" t="str">
        <f>"Area for "&amp;B4&amp;"."</f>
        <v>Area for Cotton.</v>
      </c>
      <c r="B5" s="74">
        <v>10</v>
      </c>
      <c r="C5" s="75" t="s">
        <v>2</v>
      </c>
      <c r="I5" s="76"/>
      <c r="J5" s="76"/>
    </row>
    <row r="6" spans="1:10" x14ac:dyDescent="0.25">
      <c r="I6" s="76"/>
    </row>
    <row r="7" spans="1:10" ht="30.75" customHeight="1" x14ac:dyDescent="0.25">
      <c r="A7" s="77" t="str">
        <f>"TOTAL INCOME FOR "&amp;A3</f>
        <v>TOTAL INCOME FOR COTTON</v>
      </c>
      <c r="B7" s="78" t="s">
        <v>4</v>
      </c>
      <c r="D7" s="76"/>
      <c r="E7" s="76"/>
      <c r="F7" s="76"/>
    </row>
    <row r="8" spans="1:10" x14ac:dyDescent="0.25">
      <c r="A8" s="49" t="s">
        <v>44</v>
      </c>
      <c r="B8" s="79">
        <v>1.5</v>
      </c>
      <c r="D8" s="76"/>
      <c r="E8" s="76"/>
      <c r="F8" s="76"/>
    </row>
    <row r="9" spans="1:10" x14ac:dyDescent="0.25">
      <c r="A9" s="49"/>
      <c r="B9" s="80"/>
      <c r="D9" s="76"/>
      <c r="E9" s="76"/>
      <c r="F9" s="76"/>
    </row>
    <row r="10" spans="1:10" x14ac:dyDescent="0.25">
      <c r="A10" s="48" t="s">
        <v>45</v>
      </c>
      <c r="B10" s="81">
        <f>'[2]Price sheet'!E5</f>
        <v>9000</v>
      </c>
      <c r="E10" s="76"/>
      <c r="F10" s="76"/>
    </row>
    <row r="11" spans="1:10" x14ac:dyDescent="0.25">
      <c r="A11" s="48" t="s">
        <v>46</v>
      </c>
      <c r="B11" s="81">
        <f>'[2]Price sheet'!E11</f>
        <v>63</v>
      </c>
      <c r="E11" s="76"/>
      <c r="F11" s="76"/>
    </row>
    <row r="12" spans="1:10" x14ac:dyDescent="0.25">
      <c r="A12" s="48" t="s">
        <v>47</v>
      </c>
      <c r="B12" s="81">
        <f t="shared" ref="B12" si="0">B10-B11</f>
        <v>8937</v>
      </c>
      <c r="E12" s="76"/>
      <c r="F12" s="76"/>
    </row>
    <row r="13" spans="1:10" x14ac:dyDescent="0.25">
      <c r="A13" s="48"/>
      <c r="B13" s="81"/>
      <c r="E13" s="76"/>
      <c r="F13" s="76"/>
    </row>
    <row r="14" spans="1:10" x14ac:dyDescent="0.25">
      <c r="A14" s="73" t="s">
        <v>6</v>
      </c>
      <c r="B14" s="81">
        <f>B8*B10</f>
        <v>13500</v>
      </c>
      <c r="E14" s="76"/>
      <c r="F14" s="76"/>
    </row>
    <row r="15" spans="1:10" x14ac:dyDescent="0.25">
      <c r="A15" s="73" t="str">
        <f>"Yield from "&amp;B4</f>
        <v>Yield from Cotton</v>
      </c>
      <c r="B15" s="82">
        <f>B5</f>
        <v>10</v>
      </c>
      <c r="E15" s="76"/>
      <c r="F15" s="76"/>
    </row>
    <row r="16" spans="1:10" ht="15.75" customHeight="1" thickBot="1" x14ac:dyDescent="0.3">
      <c r="A16" s="83" t="str">
        <f>"Actual Income for "&amp;B4&amp;" per year"</f>
        <v>Actual Income for Cotton per year</v>
      </c>
      <c r="B16" s="84">
        <f>B15*B14</f>
        <v>135000</v>
      </c>
      <c r="E16" s="85"/>
      <c r="F16" s="85"/>
    </row>
    <row r="17" spans="1:8" x14ac:dyDescent="0.25">
      <c r="B17" s="76"/>
      <c r="C17" s="76"/>
      <c r="D17" s="76"/>
      <c r="F17" s="76"/>
    </row>
    <row r="18" spans="1:8" s="89" customFormat="1" x14ac:dyDescent="0.25">
      <c r="A18" s="86" t="s">
        <v>7</v>
      </c>
      <c r="B18" s="87"/>
      <c r="C18" s="87"/>
      <c r="D18" s="87"/>
      <c r="E18" s="87"/>
      <c r="F18" s="87"/>
      <c r="G18" s="88"/>
      <c r="H18" s="88"/>
    </row>
    <row r="19" spans="1:8" s="87" customFormat="1" ht="45" x14ac:dyDescent="0.25">
      <c r="A19" s="90" t="s">
        <v>8</v>
      </c>
      <c r="B19" s="16" t="s">
        <v>61</v>
      </c>
      <c r="C19" s="16" t="s">
        <v>62</v>
      </c>
      <c r="D19" s="16" t="s">
        <v>48</v>
      </c>
      <c r="E19" s="16" t="s">
        <v>63</v>
      </c>
      <c r="F19" s="91" t="s">
        <v>9</v>
      </c>
      <c r="G19" s="91" t="str">
        <f>"Total for "&amp;B4</f>
        <v>Total for Cotton</v>
      </c>
    </row>
    <row r="20" spans="1:8" x14ac:dyDescent="0.25">
      <c r="A20" s="132" t="s">
        <v>10</v>
      </c>
      <c r="B20" s="147" t="s">
        <v>11</v>
      </c>
      <c r="C20" s="104"/>
      <c r="D20" s="121">
        <f>'[2]Price sheet'!E16</f>
        <v>140.4</v>
      </c>
      <c r="E20" s="143">
        <v>5</v>
      </c>
      <c r="F20" s="134">
        <f>D20*E20</f>
        <v>702</v>
      </c>
      <c r="G20" s="134">
        <f>F20*$B$5</f>
        <v>7020</v>
      </c>
    </row>
    <row r="21" spans="1:8" x14ac:dyDescent="0.25">
      <c r="A21" s="102"/>
      <c r="B21" s="103"/>
      <c r="C21" s="126"/>
      <c r="D21" s="112"/>
      <c r="E21" s="106"/>
      <c r="F21" s="108"/>
      <c r="G21" s="108"/>
    </row>
    <row r="22" spans="1:8" x14ac:dyDescent="0.25">
      <c r="A22" s="132" t="s">
        <v>68</v>
      </c>
      <c r="B22" s="103"/>
      <c r="C22" s="126"/>
      <c r="D22" s="112"/>
      <c r="E22" s="106"/>
      <c r="F22" s="133">
        <f>SUM(F23:F27)</f>
        <v>808.5</v>
      </c>
      <c r="G22" s="134">
        <f>F22*$B$6</f>
        <v>0</v>
      </c>
    </row>
    <row r="23" spans="1:8" x14ac:dyDescent="0.25">
      <c r="A23" s="114" t="s">
        <v>102</v>
      </c>
      <c r="B23" s="103" t="s">
        <v>11</v>
      </c>
      <c r="C23" s="137">
        <v>0</v>
      </c>
      <c r="D23" s="112">
        <f>'[2]Price sheet'!B26/20</f>
        <v>441.7</v>
      </c>
      <c r="E23" s="102">
        <v>0</v>
      </c>
      <c r="F23" s="107">
        <f>C23*D23*E23</f>
        <v>0</v>
      </c>
      <c r="G23" s="108">
        <f>F23*$B$5</f>
        <v>0</v>
      </c>
    </row>
    <row r="24" spans="1:8" x14ac:dyDescent="0.25">
      <c r="A24" s="111" t="s">
        <v>12</v>
      </c>
      <c r="B24" s="103" t="s">
        <v>11</v>
      </c>
      <c r="C24" s="137">
        <v>1</v>
      </c>
      <c r="D24" s="119">
        <f>'[2]Price sheet'!B28</f>
        <v>15.4</v>
      </c>
      <c r="E24" s="102">
        <v>35</v>
      </c>
      <c r="F24" s="107">
        <f t="shared" ref="F24:F27" si="1">C24*D24*E24</f>
        <v>539</v>
      </c>
      <c r="G24" s="108">
        <f t="shared" ref="G24:G52" si="2">F24*$B$5</f>
        <v>5390</v>
      </c>
    </row>
    <row r="25" spans="1:8" x14ac:dyDescent="0.25">
      <c r="A25" s="111" t="s">
        <v>13</v>
      </c>
      <c r="B25" s="103" t="s">
        <v>11</v>
      </c>
      <c r="C25" s="137">
        <v>1</v>
      </c>
      <c r="D25" s="119">
        <f>'[2]Price sheet'!B29</f>
        <v>38.5</v>
      </c>
      <c r="E25" s="102">
        <v>7</v>
      </c>
      <c r="F25" s="107">
        <f t="shared" si="1"/>
        <v>269.5</v>
      </c>
      <c r="G25" s="108">
        <f t="shared" si="2"/>
        <v>2695</v>
      </c>
    </row>
    <row r="26" spans="1:8" x14ac:dyDescent="0.25">
      <c r="A26" s="111" t="s">
        <v>14</v>
      </c>
      <c r="B26" s="103" t="s">
        <v>11</v>
      </c>
      <c r="C26" s="137">
        <v>1</v>
      </c>
      <c r="D26" s="119">
        <f>'[2]Price sheet'!B30</f>
        <v>12.9</v>
      </c>
      <c r="E26" s="102">
        <v>0</v>
      </c>
      <c r="F26" s="107">
        <f t="shared" si="1"/>
        <v>0</v>
      </c>
      <c r="G26" s="108">
        <f t="shared" si="2"/>
        <v>0</v>
      </c>
    </row>
    <row r="27" spans="1:8" x14ac:dyDescent="0.25">
      <c r="A27" s="114" t="s">
        <v>104</v>
      </c>
      <c r="B27" s="103" t="s">
        <v>11</v>
      </c>
      <c r="C27" s="137">
        <v>0</v>
      </c>
      <c r="D27" s="112">
        <f>'[2]Price sheet'!B27/20</f>
        <v>256.75</v>
      </c>
      <c r="E27" s="102">
        <v>0</v>
      </c>
      <c r="F27" s="107">
        <f t="shared" si="1"/>
        <v>0</v>
      </c>
      <c r="G27" s="108">
        <f t="shared" si="2"/>
        <v>0</v>
      </c>
    </row>
    <row r="28" spans="1:8" x14ac:dyDescent="0.25">
      <c r="A28" s="102"/>
      <c r="B28" s="103"/>
      <c r="C28" s="127"/>
      <c r="D28" s="112"/>
      <c r="E28" s="102"/>
      <c r="F28" s="108"/>
      <c r="G28" s="108"/>
    </row>
    <row r="29" spans="1:8" x14ac:dyDescent="0.25">
      <c r="A29" s="132" t="s">
        <v>55</v>
      </c>
      <c r="B29" s="147" t="s">
        <v>107</v>
      </c>
      <c r="C29" s="145">
        <v>1</v>
      </c>
      <c r="D29" s="112">
        <f>'[2]Price sheet'!B33</f>
        <v>500</v>
      </c>
      <c r="E29" s="106">
        <v>0.66</v>
      </c>
      <c r="F29" s="134">
        <f>C29*D29*E29</f>
        <v>330</v>
      </c>
      <c r="G29" s="134">
        <f>F29*$B$5</f>
        <v>3300</v>
      </c>
    </row>
    <row r="30" spans="1:8" x14ac:dyDescent="0.25">
      <c r="A30" s="102"/>
      <c r="B30" s="103"/>
      <c r="C30" s="145"/>
      <c r="D30" s="112"/>
      <c r="E30" s="106"/>
      <c r="F30" s="108"/>
      <c r="G30" s="108"/>
    </row>
    <row r="31" spans="1:8" x14ac:dyDescent="0.25">
      <c r="A31" s="132" t="s">
        <v>52</v>
      </c>
      <c r="B31" s="103"/>
      <c r="C31" s="145"/>
      <c r="D31" s="112"/>
      <c r="E31" s="102"/>
      <c r="F31" s="134">
        <f>SUM(F32:F42)</f>
        <v>641.60160799999994</v>
      </c>
      <c r="G31" s="134">
        <f>SUM(G32:G37)</f>
        <v>5166.9060800000007</v>
      </c>
    </row>
    <row r="32" spans="1:8" x14ac:dyDescent="0.25">
      <c r="A32" s="102" t="str">
        <f>'[2]Price sheet'!E39</f>
        <v xml:space="preserve">     Palladium 960 EC</v>
      </c>
      <c r="B32" s="103" t="s">
        <v>15</v>
      </c>
      <c r="C32" s="145">
        <v>1</v>
      </c>
      <c r="D32" s="102">
        <f>'[2]Price sheet'!G39</f>
        <v>194.33351000000002</v>
      </c>
      <c r="E32" s="102">
        <v>0.8</v>
      </c>
      <c r="F32" s="108">
        <f>C32*D32*E32</f>
        <v>155.46680800000001</v>
      </c>
      <c r="G32" s="108">
        <f>F32*$B$5</f>
        <v>1554.6680800000001</v>
      </c>
    </row>
    <row r="33" spans="1:7" x14ac:dyDescent="0.25">
      <c r="A33" s="102" t="str">
        <f>'[2]Price sheet'!E40</f>
        <v xml:space="preserve">     Roundup Power Max</v>
      </c>
      <c r="B33" s="103" t="s">
        <v>15</v>
      </c>
      <c r="C33" s="145">
        <v>1</v>
      </c>
      <c r="D33" s="102">
        <f>'[2]Price sheet'!G40</f>
        <v>73</v>
      </c>
      <c r="E33" s="102">
        <v>0.75</v>
      </c>
      <c r="F33" s="108">
        <f>C33*D33*E33</f>
        <v>54.75</v>
      </c>
      <c r="G33" s="108">
        <f>F33*$B$5</f>
        <v>547.5</v>
      </c>
    </row>
    <row r="34" spans="1:7" x14ac:dyDescent="0.25">
      <c r="A34" s="102" t="str">
        <f>'[2]Price sheet'!E41</f>
        <v xml:space="preserve">    Treflan</v>
      </c>
      <c r="B34" s="103" t="s">
        <v>15</v>
      </c>
      <c r="C34" s="145">
        <v>1</v>
      </c>
      <c r="D34" s="102">
        <f>'[2]Price sheet'!G41</f>
        <v>110</v>
      </c>
      <c r="E34" s="102">
        <v>1</v>
      </c>
      <c r="F34" s="108">
        <f>C34*D34*E34</f>
        <v>110</v>
      </c>
      <c r="G34" s="108">
        <f t="shared" ref="G34:G41" si="3">F34*$B$5</f>
        <v>1100</v>
      </c>
    </row>
    <row r="35" spans="1:7" x14ac:dyDescent="0.25">
      <c r="A35" s="102" t="str">
        <f>'[2]Price sheet'!E42</f>
        <v xml:space="preserve">    Add up</v>
      </c>
      <c r="B35" s="103" t="s">
        <v>15</v>
      </c>
      <c r="C35" s="145">
        <v>1</v>
      </c>
      <c r="D35" s="102">
        <f>'[2]Price sheet'!G42</f>
        <v>11</v>
      </c>
      <c r="E35" s="102">
        <v>0.75</v>
      </c>
      <c r="F35" s="108">
        <f t="shared" ref="F35:F36" si="4">C35*D35*E35</f>
        <v>8.25</v>
      </c>
      <c r="G35" s="108">
        <f t="shared" si="3"/>
        <v>82.5</v>
      </c>
    </row>
    <row r="36" spans="1:7" x14ac:dyDescent="0.25">
      <c r="A36" s="102" t="str">
        <f>'[2]Price sheet'!E43</f>
        <v xml:space="preserve">     Insectido</v>
      </c>
      <c r="B36" s="103" t="s">
        <v>15</v>
      </c>
      <c r="C36" s="145">
        <v>1</v>
      </c>
      <c r="D36" s="102">
        <f>'[2]Price sheet'!G43</f>
        <v>94.444000000000003</v>
      </c>
      <c r="E36" s="102">
        <v>0.2</v>
      </c>
      <c r="F36" s="108">
        <f t="shared" si="4"/>
        <v>18.8888</v>
      </c>
      <c r="G36" s="108">
        <f t="shared" si="3"/>
        <v>188.88800000000001</v>
      </c>
    </row>
    <row r="37" spans="1:7" x14ac:dyDescent="0.25">
      <c r="A37" s="102" t="str">
        <f>'[2]Price sheet'!E44</f>
        <v xml:space="preserve">    Abamectin Plus</v>
      </c>
      <c r="B37" s="103" t="s">
        <v>15</v>
      </c>
      <c r="C37" s="145">
        <v>1</v>
      </c>
      <c r="D37" s="102">
        <f>'[2]Price sheet'!G44</f>
        <v>338.66999999999996</v>
      </c>
      <c r="E37" s="102">
        <v>0.5</v>
      </c>
      <c r="F37" s="108">
        <f>C37*D37*E37</f>
        <v>169.33499999999998</v>
      </c>
      <c r="G37" s="108">
        <f t="shared" si="3"/>
        <v>1693.35</v>
      </c>
    </row>
    <row r="38" spans="1:7" x14ac:dyDescent="0.25">
      <c r="A38" s="102" t="str">
        <f>'[2]Price sheet'!E45</f>
        <v xml:space="preserve">    Commodobuff</v>
      </c>
      <c r="B38" s="103" t="s">
        <v>15</v>
      </c>
      <c r="C38" s="145">
        <v>1</v>
      </c>
      <c r="D38" s="102">
        <f>'[2]Price sheet'!G45</f>
        <v>31.25</v>
      </c>
      <c r="E38" s="102">
        <v>0.2</v>
      </c>
      <c r="F38" s="108">
        <f t="shared" ref="F38:F41" si="5">C38*D38*E38</f>
        <v>6.25</v>
      </c>
      <c r="G38" s="108">
        <f t="shared" si="3"/>
        <v>62.5</v>
      </c>
    </row>
    <row r="39" spans="1:7" x14ac:dyDescent="0.25">
      <c r="A39" s="102" t="str">
        <f>'[2]Price sheet'!E46</f>
        <v xml:space="preserve">    Captan</v>
      </c>
      <c r="B39" s="103" t="s">
        <v>15</v>
      </c>
      <c r="C39" s="145">
        <v>1</v>
      </c>
      <c r="D39" s="102">
        <f>'[2]Price sheet'!G46</f>
        <v>1186.6099999999999</v>
      </c>
      <c r="E39" s="102">
        <v>0.1</v>
      </c>
      <c r="F39" s="108">
        <f t="shared" si="5"/>
        <v>118.661</v>
      </c>
      <c r="G39" s="108">
        <f t="shared" si="3"/>
        <v>1186.6100000000001</v>
      </c>
    </row>
    <row r="40" spans="1:7" x14ac:dyDescent="0.25">
      <c r="A40" s="102" t="str">
        <f>'[2]Price sheet'!E47</f>
        <v xml:space="preserve">    CHEMICALS</v>
      </c>
      <c r="B40" s="103" t="s">
        <v>15</v>
      </c>
      <c r="C40" s="145">
        <v>0</v>
      </c>
      <c r="D40" s="102">
        <f>'[2]Price sheet'!G47</f>
        <v>0</v>
      </c>
      <c r="E40" s="102"/>
      <c r="F40" s="108">
        <f t="shared" si="5"/>
        <v>0</v>
      </c>
      <c r="G40" s="108">
        <f t="shared" si="3"/>
        <v>0</v>
      </c>
    </row>
    <row r="41" spans="1:7" x14ac:dyDescent="0.25">
      <c r="A41" s="102" t="str">
        <f>'[2]Price sheet'!E48</f>
        <v xml:space="preserve">    CHEMICALS</v>
      </c>
      <c r="B41" s="103" t="s">
        <v>15</v>
      </c>
      <c r="C41" s="145">
        <v>0</v>
      </c>
      <c r="D41" s="102">
        <f>'[2]Price sheet'!G48</f>
        <v>0</v>
      </c>
      <c r="E41" s="102"/>
      <c r="F41" s="108">
        <f t="shared" si="5"/>
        <v>0</v>
      </c>
      <c r="G41" s="108">
        <f t="shared" si="3"/>
        <v>0</v>
      </c>
    </row>
    <row r="42" spans="1:7" x14ac:dyDescent="0.25">
      <c r="A42" s="114"/>
      <c r="B42" s="103"/>
      <c r="C42" s="145"/>
      <c r="D42" s="112"/>
      <c r="E42" s="102"/>
      <c r="F42" s="108"/>
      <c r="G42" s="108"/>
    </row>
    <row r="43" spans="1:7" x14ac:dyDescent="0.25">
      <c r="A43" s="132" t="s">
        <v>16</v>
      </c>
      <c r="B43" s="147" t="s">
        <v>119</v>
      </c>
      <c r="C43" s="145">
        <v>1</v>
      </c>
      <c r="D43" s="112">
        <f>'[2]Price sheet'!E26</f>
        <v>11</v>
      </c>
      <c r="E43" s="106">
        <v>75</v>
      </c>
      <c r="F43" s="134">
        <f>C43*D43*E43</f>
        <v>825</v>
      </c>
      <c r="G43" s="134">
        <f t="shared" si="2"/>
        <v>8250</v>
      </c>
    </row>
    <row r="44" spans="1:7" x14ac:dyDescent="0.25">
      <c r="A44" s="132" t="s">
        <v>74</v>
      </c>
      <c r="B44" s="147" t="s">
        <v>120</v>
      </c>
      <c r="C44" s="145">
        <v>0</v>
      </c>
      <c r="D44" s="102"/>
      <c r="E44" s="129">
        <f>'[2]Price sheet'!E22</f>
        <v>0.09</v>
      </c>
      <c r="F44" s="134">
        <f>IFERROR((C44*E44*B15),0)</f>
        <v>0</v>
      </c>
      <c r="G44" s="134">
        <f t="shared" si="2"/>
        <v>0</v>
      </c>
    </row>
    <row r="45" spans="1:7" x14ac:dyDescent="0.25">
      <c r="A45" s="132" t="s">
        <v>121</v>
      </c>
      <c r="B45" s="147"/>
      <c r="C45" s="145">
        <v>0</v>
      </c>
      <c r="D45" s="102">
        <f>'[2]Price sheet'!E21</f>
        <v>0</v>
      </c>
      <c r="E45" s="129"/>
      <c r="F45" s="134">
        <f>C45*D45</f>
        <v>0</v>
      </c>
      <c r="G45" s="134">
        <f t="shared" si="2"/>
        <v>0</v>
      </c>
    </row>
    <row r="46" spans="1:7" x14ac:dyDescent="0.25">
      <c r="A46" s="132" t="s">
        <v>106</v>
      </c>
      <c r="B46" s="147" t="s">
        <v>120</v>
      </c>
      <c r="C46" s="145">
        <v>1</v>
      </c>
      <c r="D46" s="102">
        <f>'[2]Price sheet'!E27</f>
        <v>16.62</v>
      </c>
      <c r="E46" s="106">
        <v>40</v>
      </c>
      <c r="F46" s="133">
        <f>C46*D46*E46</f>
        <v>664.80000000000007</v>
      </c>
      <c r="G46" s="134">
        <f t="shared" si="2"/>
        <v>6648.0000000000009</v>
      </c>
    </row>
    <row r="47" spans="1:7" x14ac:dyDescent="0.25">
      <c r="A47" s="171" t="s">
        <v>122</v>
      </c>
      <c r="B47" s="147" t="s">
        <v>120</v>
      </c>
      <c r="C47" s="145">
        <v>0</v>
      </c>
      <c r="D47" s="102">
        <f>'[2]Price sheet'!$E$28</f>
        <v>175</v>
      </c>
      <c r="E47" s="106">
        <v>2</v>
      </c>
      <c r="F47" s="133">
        <f>C47*D47*E47</f>
        <v>0</v>
      </c>
      <c r="G47" s="134">
        <f t="shared" si="2"/>
        <v>0</v>
      </c>
    </row>
    <row r="48" spans="1:7" x14ac:dyDescent="0.25">
      <c r="A48" s="132" t="s">
        <v>73</v>
      </c>
      <c r="B48" s="147" t="s">
        <v>120</v>
      </c>
      <c r="C48" s="145">
        <v>1</v>
      </c>
      <c r="D48" s="112">
        <f>'[2]Price sheet'!E18</f>
        <v>833.33333333333337</v>
      </c>
      <c r="E48" s="102"/>
      <c r="F48" s="135">
        <f>D48*C48</f>
        <v>833.33333333333337</v>
      </c>
      <c r="G48" s="134">
        <f t="shared" si="2"/>
        <v>8333.3333333333339</v>
      </c>
    </row>
    <row r="49" spans="1:7" s="92" customFormat="1" x14ac:dyDescent="0.25">
      <c r="A49" s="132" t="s">
        <v>71</v>
      </c>
      <c r="B49" s="147" t="s">
        <v>120</v>
      </c>
      <c r="C49" s="145">
        <v>1</v>
      </c>
      <c r="D49" s="112">
        <f>'[2]Price sheet'!E19</f>
        <v>320</v>
      </c>
      <c r="E49" s="102">
        <f>IF($B$12=0,0,(F20+F22+F29+F31+F43+F44+F45+F46+F47+F48+F50+F51+F52+F53)/$B$12)</f>
        <v>0.62495635463056209</v>
      </c>
      <c r="F49" s="135">
        <f>D49*C49*E49</f>
        <v>199.98603348177988</v>
      </c>
      <c r="G49" s="134">
        <f t="shared" si="2"/>
        <v>1999.860334817799</v>
      </c>
    </row>
    <row r="50" spans="1:7" x14ac:dyDescent="0.25">
      <c r="A50" s="132" t="s">
        <v>19</v>
      </c>
      <c r="B50" s="103" t="s">
        <v>20</v>
      </c>
      <c r="C50" s="145">
        <v>1</v>
      </c>
      <c r="D50" s="112">
        <f>'[2]Price sheet'!E20</f>
        <v>40</v>
      </c>
      <c r="E50" s="106">
        <v>40</v>
      </c>
      <c r="F50" s="135">
        <f>D50*C50*E50*(B8/20)</f>
        <v>120</v>
      </c>
      <c r="G50" s="134">
        <f t="shared" si="2"/>
        <v>1200</v>
      </c>
    </row>
    <row r="51" spans="1:7" x14ac:dyDescent="0.25">
      <c r="A51" s="132" t="s">
        <v>21</v>
      </c>
      <c r="B51" s="147" t="s">
        <v>120</v>
      </c>
      <c r="C51" s="145">
        <v>1</v>
      </c>
      <c r="D51" s="102">
        <f>'[2]Price sheet'!E29</f>
        <v>0.8</v>
      </c>
      <c r="E51" s="102"/>
      <c r="F51" s="135">
        <f>C51*(F43*D51)</f>
        <v>660</v>
      </c>
      <c r="G51" s="134">
        <f t="shared" si="2"/>
        <v>6600</v>
      </c>
    </row>
    <row r="52" spans="1:7" x14ac:dyDescent="0.25">
      <c r="A52" s="132" t="s">
        <v>22</v>
      </c>
      <c r="B52" s="147" t="s">
        <v>120</v>
      </c>
      <c r="C52" s="145">
        <v>0</v>
      </c>
      <c r="D52" s="102">
        <f>'[2]Price sheet'!E30</f>
        <v>0</v>
      </c>
      <c r="E52" s="102"/>
      <c r="F52" s="135">
        <f>D52*C52</f>
        <v>0</v>
      </c>
      <c r="G52" s="134">
        <f t="shared" si="2"/>
        <v>0</v>
      </c>
    </row>
    <row r="53" spans="1:7" x14ac:dyDescent="0.25">
      <c r="A53" s="132" t="s">
        <v>85</v>
      </c>
      <c r="B53" s="147" t="s">
        <v>120</v>
      </c>
      <c r="C53" s="137">
        <v>0</v>
      </c>
      <c r="D53" s="102">
        <f>'[2]Price sheet'!E31</f>
        <v>900</v>
      </c>
      <c r="E53" s="102"/>
      <c r="F53" s="135">
        <f>D53*C53</f>
        <v>0</v>
      </c>
      <c r="G53" s="135">
        <f>F53*$B$5</f>
        <v>0</v>
      </c>
    </row>
    <row r="54" spans="1:7" s="101" customFormat="1" x14ac:dyDescent="0.25">
      <c r="A54" s="132" t="s">
        <v>109</v>
      </c>
      <c r="B54" s="147" t="s">
        <v>120</v>
      </c>
      <c r="C54" s="137">
        <v>1</v>
      </c>
      <c r="D54" s="146">
        <f>'[2]Price sheet'!E32</f>
        <v>0.105</v>
      </c>
      <c r="E54" s="102"/>
      <c r="F54" s="135">
        <f>C54*(D54*($F$20+$F$22+$F$29+$F$31+((SUM(F43:F53))))*6/12)</f>
        <v>303.72410117779344</v>
      </c>
      <c r="G54" s="135">
        <f>F54*$B$5</f>
        <v>3037.2410117779345</v>
      </c>
    </row>
    <row r="55" spans="1:7" ht="15.75" thickBot="1" x14ac:dyDescent="0.3">
      <c r="A55" s="93" t="s">
        <v>23</v>
      </c>
      <c r="F55" s="130">
        <f>F20+F22+F29+F31+SUM(F43:F54)</f>
        <v>6088.9450759929068</v>
      </c>
      <c r="G55" s="130">
        <f>G20+G22+G29+G31+SUM(G43:G54)</f>
        <v>51555.340759929073</v>
      </c>
    </row>
    <row r="56" spans="1:7" x14ac:dyDescent="0.25">
      <c r="F56" s="71"/>
      <c r="G56" s="71"/>
    </row>
    <row r="57" spans="1:7" x14ac:dyDescent="0.25">
      <c r="A57" s="94" t="s">
        <v>24</v>
      </c>
    </row>
    <row r="58" spans="1:7" x14ac:dyDescent="0.25">
      <c r="A58" s="20" t="s">
        <v>25</v>
      </c>
      <c r="B58" s="21">
        <f>B16-G55</f>
        <v>83444.659240070934</v>
      </c>
    </row>
    <row r="59" spans="1:7" x14ac:dyDescent="0.25">
      <c r="A59" s="22" t="s">
        <v>26</v>
      </c>
      <c r="B59" s="23">
        <f>B14-F55</f>
        <v>7411.0549240070932</v>
      </c>
    </row>
    <row r="60" spans="1:7" x14ac:dyDescent="0.25">
      <c r="A60" s="22" t="s">
        <v>27</v>
      </c>
      <c r="B60" s="23">
        <f>B59/B8</f>
        <v>4940.7032826713958</v>
      </c>
    </row>
    <row r="61" spans="1:7" x14ac:dyDescent="0.25">
      <c r="A61" s="24" t="s">
        <v>103</v>
      </c>
      <c r="B61" s="136">
        <f>F55/B12</f>
        <v>0.68131868367381743</v>
      </c>
    </row>
    <row r="63" spans="1:7" x14ac:dyDescent="0.25">
      <c r="A63" s="90" t="s">
        <v>28</v>
      </c>
      <c r="B63" s="245" t="s">
        <v>47</v>
      </c>
      <c r="C63" s="246"/>
      <c r="D63" s="246"/>
      <c r="E63" s="246"/>
      <c r="F63" s="246"/>
      <c r="G63" s="247"/>
    </row>
    <row r="64" spans="1:7" x14ac:dyDescent="0.25">
      <c r="A64" s="95" t="s">
        <v>29</v>
      </c>
      <c r="B64" s="96">
        <f>C64-200</f>
        <v>8337</v>
      </c>
      <c r="C64" s="96">
        <f>D64-200</f>
        <v>8537</v>
      </c>
      <c r="D64" s="96">
        <f>E64-200</f>
        <v>8737</v>
      </c>
      <c r="E64" s="96">
        <f>B12</f>
        <v>8937</v>
      </c>
      <c r="F64" s="96">
        <f>E64+200</f>
        <v>9137</v>
      </c>
      <c r="G64" s="96">
        <f>F64+200</f>
        <v>9337</v>
      </c>
    </row>
    <row r="65" spans="1:8" s="98" customFormat="1" x14ac:dyDescent="0.25">
      <c r="A65" s="97">
        <f>A66-0.4</f>
        <v>0.30000000000000004</v>
      </c>
      <c r="B65" s="55">
        <f t="shared" ref="B65:G71" si="6">B$64-($F$55/$A65)</f>
        <v>-11959.483586643018</v>
      </c>
      <c r="C65" s="55">
        <f t="shared" si="6"/>
        <v>-11759.483586643018</v>
      </c>
      <c r="D65" s="55">
        <f t="shared" si="6"/>
        <v>-11559.483586643018</v>
      </c>
      <c r="E65" s="55">
        <f t="shared" si="6"/>
        <v>-11359.483586643018</v>
      </c>
      <c r="F65" s="55">
        <f t="shared" si="6"/>
        <v>-11159.483586643018</v>
      </c>
      <c r="G65" s="55">
        <f t="shared" si="6"/>
        <v>-10959.483586643018</v>
      </c>
    </row>
    <row r="66" spans="1:8" s="98" customFormat="1" x14ac:dyDescent="0.25">
      <c r="A66" s="97">
        <f>A67-0.4</f>
        <v>0.70000000000000007</v>
      </c>
      <c r="B66" s="55">
        <f t="shared" si="6"/>
        <v>-361.49296570415208</v>
      </c>
      <c r="C66" s="55">
        <f t="shared" si="6"/>
        <v>-161.49296570415208</v>
      </c>
      <c r="D66" s="55">
        <f t="shared" si="6"/>
        <v>38.507034295847916</v>
      </c>
      <c r="E66" s="55">
        <f t="shared" si="6"/>
        <v>238.50703429584792</v>
      </c>
      <c r="F66" s="55">
        <f t="shared" si="6"/>
        <v>438.50703429584792</v>
      </c>
      <c r="G66" s="55">
        <f t="shared" si="6"/>
        <v>638.50703429584792</v>
      </c>
    </row>
    <row r="67" spans="1:8" s="98" customFormat="1" x14ac:dyDescent="0.25">
      <c r="A67" s="97">
        <f>A68-0.4</f>
        <v>1.1000000000000001</v>
      </c>
      <c r="B67" s="55">
        <f t="shared" si="6"/>
        <v>2801.5953854609943</v>
      </c>
      <c r="C67" s="55">
        <f t="shared" si="6"/>
        <v>3001.5953854609943</v>
      </c>
      <c r="D67" s="55">
        <f t="shared" si="6"/>
        <v>3201.5953854609943</v>
      </c>
      <c r="E67" s="55">
        <f t="shared" si="6"/>
        <v>3401.5953854609943</v>
      </c>
      <c r="F67" s="55">
        <f t="shared" si="6"/>
        <v>3601.5953854609943</v>
      </c>
      <c r="G67" s="55">
        <f t="shared" si="6"/>
        <v>3801.5953854609943</v>
      </c>
    </row>
    <row r="68" spans="1:8" s="98" customFormat="1" x14ac:dyDescent="0.25">
      <c r="A68" s="97">
        <f>B8</f>
        <v>1.5</v>
      </c>
      <c r="B68" s="55">
        <f t="shared" si="6"/>
        <v>4277.7032826713948</v>
      </c>
      <c r="C68" s="55">
        <f t="shared" si="6"/>
        <v>4477.7032826713948</v>
      </c>
      <c r="D68" s="55">
        <f t="shared" si="6"/>
        <v>4677.7032826713948</v>
      </c>
      <c r="E68" s="55">
        <f t="shared" si="6"/>
        <v>4877.7032826713948</v>
      </c>
      <c r="F68" s="55">
        <f t="shared" si="6"/>
        <v>5077.7032826713948</v>
      </c>
      <c r="G68" s="55">
        <f t="shared" si="6"/>
        <v>5277.7032826713948</v>
      </c>
    </row>
    <row r="69" spans="1:8" s="98" customFormat="1" x14ac:dyDescent="0.25">
      <c r="A69" s="97">
        <f>A68+0.4</f>
        <v>1.9</v>
      </c>
      <c r="B69" s="55">
        <f t="shared" si="6"/>
        <v>5132.2920652668909</v>
      </c>
      <c r="C69" s="55">
        <f t="shared" si="6"/>
        <v>5332.2920652668909</v>
      </c>
      <c r="D69" s="55">
        <f t="shared" si="6"/>
        <v>5532.2920652668909</v>
      </c>
      <c r="E69" s="55">
        <f t="shared" si="6"/>
        <v>5732.2920652668909</v>
      </c>
      <c r="F69" s="55">
        <f t="shared" si="6"/>
        <v>5932.2920652668909</v>
      </c>
      <c r="G69" s="55">
        <f t="shared" si="6"/>
        <v>6132.2920652668909</v>
      </c>
    </row>
    <row r="70" spans="1:8" s="98" customFormat="1" x14ac:dyDescent="0.25">
      <c r="A70" s="97">
        <f>A69+0.4</f>
        <v>2.2999999999999998</v>
      </c>
      <c r="B70" s="55">
        <f t="shared" si="6"/>
        <v>5689.6325756552578</v>
      </c>
      <c r="C70" s="55">
        <f t="shared" si="6"/>
        <v>5889.6325756552578</v>
      </c>
      <c r="D70" s="55">
        <f t="shared" si="6"/>
        <v>6089.6325756552578</v>
      </c>
      <c r="E70" s="55">
        <f t="shared" si="6"/>
        <v>6289.6325756552578</v>
      </c>
      <c r="F70" s="55">
        <f t="shared" si="6"/>
        <v>6489.6325756552578</v>
      </c>
      <c r="G70" s="55">
        <f t="shared" si="6"/>
        <v>6689.6325756552578</v>
      </c>
    </row>
    <row r="71" spans="1:8" s="98" customFormat="1" ht="15.75" thickBot="1" x14ac:dyDescent="0.3">
      <c r="A71" s="97">
        <f>A70+0.4</f>
        <v>2.6999999999999997</v>
      </c>
      <c r="B71" s="55">
        <f t="shared" si="6"/>
        <v>6081.8351570396644</v>
      </c>
      <c r="C71" s="55">
        <f t="shared" si="6"/>
        <v>6281.8351570396644</v>
      </c>
      <c r="D71" s="55">
        <f t="shared" si="6"/>
        <v>6481.8351570396644</v>
      </c>
      <c r="E71" s="55">
        <f t="shared" si="6"/>
        <v>6681.8351570396644</v>
      </c>
      <c r="F71" s="55">
        <f t="shared" si="6"/>
        <v>6881.8351570396644</v>
      </c>
      <c r="G71" s="55">
        <f t="shared" si="6"/>
        <v>7081.8351570396644</v>
      </c>
    </row>
    <row r="72" spans="1:8" s="98" customFormat="1" ht="43.9" customHeight="1" thickBot="1" x14ac:dyDescent="0.3">
      <c r="A72" s="240" t="s">
        <v>65</v>
      </c>
      <c r="B72" s="241"/>
      <c r="C72" s="241"/>
      <c r="D72" s="241"/>
      <c r="E72" s="241"/>
      <c r="F72" s="241"/>
      <c r="G72" s="242"/>
      <c r="H72" s="70"/>
    </row>
  </sheetData>
  <mergeCells count="3">
    <mergeCell ref="A1:G1"/>
    <mergeCell ref="B63:G63"/>
    <mergeCell ref="A72:G72"/>
  </mergeCells>
  <conditionalFormatting sqref="B65:G71">
    <cfRule type="cellIs" dxfId="2" priority="1" operator="lessThan">
      <formula>0</formula>
    </cfRule>
    <cfRule type="cellIs" dxfId="1" priority="2" operator="greaterThan">
      <formula>0</formula>
    </cfRule>
    <cfRule type="cellIs" dxfId="0" priority="3" operator="lessThan">
      <formula>$H$57</formula>
    </cfRule>
  </conditionalFormatting>
  <printOptions gridLines="1"/>
  <pageMargins left="0.47244094488188998" right="0.196850393700787" top="0.511811023622047" bottom="0.55118110236220497" header="0.511811023622047" footer="0.511811023622047"/>
  <pageSetup paperSize="9" scale="68" firstPageNumber="7" orientation="portrait" r:id="rId1"/>
  <headerFooter alignWithMargins="0">
    <oddFooter>&amp;LAnnexure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90" zoomScaleNormal="90" workbookViewId="0">
      <selection activeCell="K12" sqref="K12"/>
    </sheetView>
  </sheetViews>
  <sheetFormatPr defaultRowHeight="15" x14ac:dyDescent="0.25"/>
  <cols>
    <col min="1" max="1" width="29.28515625" customWidth="1"/>
    <col min="2" max="4" width="14.28515625" customWidth="1"/>
    <col min="5" max="5" width="14.28515625" style="222" customWidth="1"/>
  </cols>
  <sheetData>
    <row r="1" spans="1:7" s="45" customFormat="1" x14ac:dyDescent="0.25">
      <c r="A1" s="150" t="s">
        <v>146</v>
      </c>
      <c r="B1" s="151"/>
      <c r="C1" s="151"/>
      <c r="D1" s="151"/>
      <c r="E1" s="232"/>
      <c r="F1" s="151"/>
      <c r="G1" s="151"/>
    </row>
    <row r="2" spans="1:7" x14ac:dyDescent="0.25">
      <c r="A2" s="164"/>
      <c r="B2" s="165" t="s">
        <v>49</v>
      </c>
      <c r="C2" s="165" t="s">
        <v>50</v>
      </c>
      <c r="D2" s="165" t="s">
        <v>75</v>
      </c>
      <c r="E2" s="165" t="s">
        <v>140</v>
      </c>
      <c r="F2" s="151"/>
      <c r="G2" s="151"/>
    </row>
    <row r="3" spans="1:7" x14ac:dyDescent="0.25">
      <c r="A3" s="153" t="s">
        <v>42</v>
      </c>
      <c r="B3" s="154">
        <f>Maize!C9</f>
        <v>2.8</v>
      </c>
      <c r="C3" s="154">
        <f>Sunflower!C9</f>
        <v>1.2</v>
      </c>
      <c r="D3" s="154">
        <f>Soya!C8</f>
        <v>1.6</v>
      </c>
      <c r="E3" s="154">
        <f>Groundnuts!B9</f>
        <v>1.2</v>
      </c>
      <c r="F3" s="151"/>
      <c r="G3" s="151"/>
    </row>
    <row r="4" spans="1:7" s="101" customFormat="1" x14ac:dyDescent="0.25">
      <c r="A4" s="166" t="s">
        <v>113</v>
      </c>
      <c r="B4" s="152">
        <f>'Price sheet'!B3</f>
        <v>2700</v>
      </c>
      <c r="C4" s="152">
        <f>'Price sheet'!C3</f>
        <v>5120</v>
      </c>
      <c r="D4" s="152">
        <f>'Price sheet'!D3</f>
        <v>5300</v>
      </c>
      <c r="E4" s="152">
        <f>Groundnuts!B11</f>
        <v>9250</v>
      </c>
      <c r="F4" s="151"/>
      <c r="G4" s="151"/>
    </row>
    <row r="5" spans="1:7" s="101" customFormat="1" x14ac:dyDescent="0.25">
      <c r="A5" s="166" t="s">
        <v>114</v>
      </c>
      <c r="B5" s="152">
        <f>'Price sheet'!B4</f>
        <v>260</v>
      </c>
      <c r="C5" s="152">
        <f>'Price sheet'!C4</f>
        <v>295</v>
      </c>
      <c r="D5" s="152">
        <f>'Price sheet'!D4</f>
        <v>128</v>
      </c>
      <c r="E5" s="152">
        <f>Groundnuts!B12</f>
        <v>63</v>
      </c>
      <c r="F5" s="151"/>
      <c r="G5" s="151"/>
    </row>
    <row r="6" spans="1:7" s="101" customFormat="1" ht="15.75" thickBot="1" x14ac:dyDescent="0.3">
      <c r="A6" s="166" t="s">
        <v>115</v>
      </c>
      <c r="B6" s="167">
        <f>B4-B5</f>
        <v>2440</v>
      </c>
      <c r="C6" s="167">
        <f t="shared" ref="C6:D6" si="0">C4-C5</f>
        <v>4825</v>
      </c>
      <c r="D6" s="167">
        <f t="shared" si="0"/>
        <v>5172</v>
      </c>
      <c r="E6" s="167">
        <f t="shared" ref="E6" si="1">E4-E5</f>
        <v>9187</v>
      </c>
      <c r="F6" s="151"/>
      <c r="G6" s="151"/>
    </row>
    <row r="7" spans="1:7" ht="15.75" thickTop="1" x14ac:dyDescent="0.25">
      <c r="A7" s="155" t="s">
        <v>40</v>
      </c>
      <c r="B7" s="156">
        <f>B3*B6</f>
        <v>6832</v>
      </c>
      <c r="C7" s="156">
        <f t="shared" ref="C7:D7" si="2">C3*C6</f>
        <v>5790</v>
      </c>
      <c r="D7" s="156">
        <f t="shared" si="2"/>
        <v>8275.2000000000007</v>
      </c>
      <c r="E7" s="156">
        <f>E3*E6</f>
        <v>11024.4</v>
      </c>
      <c r="F7" s="151"/>
      <c r="G7" s="151"/>
    </row>
    <row r="8" spans="1:7" x14ac:dyDescent="0.25">
      <c r="A8" s="157"/>
      <c r="B8" s="158"/>
      <c r="C8" s="158"/>
      <c r="D8" s="158"/>
      <c r="E8" s="234"/>
      <c r="F8" s="151"/>
      <c r="G8" s="151"/>
    </row>
    <row r="9" spans="1:7" x14ac:dyDescent="0.25">
      <c r="A9" s="157" t="s">
        <v>41</v>
      </c>
      <c r="B9" s="158"/>
      <c r="C9" s="158"/>
      <c r="D9" s="158"/>
      <c r="E9" s="234"/>
      <c r="F9" s="151"/>
      <c r="G9" s="151"/>
    </row>
    <row r="10" spans="1:7" x14ac:dyDescent="0.25">
      <c r="A10" s="153" t="s">
        <v>32</v>
      </c>
      <c r="B10" s="159">
        <f>Maize!F21</f>
        <v>930</v>
      </c>
      <c r="C10" s="160">
        <f>Sunflower!F21</f>
        <v>462</v>
      </c>
      <c r="D10" s="160">
        <f>Soya!F20</f>
        <v>1670</v>
      </c>
      <c r="E10" s="236">
        <f>Groundnuts!F21</f>
        <v>1430</v>
      </c>
      <c r="F10" s="151"/>
      <c r="G10" s="151"/>
    </row>
    <row r="11" spans="1:7" x14ac:dyDescent="0.25">
      <c r="A11" s="153" t="s">
        <v>33</v>
      </c>
      <c r="B11" s="159">
        <f>Maize!F23</f>
        <v>1599</v>
      </c>
      <c r="C11" s="160">
        <f>Sunflower!F23</f>
        <v>1026.8</v>
      </c>
      <c r="D11" s="160">
        <f>Soya!F24</f>
        <v>0</v>
      </c>
      <c r="E11" s="236">
        <f>Groundnuts!F23</f>
        <v>488.19999999999993</v>
      </c>
      <c r="F11" s="151"/>
      <c r="G11" s="151"/>
    </row>
    <row r="12" spans="1:7" x14ac:dyDescent="0.25">
      <c r="A12" s="153" t="s">
        <v>34</v>
      </c>
      <c r="B12" s="159">
        <f>Maize!F30</f>
        <v>500</v>
      </c>
      <c r="C12" s="160">
        <f>Sunflower!F30</f>
        <v>500</v>
      </c>
      <c r="D12" s="160">
        <f>Soya!F31</f>
        <v>500</v>
      </c>
      <c r="E12" s="236">
        <f>Groundnuts!F30</f>
        <v>500</v>
      </c>
      <c r="F12" s="151"/>
      <c r="G12" s="151"/>
    </row>
    <row r="13" spans="1:7" x14ac:dyDescent="0.25">
      <c r="A13" s="153" t="s">
        <v>31</v>
      </c>
      <c r="B13" s="159">
        <f>Maize!F32</f>
        <v>706.21879551999996</v>
      </c>
      <c r="C13" s="159">
        <f>Sunflower!F32</f>
        <v>274.66983936000003</v>
      </c>
      <c r="D13" s="159">
        <f>Soya!F33</f>
        <v>883.75979776000008</v>
      </c>
      <c r="E13" s="235">
        <f>Groundnuts!F32</f>
        <v>1586.5080000000003</v>
      </c>
      <c r="F13" s="151"/>
      <c r="G13" s="151"/>
    </row>
    <row r="14" spans="1:7" x14ac:dyDescent="0.25">
      <c r="A14" s="153" t="s">
        <v>35</v>
      </c>
      <c r="B14" s="159">
        <f>Maize!F45</f>
        <v>1095</v>
      </c>
      <c r="C14" s="159">
        <f>Sunflower!F40</f>
        <v>1095</v>
      </c>
      <c r="D14" s="159">
        <f>Soya!F41</f>
        <v>1095</v>
      </c>
      <c r="E14" s="235">
        <f>Groundnuts!F45</f>
        <v>1168</v>
      </c>
      <c r="F14" s="151"/>
      <c r="G14" s="151"/>
    </row>
    <row r="15" spans="1:7" x14ac:dyDescent="0.25">
      <c r="A15" s="153" t="s">
        <v>36</v>
      </c>
      <c r="B15" s="159">
        <f>Maize!F46</f>
        <v>0</v>
      </c>
      <c r="C15" s="159">
        <f>Sunflower!F41</f>
        <v>0</v>
      </c>
      <c r="D15" s="159">
        <f>Soya!F42</f>
        <v>0</v>
      </c>
      <c r="E15" s="235">
        <f>Groundnuts!F46</f>
        <v>0</v>
      </c>
      <c r="F15" s="151"/>
      <c r="G15" s="151"/>
    </row>
    <row r="16" spans="1:7" s="222" customFormat="1" x14ac:dyDescent="0.25">
      <c r="A16" s="233" t="s">
        <v>142</v>
      </c>
      <c r="B16" s="235">
        <f>Maize!F47</f>
        <v>0</v>
      </c>
      <c r="C16" s="235">
        <f>Sunflower!F42</f>
        <v>0</v>
      </c>
      <c r="D16" s="235">
        <f>Soya!F43</f>
        <v>0</v>
      </c>
      <c r="E16" s="235">
        <f>Groundnuts!F47</f>
        <v>250</v>
      </c>
      <c r="F16" s="232"/>
      <c r="G16" s="232"/>
    </row>
    <row r="17" spans="1:7" x14ac:dyDescent="0.25">
      <c r="A17" s="153" t="s">
        <v>143</v>
      </c>
      <c r="B17" s="161">
        <f>Maize!F48</f>
        <v>300</v>
      </c>
      <c r="C17" s="159">
        <f>Sunflower!F43</f>
        <v>300</v>
      </c>
      <c r="D17" s="159">
        <f>Soya!F44</f>
        <v>300</v>
      </c>
      <c r="E17" s="235">
        <f>Groundnuts!F48</f>
        <v>700</v>
      </c>
      <c r="F17" s="151"/>
      <c r="G17" s="151"/>
    </row>
    <row r="18" spans="1:7" x14ac:dyDescent="0.25">
      <c r="A18" s="153" t="s">
        <v>144</v>
      </c>
      <c r="B18" s="159">
        <f>Maize!F49</f>
        <v>495.00000000000006</v>
      </c>
      <c r="C18" s="159">
        <f>Sunflower!F44</f>
        <v>385.00000000000006</v>
      </c>
      <c r="D18" s="159">
        <f>Soya!F45</f>
        <v>385.00000000000006</v>
      </c>
      <c r="E18" s="235">
        <f>Groundnuts!F49</f>
        <v>660</v>
      </c>
      <c r="F18" s="151"/>
      <c r="G18" s="151"/>
    </row>
    <row r="19" spans="1:7" x14ac:dyDescent="0.25">
      <c r="A19" s="153" t="s">
        <v>89</v>
      </c>
      <c r="B19" s="159">
        <f>Maize!F50</f>
        <v>0</v>
      </c>
      <c r="C19" s="159">
        <f>Sunflower!F45</f>
        <v>288.78082069222796</v>
      </c>
      <c r="D19" s="159">
        <f>Soya!F46</f>
        <v>302.77261203402941</v>
      </c>
      <c r="E19" s="235">
        <f>Groundnuts!F50</f>
        <v>0</v>
      </c>
      <c r="F19" s="151"/>
      <c r="G19" s="151"/>
    </row>
    <row r="20" spans="1:7" x14ac:dyDescent="0.25">
      <c r="A20" s="153" t="s">
        <v>37</v>
      </c>
      <c r="B20" s="159">
        <f>Maize!F51</f>
        <v>139.99999999999997</v>
      </c>
      <c r="C20" s="159">
        <f>Sunflower!F46</f>
        <v>180</v>
      </c>
      <c r="D20" s="159">
        <f>Soya!F47</f>
        <v>80</v>
      </c>
      <c r="E20" s="235">
        <f>Groundnuts!F51</f>
        <v>60</v>
      </c>
      <c r="F20" s="151"/>
      <c r="G20" s="151"/>
    </row>
    <row r="21" spans="1:7" x14ac:dyDescent="0.25">
      <c r="A21" s="153" t="s">
        <v>38</v>
      </c>
      <c r="B21" s="161">
        <f>Maize!F52</f>
        <v>450</v>
      </c>
      <c r="C21" s="159">
        <f>Sunflower!F47</f>
        <v>450</v>
      </c>
      <c r="D21" s="159">
        <f>Soya!F48</f>
        <v>450</v>
      </c>
      <c r="E21" s="235">
        <f>Groundnuts!F52</f>
        <v>450</v>
      </c>
      <c r="F21" s="151"/>
      <c r="G21" s="151"/>
    </row>
    <row r="22" spans="1:7" x14ac:dyDescent="0.25">
      <c r="A22" s="153" t="s">
        <v>39</v>
      </c>
      <c r="B22" s="159">
        <f>Maize!F53</f>
        <v>0</v>
      </c>
      <c r="C22" s="159">
        <f>Sunflower!F48</f>
        <v>0</v>
      </c>
      <c r="D22" s="159">
        <f>Soya!F49</f>
        <v>0</v>
      </c>
      <c r="E22" s="235">
        <f>Groundnuts!F53</f>
        <v>0</v>
      </c>
      <c r="F22" s="151"/>
      <c r="G22" s="151"/>
    </row>
    <row r="23" spans="1:7" s="45" customFormat="1" x14ac:dyDescent="0.25">
      <c r="A23" s="153" t="s">
        <v>90</v>
      </c>
      <c r="B23" s="159">
        <f>Maize!F54</f>
        <v>900</v>
      </c>
      <c r="C23" s="159">
        <f>Sunflower!F49</f>
        <v>900</v>
      </c>
      <c r="D23" s="159">
        <f>Soya!F50</f>
        <v>900</v>
      </c>
      <c r="E23" s="235">
        <f>Groundnuts!F54</f>
        <v>900</v>
      </c>
      <c r="F23" s="151"/>
      <c r="G23" s="151"/>
    </row>
    <row r="24" spans="1:7" s="101" customFormat="1" ht="15.75" thickBot="1" x14ac:dyDescent="0.3">
      <c r="A24" s="153" t="s">
        <v>112</v>
      </c>
      <c r="B24" s="168">
        <f>Maize!F55</f>
        <v>352.49500000000006</v>
      </c>
      <c r="C24" s="168">
        <f>Sunflower!F50</f>
        <v>322.42378630287254</v>
      </c>
      <c r="D24" s="168">
        <f>Soya!F51</f>
        <v>361.15928253867168</v>
      </c>
      <c r="E24" s="235">
        <f>Groundnuts!F55</f>
        <v>450.59894000000003</v>
      </c>
      <c r="F24" s="151"/>
      <c r="G24" s="151"/>
    </row>
    <row r="25" spans="1:7" ht="16.5" thickTop="1" thickBot="1" x14ac:dyDescent="0.3">
      <c r="A25" s="162" t="s">
        <v>43</v>
      </c>
      <c r="B25" s="169">
        <f>SUM(B10:B24)</f>
        <v>7467.7137955199996</v>
      </c>
      <c r="C25" s="169">
        <f t="shared" ref="C25:D25" si="3">SUM(C10:C24)</f>
        <v>6184.6744463551013</v>
      </c>
      <c r="D25" s="169">
        <f t="shared" si="3"/>
        <v>6927.6916923327008</v>
      </c>
      <c r="E25" s="237">
        <f t="shared" ref="E25" si="4">SUM(E10:E24)</f>
        <v>8643.3069400000004</v>
      </c>
      <c r="F25" s="151"/>
      <c r="G25" s="151"/>
    </row>
    <row r="26" spans="1:7" ht="15.75" thickTop="1" x14ac:dyDescent="0.25">
      <c r="A26" s="155" t="s">
        <v>51</v>
      </c>
      <c r="B26" s="163">
        <f>B7-B25</f>
        <v>-635.71379551999962</v>
      </c>
      <c r="C26" s="163">
        <f>C7-C25</f>
        <v>-394.67444635510128</v>
      </c>
      <c r="D26" s="163">
        <f>D7-D25</f>
        <v>1347.5083076673</v>
      </c>
      <c r="E26" s="163">
        <f>E7-E25</f>
        <v>2381.0930599999992</v>
      </c>
      <c r="F26" s="151"/>
      <c r="G26" s="151"/>
    </row>
    <row r="27" spans="1:7" ht="51" customHeight="1" x14ac:dyDescent="0.25">
      <c r="A27" s="254" t="s">
        <v>65</v>
      </c>
      <c r="B27" s="254"/>
      <c r="C27" s="254"/>
      <c r="D27" s="255"/>
      <c r="E27" s="170"/>
      <c r="F27" s="151"/>
      <c r="G27" s="151"/>
    </row>
    <row r="28" spans="1:7" x14ac:dyDescent="0.25">
      <c r="A28" s="151"/>
      <c r="B28" s="151"/>
      <c r="C28" s="151"/>
      <c r="D28" s="151"/>
      <c r="E28" s="232"/>
      <c r="F28" s="151"/>
      <c r="G28" s="151"/>
    </row>
    <row r="29" spans="1:7" x14ac:dyDescent="0.25">
      <c r="A29" s="151"/>
      <c r="B29" s="151"/>
      <c r="C29" s="151"/>
      <c r="D29" s="151"/>
      <c r="E29" s="232"/>
      <c r="F29" s="151"/>
      <c r="G29" s="151"/>
    </row>
    <row r="30" spans="1:7" x14ac:dyDescent="0.25">
      <c r="A30" s="151"/>
      <c r="B30" s="151"/>
      <c r="C30" s="151"/>
      <c r="D30" s="151"/>
      <c r="E30" s="232"/>
      <c r="F30" s="151"/>
      <c r="G30" s="151"/>
    </row>
    <row r="31" spans="1:7" x14ac:dyDescent="0.25">
      <c r="A31" s="151"/>
      <c r="B31" s="151"/>
      <c r="C31" s="151"/>
      <c r="D31" s="151"/>
      <c r="E31" s="232"/>
      <c r="F31" s="151"/>
      <c r="G31" s="151"/>
    </row>
    <row r="32" spans="1:7" x14ac:dyDescent="0.25">
      <c r="A32" s="151"/>
      <c r="B32" s="151"/>
      <c r="C32" s="151"/>
      <c r="D32" s="151"/>
      <c r="E32" s="232"/>
      <c r="F32" s="151"/>
      <c r="G32" s="151"/>
    </row>
    <row r="33" spans="1:7" x14ac:dyDescent="0.25">
      <c r="A33" s="151"/>
      <c r="B33" s="151"/>
      <c r="C33" s="151"/>
      <c r="D33" s="151"/>
      <c r="E33" s="232"/>
      <c r="F33" s="151"/>
      <c r="G33" s="151"/>
    </row>
    <row r="34" spans="1:7" x14ac:dyDescent="0.25">
      <c r="A34" s="151"/>
      <c r="B34" s="151"/>
      <c r="C34" s="151"/>
      <c r="D34" s="151"/>
      <c r="E34" s="232"/>
      <c r="F34" s="151"/>
      <c r="G34" s="151"/>
    </row>
    <row r="35" spans="1:7" x14ac:dyDescent="0.25">
      <c r="A35" s="151"/>
      <c r="B35" s="151"/>
      <c r="C35" s="151"/>
      <c r="D35" s="151"/>
      <c r="E35" s="232"/>
      <c r="F35" s="151"/>
      <c r="G35" s="151"/>
    </row>
    <row r="36" spans="1:7" x14ac:dyDescent="0.25">
      <c r="A36" s="151"/>
      <c r="B36" s="151"/>
      <c r="C36" s="151"/>
      <c r="D36" s="151"/>
      <c r="E36" s="232"/>
      <c r="F36" s="151"/>
      <c r="G36" s="151"/>
    </row>
    <row r="37" spans="1:7" x14ac:dyDescent="0.25">
      <c r="A37" s="151"/>
      <c r="B37" s="151"/>
      <c r="C37" s="151"/>
      <c r="D37" s="151"/>
      <c r="E37" s="232"/>
      <c r="F37" s="151"/>
      <c r="G37" s="151"/>
    </row>
    <row r="38" spans="1:7" x14ac:dyDescent="0.25">
      <c r="A38" s="151"/>
      <c r="B38" s="151"/>
      <c r="C38" s="151"/>
      <c r="D38" s="151"/>
      <c r="E38" s="232"/>
      <c r="F38" s="151"/>
      <c r="G38" s="151"/>
    </row>
    <row r="39" spans="1:7" x14ac:dyDescent="0.25">
      <c r="A39" s="151"/>
      <c r="B39" s="151"/>
      <c r="C39" s="151"/>
      <c r="D39" s="151"/>
      <c r="E39" s="232"/>
      <c r="F39" s="151"/>
      <c r="G39" s="151"/>
    </row>
    <row r="40" spans="1:7" x14ac:dyDescent="0.25">
      <c r="A40" s="151"/>
      <c r="B40" s="151"/>
      <c r="C40" s="151"/>
      <c r="D40" s="151"/>
      <c r="E40" s="232"/>
      <c r="F40" s="151"/>
      <c r="G40" s="151"/>
    </row>
    <row r="41" spans="1:7" x14ac:dyDescent="0.25">
      <c r="A41" s="151"/>
      <c r="B41" s="151"/>
      <c r="C41" s="151"/>
      <c r="D41" s="151"/>
      <c r="E41" s="232"/>
      <c r="F41" s="151"/>
      <c r="G41" s="151"/>
    </row>
    <row r="42" spans="1:7" x14ac:dyDescent="0.25">
      <c r="A42" s="151"/>
      <c r="B42" s="151"/>
      <c r="C42" s="151"/>
      <c r="D42" s="151"/>
      <c r="E42" s="232"/>
      <c r="F42" s="151"/>
      <c r="G42" s="151"/>
    </row>
    <row r="43" spans="1:7" x14ac:dyDescent="0.25">
      <c r="A43" s="151"/>
      <c r="B43" s="151"/>
      <c r="C43" s="151"/>
      <c r="D43" s="151"/>
      <c r="E43" s="232"/>
      <c r="F43" s="151"/>
      <c r="G43" s="151"/>
    </row>
    <row r="44" spans="1:7" x14ac:dyDescent="0.25">
      <c r="A44" s="151"/>
      <c r="B44" s="151"/>
      <c r="C44" s="151"/>
      <c r="D44" s="151"/>
      <c r="E44" s="232"/>
      <c r="F44" s="151"/>
      <c r="G44" s="151"/>
    </row>
  </sheetData>
  <mergeCells count="1">
    <mergeCell ref="A27:D27"/>
  </mergeCells>
  <conditionalFormatting sqref="B26:C26">
    <cfRule type="colorScale" priority="5">
      <colorScale>
        <cfvo type="min"/>
        <cfvo type="percentile" val="50"/>
        <cfvo type="max"/>
        <color rgb="FFF8696B"/>
        <color rgb="FFFFEB84"/>
        <color rgb="FF63BE7B"/>
      </colorScale>
    </cfRule>
  </conditionalFormatting>
  <conditionalFormatting sqref="D26">
    <cfRule type="colorScale" priority="4">
      <colorScale>
        <cfvo type="min"/>
        <cfvo type="percentile" val="50"/>
        <cfvo type="max"/>
        <color rgb="FFF8696B"/>
        <color rgb="FFFFEB84"/>
        <color rgb="FF63BE7B"/>
      </colorScale>
    </cfRule>
  </conditionalFormatting>
  <conditionalFormatting sqref="B26:D26">
    <cfRule type="colorScale" priority="3">
      <colorScale>
        <cfvo type="min"/>
        <cfvo type="percentile" val="50"/>
        <cfvo type="max"/>
        <color rgb="FFF8696B"/>
        <color rgb="FFFFEB84"/>
        <color rgb="FF63BE7B"/>
      </colorScale>
    </cfRule>
  </conditionalFormatting>
  <conditionalFormatting sqref="E26">
    <cfRule type="colorScale" priority="2">
      <colorScale>
        <cfvo type="min"/>
        <cfvo type="percentile" val="50"/>
        <cfvo type="max"/>
        <color rgb="FFF8696B"/>
        <color rgb="FFFFEB84"/>
        <color rgb="FF63BE7B"/>
      </colorScale>
    </cfRule>
  </conditionalFormatting>
  <conditionalFormatting sqref="E26">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Price sheet</vt:lpstr>
      <vt:lpstr>Maize</vt:lpstr>
      <vt:lpstr>Sunflower</vt:lpstr>
      <vt:lpstr>Soya</vt:lpstr>
      <vt:lpstr>Groundnuts</vt:lpstr>
      <vt:lpstr>Cotton</vt:lpstr>
      <vt:lpstr>Crop Comparison</vt:lpstr>
      <vt:lpstr>Cotton!Print_Area</vt:lpstr>
      <vt:lpstr>'Crop Comparison'!Print_Area</vt:lpstr>
      <vt:lpstr>Groundnuts!Print_Area</vt:lpstr>
      <vt:lpstr>Maize!Print_Area</vt:lpstr>
      <vt:lpstr>Soya!Print_Area</vt:lpstr>
      <vt:lpstr>Sunflower!Print_Area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gsa124</dc:creator>
  <cp:lastModifiedBy>miekie</cp:lastModifiedBy>
  <cp:lastPrinted>2018-07-23T11:53:17Z</cp:lastPrinted>
  <dcterms:created xsi:type="dcterms:W3CDTF">2014-07-18T10:57:35Z</dcterms:created>
  <dcterms:modified xsi:type="dcterms:W3CDTF">2019-09-15T14:24:35Z</dcterms:modified>
</cp:coreProperties>
</file>