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rainsa2019.sharepoint.com/sites/Bedryfsbediening/Shared Documents/Produksie/Produksie Begrotings/Somer gewas streke/Somer begrotings/2025-26/Jul/"/>
    </mc:Choice>
  </mc:AlternateContent>
  <xr:revisionPtr revIDLastSave="600" documentId="13_ncr:1_{4D978638-556D-40EF-879C-E480E4A6A14D}" xr6:coauthVersionLast="47" xr6:coauthVersionMax="47" xr10:uidLastSave="{1846B0AC-BDAB-4313-88BE-528C586D8F25}"/>
  <bookViews>
    <workbookView xWindow="-108" yWindow="-108" windowWidth="23256" windowHeight="12456" tabRatio="904" xr2:uid="{00000000-000D-0000-FFFF-FFFF00000000}"/>
  </bookViews>
  <sheets>
    <sheet name="Pryse + Sensatiwiteitsanalise" sheetId="34" r:id="rId1"/>
    <sheet name="W-Roundup R mielies " sheetId="19" r:id="rId2"/>
    <sheet name="W-BT Mielies vermin till" sheetId="22" state="hidden" r:id="rId3"/>
    <sheet name="Mielie Vermin Bewerk" sheetId="37" r:id="rId4"/>
    <sheet name="Sojabone" sheetId="20" r:id="rId5"/>
    <sheet name="Sojabone verminderde bewerking" sheetId="30" state="hidden" r:id="rId6"/>
    <sheet name="Sojabone Vermin bewerk" sheetId="38" r:id="rId7"/>
    <sheet name="Graansorghum" sheetId="35" r:id="rId8"/>
    <sheet name="Bes-mielies" sheetId="10" r:id="rId9"/>
    <sheet name="Crop Comparison" sheetId="36" r:id="rId10"/>
    <sheet name="Grafieke" sheetId="39" r:id="rId11"/>
  </sheets>
  <externalReferences>
    <externalReference r:id="rId12"/>
    <externalReference r:id="rId13"/>
    <externalReference r:id="rId14"/>
    <externalReference r:id="rId15"/>
    <externalReference r:id="rId16"/>
    <externalReference r:id="rId17"/>
  </externalReferences>
  <definedNames>
    <definedName name="BTopbrengspeil" localSheetId="10">'[1]W-BT Mielies'!$K$9:$K$14</definedName>
    <definedName name="BTopbrengspeil">'[2]W-BT Mielies'!$K$9:$K$14</definedName>
    <definedName name="Cultivar">[3]Seedprices!$A$3:$A$49</definedName>
    <definedName name="Opbrengspeil" localSheetId="3">'Mielie Vermin Bewerk'!$K$9:$K$14</definedName>
    <definedName name="Opbrengspeil">'W-Roundup R mielies '!$K$9:$K$14</definedName>
    <definedName name="Price80DP">[3]Seedprices!$B$3:$B$49</definedName>
    <definedName name="_xlnm.Print_Area" localSheetId="8">'Bes-mielies'!$A$1:$I$47</definedName>
    <definedName name="_xlnm.Print_Area" localSheetId="9">'Crop Comparison'!$A$1:$H$57</definedName>
    <definedName name="_xlnm.Print_Area" localSheetId="7">Graansorghum!$A$1:$I$42</definedName>
    <definedName name="_xlnm.Print_Area" localSheetId="3">'Mielie Vermin Bewerk'!$A$1:$I$46</definedName>
    <definedName name="_xlnm.Print_Area" localSheetId="4">Sojabone!$A$1:$I$42</definedName>
    <definedName name="_xlnm.Print_Area" localSheetId="6">'Sojabone Vermin bewerk'!$A$1:$I$42</definedName>
    <definedName name="_xlnm.Print_Area" localSheetId="5">'Sojabone verminderde bewerking'!$A$1:$I$39</definedName>
    <definedName name="_xlnm.Print_Area" localSheetId="2">'W-BT Mielies vermin till'!$A$1:$I$43</definedName>
    <definedName name="_xlnm.Print_Area" localSheetId="1">'W-Roundup R mielies '!$A$1:$I$46</definedName>
    <definedName name="RRLopbrengspeil">'[4]W-RR mielies Laer opbrengs '!$M$9:$M$14</definedName>
    <definedName name="Sojaopbrengspeil" localSheetId="10">[1]Sojabone!$K$9:$K$13</definedName>
    <definedName name="Sojaopbrengspeil" localSheetId="6">'Sojabone Vermin bewerk'!$K$9:$K$14</definedName>
    <definedName name="Sojaopbrengspeil">Sojabone!$K$9:$K$14</definedName>
    <definedName name="Sojaverminopbrengspeil">'Sojabone verminderde bewerking'!$K$9:$K$14</definedName>
    <definedName name="Sonopbrengspeil" localSheetId="10">[1]Sonneblom!$K$9:$K$13</definedName>
    <definedName name="Sonopbrengspeil">[2]Sonneblom!$K$9:$K$13</definedName>
    <definedName name="Sorgopbrengspeil" localSheetId="10">[1]Graansorghum!$K$9:$K$13</definedName>
    <definedName name="Sorgopbrengspeil">Graansorghum!$K$9:$K$13</definedName>
    <definedName name="Verminopbrengspeil">'W-BT Mielies vermin till'!$K$9:$K$14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6" l="1"/>
  <c r="C16" i="36"/>
  <c r="B30" i="36" l="1"/>
  <c r="B12" i="34" s="1"/>
  <c r="N12" i="19"/>
  <c r="B27" i="36"/>
  <c r="B24" i="36"/>
  <c r="B22" i="36"/>
  <c r="B20" i="36"/>
  <c r="B18" i="36"/>
  <c r="B17" i="36"/>
  <c r="B16" i="36"/>
  <c r="B15" i="36"/>
  <c r="B14" i="36"/>
  <c r="B13" i="36"/>
  <c r="B12" i="36"/>
  <c r="B11" i="36"/>
  <c r="D27" i="36"/>
  <c r="D24" i="36"/>
  <c r="D22" i="36"/>
  <c r="D20" i="36"/>
  <c r="D18" i="36"/>
  <c r="D17" i="36"/>
  <c r="D16" i="36"/>
  <c r="D15" i="36"/>
  <c r="D14" i="36"/>
  <c r="D13" i="36"/>
  <c r="D12" i="36"/>
  <c r="D11" i="36"/>
  <c r="D4" i="36"/>
  <c r="F4" i="36"/>
  <c r="E57" i="39"/>
  <c r="F27" i="36"/>
  <c r="F24" i="36"/>
  <c r="F22" i="36"/>
  <c r="F20" i="36"/>
  <c r="F18" i="36"/>
  <c r="F17" i="36"/>
  <c r="F16" i="36"/>
  <c r="F15" i="36"/>
  <c r="F14" i="36"/>
  <c r="F13" i="36"/>
  <c r="F12" i="36"/>
  <c r="F11" i="36"/>
  <c r="E27" i="36"/>
  <c r="E24" i="36"/>
  <c r="E22" i="36"/>
  <c r="E20" i="36"/>
  <c r="E18" i="36"/>
  <c r="E28" i="36"/>
  <c r="E15" i="36"/>
  <c r="E14" i="36"/>
  <c r="E13" i="36"/>
  <c r="E12" i="36"/>
  <c r="E11" i="36"/>
  <c r="E4" i="36"/>
  <c r="B5" i="36"/>
  <c r="B60" i="36" s="1"/>
  <c r="D2" i="36"/>
  <c r="F30" i="36"/>
  <c r="B42" i="39"/>
  <c r="C27" i="36"/>
  <c r="C24" i="36"/>
  <c r="C22" i="36"/>
  <c r="C20" i="36"/>
  <c r="C18" i="36"/>
  <c r="C15" i="36"/>
  <c r="C14" i="36"/>
  <c r="C13" i="36"/>
  <c r="C12" i="36"/>
  <c r="C11" i="36"/>
  <c r="C28" i="36" s="1"/>
  <c r="C4" i="36"/>
  <c r="D5" i="36"/>
  <c r="B64" i="34"/>
  <c r="B51" i="34"/>
  <c r="B6" i="36"/>
  <c r="B7" i="36" s="1"/>
  <c r="B64" i="36" s="1"/>
  <c r="G12" i="36"/>
  <c r="G13" i="36"/>
  <c r="G14" i="36"/>
  <c r="G15" i="36"/>
  <c r="G16" i="36"/>
  <c r="G17" i="36"/>
  <c r="G18" i="36"/>
  <c r="G19" i="36"/>
  <c r="G20" i="36"/>
  <c r="G21" i="36"/>
  <c r="G22" i="36"/>
  <c r="G23" i="36"/>
  <c r="G24" i="36"/>
  <c r="G25" i="36"/>
  <c r="G26" i="36"/>
  <c r="G27" i="36"/>
  <c r="B21" i="36"/>
  <c r="C21" i="36"/>
  <c r="D21" i="36"/>
  <c r="E21" i="36"/>
  <c r="F21" i="36"/>
  <c r="B23" i="36"/>
  <c r="C23" i="36"/>
  <c r="D23" i="36"/>
  <c r="E23" i="36"/>
  <c r="F23" i="36"/>
  <c r="B25" i="36"/>
  <c r="C25" i="36"/>
  <c r="D25" i="36"/>
  <c r="E25" i="36"/>
  <c r="F25" i="36"/>
  <c r="B26" i="36"/>
  <c r="C26" i="36"/>
  <c r="D26" i="36"/>
  <c r="E26" i="36"/>
  <c r="F26" i="36"/>
  <c r="G11" i="36"/>
  <c r="G4" i="36"/>
  <c r="E61" i="36"/>
  <c r="C61" i="36"/>
  <c r="B61" i="36"/>
  <c r="D36" i="38"/>
  <c r="E36" i="38" s="1"/>
  <c r="G36" i="38"/>
  <c r="M12" i="38"/>
  <c r="I25" i="38"/>
  <c r="L14" i="38" s="1"/>
  <c r="H25" i="38"/>
  <c r="L13" i="38" s="1"/>
  <c r="G25" i="38"/>
  <c r="F25" i="38"/>
  <c r="F29" i="38" s="1"/>
  <c r="F31" i="38" s="1"/>
  <c r="E25" i="38"/>
  <c r="L10" i="38" s="1"/>
  <c r="D25" i="38"/>
  <c r="L9" i="38"/>
  <c r="K14" i="38"/>
  <c r="K13" i="38"/>
  <c r="K12" i="38"/>
  <c r="K11" i="38"/>
  <c r="K10" i="38"/>
  <c r="M9" i="38"/>
  <c r="K9" i="38"/>
  <c r="D36" i="37"/>
  <c r="I36" i="37" s="1"/>
  <c r="D33" i="37"/>
  <c r="H33" i="37" s="1"/>
  <c r="I25" i="37"/>
  <c r="L14" i="37" s="1"/>
  <c r="H25" i="37"/>
  <c r="H29" i="37" s="1"/>
  <c r="H31" i="37" s="1"/>
  <c r="G25" i="37"/>
  <c r="B24" i="34" s="1"/>
  <c r="B26" i="34" s="1"/>
  <c r="F25" i="37"/>
  <c r="F29" i="37" s="1"/>
  <c r="F31" i="37" s="1"/>
  <c r="L11" i="37"/>
  <c r="E25" i="37"/>
  <c r="D25" i="37"/>
  <c r="L9" i="37"/>
  <c r="K14" i="37"/>
  <c r="K13" i="37"/>
  <c r="K12" i="37"/>
  <c r="K11" i="37"/>
  <c r="K10" i="37"/>
  <c r="K9" i="37"/>
  <c r="C2" i="36"/>
  <c r="C59" i="36"/>
  <c r="E28" i="10"/>
  <c r="F28" i="10"/>
  <c r="G28" i="10"/>
  <c r="E27" i="35"/>
  <c r="F27" i="35"/>
  <c r="M10" i="19"/>
  <c r="F6" i="36"/>
  <c r="F5" i="36"/>
  <c r="F60" i="36" s="1"/>
  <c r="D60" i="36"/>
  <c r="F61" i="36"/>
  <c r="G2" i="36"/>
  <c r="G59" i="36"/>
  <c r="F2" i="36"/>
  <c r="F59" i="36"/>
  <c r="E2" i="36"/>
  <c r="E59" i="36"/>
  <c r="D59" i="36"/>
  <c r="B2" i="36"/>
  <c r="B59" i="36"/>
  <c r="M10" i="38"/>
  <c r="C5" i="36"/>
  <c r="C60" i="36"/>
  <c r="M14" i="35"/>
  <c r="L14" i="35"/>
  <c r="K14" i="35"/>
  <c r="K13" i="35"/>
  <c r="K12" i="35"/>
  <c r="K11" i="35"/>
  <c r="K10" i="35"/>
  <c r="M9" i="35"/>
  <c r="K9" i="35"/>
  <c r="M14" i="30"/>
  <c r="K14" i="30"/>
  <c r="M13" i="30"/>
  <c r="K13" i="30"/>
  <c r="M12" i="30"/>
  <c r="K12" i="30"/>
  <c r="M11" i="30"/>
  <c r="K11" i="30"/>
  <c r="M10" i="30"/>
  <c r="K10" i="30"/>
  <c r="M9" i="30"/>
  <c r="K9" i="30"/>
  <c r="K14" i="20"/>
  <c r="K13" i="20"/>
  <c r="K12" i="20"/>
  <c r="K11" i="20"/>
  <c r="K10" i="20"/>
  <c r="M9" i="20"/>
  <c r="K9" i="20"/>
  <c r="M14" i="22"/>
  <c r="K14" i="22"/>
  <c r="M13" i="22"/>
  <c r="K13" i="22"/>
  <c r="M12" i="22"/>
  <c r="K12" i="22"/>
  <c r="M11" i="22"/>
  <c r="K11" i="22"/>
  <c r="M10" i="22"/>
  <c r="K10" i="22"/>
  <c r="M9" i="22"/>
  <c r="K9" i="22"/>
  <c r="M9" i="19"/>
  <c r="K14" i="19"/>
  <c r="K13" i="19"/>
  <c r="K12" i="19"/>
  <c r="K11" i="19"/>
  <c r="K10" i="19"/>
  <c r="K9" i="19"/>
  <c r="E25" i="20"/>
  <c r="L10" i="20"/>
  <c r="F25" i="20"/>
  <c r="L11" i="20" s="1"/>
  <c r="G25" i="20"/>
  <c r="L12" i="20" s="1"/>
  <c r="H25" i="20"/>
  <c r="L13" i="20" s="1"/>
  <c r="I25" i="20"/>
  <c r="D36" i="20"/>
  <c r="G36" i="20"/>
  <c r="D25" i="20"/>
  <c r="L9" i="20" s="1"/>
  <c r="D36" i="30"/>
  <c r="I36" i="30" s="1"/>
  <c r="E25" i="30"/>
  <c r="E29" i="30"/>
  <c r="E31" i="30"/>
  <c r="F25" i="30"/>
  <c r="F29" i="30"/>
  <c r="F31" i="30"/>
  <c r="G25" i="30"/>
  <c r="G29" i="30"/>
  <c r="G31" i="30"/>
  <c r="H25" i="30"/>
  <c r="L13" i="30"/>
  <c r="I25" i="30"/>
  <c r="L14" i="30"/>
  <c r="D36" i="35"/>
  <c r="F36" i="35" s="1"/>
  <c r="D33" i="35"/>
  <c r="E33" i="35"/>
  <c r="E25" i="35"/>
  <c r="B63" i="34"/>
  <c r="F25" i="35"/>
  <c r="L11" i="35"/>
  <c r="G25" i="35"/>
  <c r="H25" i="35"/>
  <c r="L13" i="35"/>
  <c r="D25" i="35"/>
  <c r="L9" i="35"/>
  <c r="D25" i="30"/>
  <c r="E25" i="22"/>
  <c r="F25" i="22"/>
  <c r="G25" i="22"/>
  <c r="H25" i="22"/>
  <c r="L13" i="22"/>
  <c r="I25" i="22"/>
  <c r="I29" i="22"/>
  <c r="I31" i="22"/>
  <c r="E25" i="19"/>
  <c r="E29" i="19" s="1"/>
  <c r="E31" i="19" s="1"/>
  <c r="F25" i="19"/>
  <c r="L11" i="19" s="1"/>
  <c r="G25" i="19"/>
  <c r="L12" i="19" s="1"/>
  <c r="H25" i="19"/>
  <c r="H29" i="19" s="1"/>
  <c r="H31" i="19" s="1"/>
  <c r="I25" i="19"/>
  <c r="L14" i="19" s="1"/>
  <c r="D25" i="19"/>
  <c r="L9" i="19" s="1"/>
  <c r="D29" i="19"/>
  <c r="D31" i="19" s="1"/>
  <c r="D36" i="19"/>
  <c r="E36" i="19" s="1"/>
  <c r="D33" i="19"/>
  <c r="E33" i="19" s="1"/>
  <c r="D37" i="10"/>
  <c r="F37" i="10" s="1"/>
  <c r="D34" i="10"/>
  <c r="E34" i="10" s="1"/>
  <c r="E36" i="10" s="1"/>
  <c r="E26" i="10"/>
  <c r="E30" i="10"/>
  <c r="E32" i="10"/>
  <c r="F26" i="10"/>
  <c r="G26" i="10"/>
  <c r="D26" i="10"/>
  <c r="D30" i="10"/>
  <c r="D32" i="10"/>
  <c r="D36" i="22"/>
  <c r="I36" i="22" s="1"/>
  <c r="D33" i="22"/>
  <c r="G33" i="22" s="1"/>
  <c r="G35" i="22" s="1"/>
  <c r="D25" i="22"/>
  <c r="L9" i="22"/>
  <c r="B70" i="34"/>
  <c r="B69" i="34"/>
  <c r="B71" i="34" s="1"/>
  <c r="E3" i="35" s="1"/>
  <c r="B17" i="34"/>
  <c r="J12" i="34"/>
  <c r="K12" i="34" s="1"/>
  <c r="E68" i="34"/>
  <c r="AF68" i="34"/>
  <c r="AF69" i="34"/>
  <c r="AF70" i="34"/>
  <c r="B30" i="34"/>
  <c r="J25" i="34"/>
  <c r="K25" i="34" s="1"/>
  <c r="B56" i="34"/>
  <c r="J51" i="34"/>
  <c r="AK51" i="34" s="1"/>
  <c r="B43" i="34"/>
  <c r="J38" i="34"/>
  <c r="E16" i="34"/>
  <c r="B54" i="34"/>
  <c r="E55" i="34"/>
  <c r="L11" i="30"/>
  <c r="L14" i="22"/>
  <c r="I29" i="30"/>
  <c r="I31" i="30"/>
  <c r="L12" i="30"/>
  <c r="H29" i="22"/>
  <c r="H31" i="22"/>
  <c r="E29" i="34"/>
  <c r="E28" i="34"/>
  <c r="E27" i="34"/>
  <c r="E30" i="34"/>
  <c r="E31" i="34"/>
  <c r="AF29" i="34"/>
  <c r="AF28" i="34"/>
  <c r="AF27" i="34"/>
  <c r="D29" i="22"/>
  <c r="D31" i="22"/>
  <c r="L10" i="30"/>
  <c r="F29" i="22"/>
  <c r="F31" i="22"/>
  <c r="L11" i="22"/>
  <c r="G61" i="36"/>
  <c r="E42" i="34"/>
  <c r="E41" i="34"/>
  <c r="E40" i="34"/>
  <c r="L9" i="30"/>
  <c r="D29" i="30"/>
  <c r="D31" i="30"/>
  <c r="E29" i="22"/>
  <c r="E31" i="22"/>
  <c r="L10" i="22"/>
  <c r="E15" i="34"/>
  <c r="Q16" i="34"/>
  <c r="E69" i="34"/>
  <c r="E70" i="34"/>
  <c r="E67" i="34"/>
  <c r="E66" i="34"/>
  <c r="AF67" i="34"/>
  <c r="AF66" i="34"/>
  <c r="AF16" i="34"/>
  <c r="E17" i="34"/>
  <c r="AF42" i="34"/>
  <c r="AF43" i="34"/>
  <c r="AF44" i="34"/>
  <c r="E36" i="35"/>
  <c r="F36" i="38"/>
  <c r="G36" i="30"/>
  <c r="F36" i="22"/>
  <c r="F34" i="10"/>
  <c r="F36" i="10" s="1"/>
  <c r="D36" i="10"/>
  <c r="L10" i="35"/>
  <c r="L12" i="37"/>
  <c r="E5" i="36"/>
  <c r="E60" i="36"/>
  <c r="L10" i="37"/>
  <c r="I38" i="34"/>
  <c r="H38" i="34" s="1"/>
  <c r="AK38" i="34"/>
  <c r="AJ38" i="34" s="1"/>
  <c r="AL38" i="34"/>
  <c r="K38" i="34"/>
  <c r="F36" i="30"/>
  <c r="H36" i="30"/>
  <c r="H36" i="20"/>
  <c r="E36" i="30"/>
  <c r="F36" i="20"/>
  <c r="H36" i="19"/>
  <c r="E36" i="22"/>
  <c r="I36" i="19"/>
  <c r="H33" i="35"/>
  <c r="G36" i="19"/>
  <c r="F33" i="35"/>
  <c r="F36" i="19"/>
  <c r="H36" i="38"/>
  <c r="I36" i="20"/>
  <c r="G33" i="35"/>
  <c r="E43" i="34"/>
  <c r="E44" i="34"/>
  <c r="E36" i="20"/>
  <c r="M10" i="20"/>
  <c r="I36" i="38"/>
  <c r="AF41" i="34"/>
  <c r="AF40" i="34"/>
  <c r="F33" i="19"/>
  <c r="B18" i="34"/>
  <c r="J13" i="34" s="1"/>
  <c r="E29" i="20"/>
  <c r="E31" i="20" s="1"/>
  <c r="E29" i="35"/>
  <c r="E31" i="35"/>
  <c r="E35" i="35"/>
  <c r="F30" i="10"/>
  <c r="F32" i="10"/>
  <c r="M10" i="35"/>
  <c r="B65" i="34"/>
  <c r="M11" i="38"/>
  <c r="E29" i="38"/>
  <c r="E31" i="38" s="1"/>
  <c r="F29" i="19"/>
  <c r="F31" i="19" s="1"/>
  <c r="L13" i="37"/>
  <c r="L14" i="20"/>
  <c r="G28" i="36"/>
  <c r="G32" i="36" s="1"/>
  <c r="G71" i="36" s="1"/>
  <c r="G72" i="36" s="1"/>
  <c r="K51" i="34"/>
  <c r="L12" i="38"/>
  <c r="G29" i="38"/>
  <c r="G31" i="38"/>
  <c r="M13" i="38"/>
  <c r="H29" i="38"/>
  <c r="H31" i="38" s="1"/>
  <c r="AF55" i="34"/>
  <c r="E54" i="34"/>
  <c r="E53" i="34"/>
  <c r="AK25" i="34"/>
  <c r="L12" i="35"/>
  <c r="M11" i="19"/>
  <c r="H36" i="37"/>
  <c r="D61" i="36"/>
  <c r="F28" i="36"/>
  <c r="B41" i="39" s="1"/>
  <c r="E56" i="34"/>
  <c r="E57" i="34"/>
  <c r="G30" i="10"/>
  <c r="G32" i="10"/>
  <c r="L12" i="22"/>
  <c r="G29" i="22"/>
  <c r="G31" i="22"/>
  <c r="M11" i="20"/>
  <c r="M11" i="35"/>
  <c r="G27" i="35"/>
  <c r="G29" i="35"/>
  <c r="G31" i="35"/>
  <c r="F29" i="35"/>
  <c r="F31" i="35"/>
  <c r="H29" i="30"/>
  <c r="H31" i="30"/>
  <c r="AK12" i="34"/>
  <c r="G36" i="22"/>
  <c r="H36" i="22"/>
  <c r="D29" i="35"/>
  <c r="D31" i="35"/>
  <c r="D35" i="35"/>
  <c r="D29" i="38"/>
  <c r="D31" i="38" s="1"/>
  <c r="AF30" i="34"/>
  <c r="AF31" i="34"/>
  <c r="E18" i="34"/>
  <c r="Q18" i="34"/>
  <c r="Q17" i="34"/>
  <c r="E14" i="34"/>
  <c r="Q14" i="34"/>
  <c r="Q15" i="34"/>
  <c r="G35" i="35"/>
  <c r="F35" i="35"/>
  <c r="AF15" i="34"/>
  <c r="AF14" i="34"/>
  <c r="AF17" i="34"/>
  <c r="AF18" i="34"/>
  <c r="L38" i="34"/>
  <c r="M38" i="34" s="1"/>
  <c r="M14" i="38"/>
  <c r="I29" i="38"/>
  <c r="I31" i="38" s="1"/>
  <c r="M12" i="19"/>
  <c r="G29" i="19"/>
  <c r="G31" i="19" s="1"/>
  <c r="AL25" i="34"/>
  <c r="AM25" i="34" s="1"/>
  <c r="M12" i="35"/>
  <c r="H27" i="35"/>
  <c r="G29" i="20"/>
  <c r="G31" i="20" s="1"/>
  <c r="G35" i="20" s="1"/>
  <c r="M12" i="20"/>
  <c r="AM38" i="34"/>
  <c r="AL12" i="34"/>
  <c r="AM12" i="34" s="1"/>
  <c r="AF56" i="34"/>
  <c r="AF57" i="34"/>
  <c r="AF54" i="34"/>
  <c r="AF53" i="34"/>
  <c r="H29" i="35"/>
  <c r="M13" i="35"/>
  <c r="M13" i="20"/>
  <c r="H29" i="20"/>
  <c r="H31" i="20" s="1"/>
  <c r="M13" i="19"/>
  <c r="H31" i="35"/>
  <c r="H35" i="35"/>
  <c r="M14" i="19"/>
  <c r="I29" i="19"/>
  <c r="I31" i="19" s="1"/>
  <c r="M14" i="20"/>
  <c r="I29" i="20"/>
  <c r="I31" i="20" s="1"/>
  <c r="D33" i="20"/>
  <c r="H33" i="20" s="1"/>
  <c r="D33" i="38"/>
  <c r="H33" i="38" s="1"/>
  <c r="D33" i="30"/>
  <c r="H33" i="30" s="1"/>
  <c r="H35" i="30" s="1"/>
  <c r="D6" i="36"/>
  <c r="E6" i="36" s="1"/>
  <c r="D7" i="36"/>
  <c r="D64" i="36" s="1"/>
  <c r="D65" i="36" s="1"/>
  <c r="D8" i="36"/>
  <c r="B23" i="39"/>
  <c r="D35" i="30"/>
  <c r="F33" i="30"/>
  <c r="B57" i="34" s="1"/>
  <c r="B58" i="34" s="1"/>
  <c r="I33" i="30"/>
  <c r="I35" i="30" s="1"/>
  <c r="G33" i="30"/>
  <c r="G35" i="30" s="1"/>
  <c r="G33" i="38"/>
  <c r="F33" i="38"/>
  <c r="F33" i="20"/>
  <c r="I33" i="20"/>
  <c r="E33" i="20"/>
  <c r="G33" i="20"/>
  <c r="G30" i="36"/>
  <c r="E30" i="36"/>
  <c r="D27" i="37"/>
  <c r="C30" i="36"/>
  <c r="D30" i="36"/>
  <c r="B38" i="34"/>
  <c r="B22" i="39"/>
  <c r="D29" i="37"/>
  <c r="M9" i="37"/>
  <c r="E27" i="37"/>
  <c r="D31" i="37"/>
  <c r="F27" i="37"/>
  <c r="M10" i="37"/>
  <c r="E29" i="37"/>
  <c r="E31" i="37"/>
  <c r="M11" i="37"/>
  <c r="G27" i="37"/>
  <c r="M12" i="37"/>
  <c r="B25" i="34"/>
  <c r="H27" i="37"/>
  <c r="I27" i="37"/>
  <c r="M13" i="37"/>
  <c r="M14" i="37"/>
  <c r="I29" i="37"/>
  <c r="I31" i="37"/>
  <c r="G68" i="36" l="1"/>
  <c r="G69" i="36" s="1"/>
  <c r="D28" i="36"/>
  <c r="D34" i="36" s="1"/>
  <c r="D75" i="36" s="1"/>
  <c r="D76" i="36" s="1"/>
  <c r="G35" i="38"/>
  <c r="E68" i="36"/>
  <c r="E69" i="36" s="1"/>
  <c r="E83" i="36" s="1"/>
  <c r="E32" i="36"/>
  <c r="E71" i="36" s="1"/>
  <c r="E72" i="36" s="1"/>
  <c r="E86" i="36" s="1"/>
  <c r="F35" i="38"/>
  <c r="B50" i="34"/>
  <c r="B52" i="34" s="1"/>
  <c r="L11" i="38"/>
  <c r="H35" i="38"/>
  <c r="F32" i="36"/>
  <c r="F71" i="36" s="1"/>
  <c r="F72" i="36" s="1"/>
  <c r="F86" i="36" s="1"/>
  <c r="F68" i="36"/>
  <c r="F69" i="36" s="1"/>
  <c r="F83" i="36" s="1"/>
  <c r="B28" i="36"/>
  <c r="B68" i="36" s="1"/>
  <c r="B69" i="36" s="1"/>
  <c r="B83" i="36" s="1"/>
  <c r="L10" i="19"/>
  <c r="L13" i="19"/>
  <c r="E33" i="30"/>
  <c r="E35" i="30" s="1"/>
  <c r="G33" i="19"/>
  <c r="I33" i="19"/>
  <c r="H33" i="19"/>
  <c r="G33" i="37"/>
  <c r="D35" i="19"/>
  <c r="D35" i="37"/>
  <c r="B19" i="34"/>
  <c r="H35" i="19"/>
  <c r="C32" i="36"/>
  <c r="C71" i="36" s="1"/>
  <c r="C72" i="36" s="1"/>
  <c r="C68" i="36"/>
  <c r="C69" i="36" s="1"/>
  <c r="G29" i="37"/>
  <c r="G31" i="37" s="1"/>
  <c r="H35" i="37"/>
  <c r="D68" i="36"/>
  <c r="D69" i="36" s="1"/>
  <c r="D83" i="36" s="1"/>
  <c r="B37" i="34"/>
  <c r="B39" i="34" s="1"/>
  <c r="D32" i="36"/>
  <c r="B21" i="39"/>
  <c r="B25" i="39" s="1"/>
  <c r="C21" i="39" s="1"/>
  <c r="D29" i="20"/>
  <c r="D31" i="20" s="1"/>
  <c r="D35" i="20" s="1"/>
  <c r="E35" i="20"/>
  <c r="F29" i="20"/>
  <c r="F31" i="20" s="1"/>
  <c r="F35" i="20" s="1"/>
  <c r="I35" i="20"/>
  <c r="H35" i="20"/>
  <c r="B4" i="39"/>
  <c r="B32" i="36"/>
  <c r="B71" i="36" s="1"/>
  <c r="B72" i="36" s="1"/>
  <c r="B86" i="36" s="1"/>
  <c r="B11" i="34"/>
  <c r="B13" i="34" s="1"/>
  <c r="J14" i="34" s="1"/>
  <c r="E35" i="19"/>
  <c r="G35" i="19"/>
  <c r="I35" i="19"/>
  <c r="F35" i="19"/>
  <c r="F6" i="35"/>
  <c r="G6" i="35"/>
  <c r="E6" i="35"/>
  <c r="H6" i="35"/>
  <c r="D6" i="35"/>
  <c r="I6" i="35"/>
  <c r="H36" i="35"/>
  <c r="G36" i="35"/>
  <c r="J64" i="34"/>
  <c r="F7" i="36"/>
  <c r="E7" i="36"/>
  <c r="I33" i="38"/>
  <c r="I35" i="38" s="1"/>
  <c r="B44" i="34"/>
  <c r="M39" i="34" s="1"/>
  <c r="D35" i="38"/>
  <c r="E33" i="38"/>
  <c r="E35" i="38" s="1"/>
  <c r="F35" i="30"/>
  <c r="J29" i="34"/>
  <c r="J28" i="34"/>
  <c r="J27" i="34"/>
  <c r="J31" i="34"/>
  <c r="AK13" i="34"/>
  <c r="AK29" i="34" s="1"/>
  <c r="D35" i="22"/>
  <c r="C6" i="36"/>
  <c r="G34" i="10"/>
  <c r="G36" i="10" s="1"/>
  <c r="F33" i="37"/>
  <c r="F35" i="37" s="1"/>
  <c r="G6" i="36"/>
  <c r="AK26" i="34"/>
  <c r="E33" i="37"/>
  <c r="E35" i="37" s="1"/>
  <c r="I33" i="22"/>
  <c r="I35" i="22" s="1"/>
  <c r="I33" i="37"/>
  <c r="I35" i="37" s="1"/>
  <c r="F33" i="22"/>
  <c r="E33" i="22"/>
  <c r="E35" i="22" s="1"/>
  <c r="H33" i="22"/>
  <c r="H35" i="22" s="1"/>
  <c r="AL51" i="34"/>
  <c r="AJ51" i="34"/>
  <c r="AI38" i="34"/>
  <c r="N38" i="34"/>
  <c r="G38" i="34"/>
  <c r="L51" i="34"/>
  <c r="AN38" i="34"/>
  <c r="I51" i="34"/>
  <c r="AM13" i="34"/>
  <c r="AN12" i="34"/>
  <c r="AN25" i="34"/>
  <c r="AM26" i="34"/>
  <c r="AK27" i="34"/>
  <c r="L12" i="34"/>
  <c r="W12" i="34"/>
  <c r="W13" i="34" s="1"/>
  <c r="K13" i="34"/>
  <c r="L25" i="34"/>
  <c r="K26" i="34"/>
  <c r="B65" i="36"/>
  <c r="F36" i="37"/>
  <c r="AJ12" i="34"/>
  <c r="E37" i="10"/>
  <c r="E36" i="37"/>
  <c r="I25" i="34"/>
  <c r="B8" i="36"/>
  <c r="G36" i="37"/>
  <c r="J30" i="34"/>
  <c r="AL26" i="34"/>
  <c r="J26" i="34"/>
  <c r="AL13" i="34"/>
  <c r="G5" i="36"/>
  <c r="I12" i="34"/>
  <c r="G37" i="10"/>
  <c r="V12" i="34"/>
  <c r="V13" i="34" s="1"/>
  <c r="AJ25" i="34"/>
  <c r="B3" i="39" l="1"/>
  <c r="F25" i="39"/>
  <c r="B85" i="36"/>
  <c r="J17" i="34"/>
  <c r="B82" i="36"/>
  <c r="C22" i="39"/>
  <c r="C23" i="39"/>
  <c r="F20" i="39"/>
  <c r="N39" i="34"/>
  <c r="N40" i="34" s="1"/>
  <c r="E3" i="37"/>
  <c r="E3" i="22"/>
  <c r="AK30" i="34"/>
  <c r="E3" i="19"/>
  <c r="G6" i="19" s="1"/>
  <c r="AK31" i="34"/>
  <c r="E3" i="10"/>
  <c r="F6" i="10" s="1"/>
  <c r="G35" i="37"/>
  <c r="AK17" i="34"/>
  <c r="AK16" i="34"/>
  <c r="AK15" i="34"/>
  <c r="AK14" i="34"/>
  <c r="AK18" i="34"/>
  <c r="AK28" i="34"/>
  <c r="J15" i="34"/>
  <c r="J16" i="34"/>
  <c r="D82" i="36"/>
  <c r="D71" i="36"/>
  <c r="D35" i="36"/>
  <c r="D78" i="36" s="1"/>
  <c r="D79" i="36" s="1"/>
  <c r="J18" i="34"/>
  <c r="D39" i="35"/>
  <c r="D38" i="35"/>
  <c r="F8" i="36"/>
  <c r="F64" i="36"/>
  <c r="G38" i="35"/>
  <c r="G39" i="35"/>
  <c r="F39" i="35"/>
  <c r="F38" i="35"/>
  <c r="H39" i="35"/>
  <c r="H38" i="35"/>
  <c r="E38" i="35"/>
  <c r="E39" i="35"/>
  <c r="K64" i="34"/>
  <c r="AK64" i="34"/>
  <c r="I64" i="34"/>
  <c r="J65" i="34"/>
  <c r="K39" i="34"/>
  <c r="B45" i="34"/>
  <c r="J39" i="34"/>
  <c r="I39" i="34"/>
  <c r="AK39" i="34"/>
  <c r="L39" i="34"/>
  <c r="J52" i="34"/>
  <c r="AL39" i="34"/>
  <c r="AJ39" i="34"/>
  <c r="AJ55" i="34" s="1"/>
  <c r="K52" i="34"/>
  <c r="E64" i="36"/>
  <c r="E8" i="36"/>
  <c r="H39" i="34"/>
  <c r="H43" i="34" s="1"/>
  <c r="AK52" i="34"/>
  <c r="AM39" i="34"/>
  <c r="G6" i="10"/>
  <c r="E6" i="10"/>
  <c r="H6" i="10"/>
  <c r="C7" i="36"/>
  <c r="C86" i="36"/>
  <c r="C83" i="36"/>
  <c r="G83" i="36"/>
  <c r="G86" i="36"/>
  <c r="F35" i="22"/>
  <c r="B31" i="34"/>
  <c r="B32" i="34" s="1"/>
  <c r="F6" i="19"/>
  <c r="H51" i="34"/>
  <c r="I52" i="34"/>
  <c r="M51" i="34"/>
  <c r="L52" i="34"/>
  <c r="F38" i="34"/>
  <c r="F39" i="34" s="1"/>
  <c r="G39" i="34"/>
  <c r="AI51" i="34"/>
  <c r="AJ52" i="34"/>
  <c r="H41" i="34"/>
  <c r="H57" i="34"/>
  <c r="H40" i="34"/>
  <c r="H56" i="34"/>
  <c r="H44" i="34"/>
  <c r="H42" i="34"/>
  <c r="M55" i="34"/>
  <c r="M42" i="34"/>
  <c r="M43" i="34"/>
  <c r="M56" i="34"/>
  <c r="M54" i="34"/>
  <c r="M44" i="34"/>
  <c r="M41" i="34"/>
  <c r="M57" i="34"/>
  <c r="M53" i="34"/>
  <c r="M40" i="34"/>
  <c r="N53" i="34"/>
  <c r="N43" i="34"/>
  <c r="N57" i="34"/>
  <c r="N56" i="34"/>
  <c r="N44" i="34"/>
  <c r="N42" i="34"/>
  <c r="N41" i="34"/>
  <c r="AJ43" i="34"/>
  <c r="AL52" i="34"/>
  <c r="AM51" i="34"/>
  <c r="AI39" i="34"/>
  <c r="AH38" i="34"/>
  <c r="AN39" i="34"/>
  <c r="AO38" i="34"/>
  <c r="AO39" i="34" s="1"/>
  <c r="X12" i="34"/>
  <c r="X13" i="34" s="1"/>
  <c r="L13" i="34"/>
  <c r="M12" i="34"/>
  <c r="AM14" i="34"/>
  <c r="AM15" i="34"/>
  <c r="AM31" i="34"/>
  <c r="AM16" i="34"/>
  <c r="AM28" i="34"/>
  <c r="AM30" i="34"/>
  <c r="AM29" i="34"/>
  <c r="AM17" i="34"/>
  <c r="AM18" i="34"/>
  <c r="AM27" i="34"/>
  <c r="G60" i="36"/>
  <c r="G7" i="36"/>
  <c r="AI25" i="34"/>
  <c r="AJ26" i="34"/>
  <c r="B34" i="36"/>
  <c r="B75" i="36" s="1"/>
  <c r="B76" i="36" s="1"/>
  <c r="B5" i="39"/>
  <c r="B35" i="36"/>
  <c r="B78" i="36" s="1"/>
  <c r="B79" i="36" s="1"/>
  <c r="U12" i="34"/>
  <c r="U13" i="34" s="1"/>
  <c r="H12" i="34"/>
  <c r="I13" i="34"/>
  <c r="AL15" i="34"/>
  <c r="AL14" i="34"/>
  <c r="AL16" i="34"/>
  <c r="AL17" i="34"/>
  <c r="AL29" i="34"/>
  <c r="AL18" i="34"/>
  <c r="AL27" i="34"/>
  <c r="AL31" i="34"/>
  <c r="AL30" i="34"/>
  <c r="AL28" i="34"/>
  <c r="L26" i="34"/>
  <c r="M25" i="34"/>
  <c r="V18" i="34"/>
  <c r="V15" i="34"/>
  <c r="V14" i="34"/>
  <c r="V17" i="34"/>
  <c r="V16" i="34"/>
  <c r="K15" i="34"/>
  <c r="K30" i="34"/>
  <c r="K16" i="34"/>
  <c r="K18" i="34"/>
  <c r="K17" i="34"/>
  <c r="K27" i="34"/>
  <c r="K14" i="34"/>
  <c r="K28" i="34"/>
  <c r="K31" i="34"/>
  <c r="K29" i="34"/>
  <c r="AN26" i="34"/>
  <c r="AO25" i="34"/>
  <c r="AO26" i="34" s="1"/>
  <c r="AI12" i="34"/>
  <c r="AJ13" i="34"/>
  <c r="I26" i="34"/>
  <c r="H25" i="34"/>
  <c r="W18" i="34"/>
  <c r="W15" i="34"/>
  <c r="W17" i="34"/>
  <c r="W16" i="34"/>
  <c r="W14" i="34"/>
  <c r="AO12" i="34"/>
  <c r="AO13" i="34" s="1"/>
  <c r="AN13" i="34"/>
  <c r="C25" i="39" l="1"/>
  <c r="F22" i="39" s="1"/>
  <c r="N54" i="34"/>
  <c r="N55" i="34"/>
  <c r="H55" i="34"/>
  <c r="AJ44" i="34"/>
  <c r="H53" i="34"/>
  <c r="E6" i="19"/>
  <c r="D6" i="10"/>
  <c r="I6" i="10"/>
  <c r="H6" i="19"/>
  <c r="I6" i="19"/>
  <c r="D6" i="19"/>
  <c r="H6" i="22"/>
  <c r="F6" i="22"/>
  <c r="E6" i="22"/>
  <c r="D6" i="22"/>
  <c r="G6" i="22"/>
  <c r="I6" i="22"/>
  <c r="F6" i="37"/>
  <c r="D6" i="37"/>
  <c r="G6" i="37"/>
  <c r="I6" i="37"/>
  <c r="E6" i="37"/>
  <c r="H6" i="37"/>
  <c r="D72" i="36"/>
  <c r="D86" i="36" s="1"/>
  <c r="D85" i="36"/>
  <c r="J66" i="34"/>
  <c r="J69" i="34"/>
  <c r="J68" i="34"/>
  <c r="J70" i="34"/>
  <c r="J67" i="34"/>
  <c r="I65" i="34"/>
  <c r="H64" i="34"/>
  <c r="K65" i="34"/>
  <c r="L64" i="34"/>
  <c r="F65" i="36"/>
  <c r="F85" i="36"/>
  <c r="F82" i="36"/>
  <c r="AJ64" i="34"/>
  <c r="AL64" i="34"/>
  <c r="AK65" i="34"/>
  <c r="F34" i="36"/>
  <c r="F75" i="36" s="1"/>
  <c r="F76" i="36" s="1"/>
  <c r="B43" i="39"/>
  <c r="F35" i="36"/>
  <c r="F78" i="36" s="1"/>
  <c r="F79" i="36" s="1"/>
  <c r="K54" i="34"/>
  <c r="K40" i="34"/>
  <c r="K55" i="34"/>
  <c r="K56" i="34"/>
  <c r="K44" i="34"/>
  <c r="K53" i="34"/>
  <c r="K41" i="34"/>
  <c r="K42" i="34"/>
  <c r="K43" i="34"/>
  <c r="K57" i="34"/>
  <c r="AJ42" i="34"/>
  <c r="AJ57" i="34"/>
  <c r="L54" i="34"/>
  <c r="L44" i="34"/>
  <c r="L55" i="34"/>
  <c r="L40" i="34"/>
  <c r="L57" i="34"/>
  <c r="L56" i="34"/>
  <c r="L41" i="34"/>
  <c r="L53" i="34"/>
  <c r="L42" i="34"/>
  <c r="L43" i="34"/>
  <c r="AJ40" i="34"/>
  <c r="AJ54" i="34"/>
  <c r="AM41" i="34"/>
  <c r="AM43" i="34"/>
  <c r="AM55" i="34"/>
  <c r="AM42" i="34"/>
  <c r="AM57" i="34"/>
  <c r="AM40" i="34"/>
  <c r="AM44" i="34"/>
  <c r="AM56" i="34"/>
  <c r="AM53" i="34"/>
  <c r="AM54" i="34"/>
  <c r="AJ56" i="34"/>
  <c r="AK42" i="34"/>
  <c r="AK56" i="34"/>
  <c r="AK55" i="34"/>
  <c r="AK41" i="34"/>
  <c r="AK43" i="34"/>
  <c r="AK53" i="34"/>
  <c r="AK54" i="34"/>
  <c r="AK40" i="34"/>
  <c r="AK57" i="34"/>
  <c r="AK44" i="34"/>
  <c r="AL44" i="34"/>
  <c r="AL40" i="34"/>
  <c r="AL53" i="34"/>
  <c r="AL41" i="34"/>
  <c r="AL54" i="34"/>
  <c r="AL57" i="34"/>
  <c r="AL55" i="34"/>
  <c r="AL42" i="34"/>
  <c r="AL56" i="34"/>
  <c r="AL43" i="34"/>
  <c r="AJ41" i="34"/>
  <c r="H54" i="34"/>
  <c r="E34" i="36"/>
  <c r="E75" i="36" s="1"/>
  <c r="E76" i="36" s="1"/>
  <c r="E35" i="36"/>
  <c r="E78" i="36" s="1"/>
  <c r="E79" i="36" s="1"/>
  <c r="I56" i="34"/>
  <c r="I55" i="34"/>
  <c r="I40" i="34"/>
  <c r="I57" i="34"/>
  <c r="I43" i="34"/>
  <c r="I41" i="34"/>
  <c r="I42" i="34"/>
  <c r="I44" i="34"/>
  <c r="I53" i="34"/>
  <c r="I54" i="34"/>
  <c r="AJ53" i="34"/>
  <c r="E85" i="36"/>
  <c r="E82" i="36"/>
  <c r="E65" i="36"/>
  <c r="J55" i="34"/>
  <c r="J41" i="34"/>
  <c r="J40" i="34"/>
  <c r="J53" i="34"/>
  <c r="J54" i="34"/>
  <c r="J57" i="34"/>
  <c r="J43" i="34"/>
  <c r="J44" i="34"/>
  <c r="J42" i="34"/>
  <c r="J56" i="34"/>
  <c r="E3" i="30"/>
  <c r="E3" i="20"/>
  <c r="E3" i="38"/>
  <c r="G39" i="19"/>
  <c r="G38" i="19"/>
  <c r="E40" i="10"/>
  <c r="E39" i="10"/>
  <c r="G40" i="10"/>
  <c r="G39" i="10"/>
  <c r="D39" i="10"/>
  <c r="D40" i="10"/>
  <c r="F39" i="19"/>
  <c r="F38" i="19"/>
  <c r="C8" i="36"/>
  <c r="C64" i="36"/>
  <c r="F39" i="10"/>
  <c r="F40" i="10"/>
  <c r="F54" i="34"/>
  <c r="F53" i="34"/>
  <c r="F57" i="34"/>
  <c r="F43" i="34"/>
  <c r="F41" i="34"/>
  <c r="F42" i="34"/>
  <c r="F44" i="34"/>
  <c r="F40" i="34"/>
  <c r="F55" i="34"/>
  <c r="F56" i="34"/>
  <c r="AO44" i="34"/>
  <c r="AO54" i="34"/>
  <c r="AO42" i="34"/>
  <c r="AO53" i="34"/>
  <c r="AO55" i="34"/>
  <c r="AO57" i="34"/>
  <c r="AO40" i="34"/>
  <c r="AO41" i="34"/>
  <c r="AO43" i="34"/>
  <c r="AO56" i="34"/>
  <c r="M52" i="34"/>
  <c r="N51" i="34"/>
  <c r="N52" i="34" s="1"/>
  <c r="AH39" i="34"/>
  <c r="AG38" i="34"/>
  <c r="AG39" i="34" s="1"/>
  <c r="AI54" i="34"/>
  <c r="AI55" i="34"/>
  <c r="AI42" i="34"/>
  <c r="AI56" i="34"/>
  <c r="AI53" i="34"/>
  <c r="AI44" i="34"/>
  <c r="AI40" i="34"/>
  <c r="AI43" i="34"/>
  <c r="AI41" i="34"/>
  <c r="AI57" i="34"/>
  <c r="AH51" i="34"/>
  <c r="AI52" i="34"/>
  <c r="H52" i="34"/>
  <c r="G51" i="34"/>
  <c r="AN41" i="34"/>
  <c r="AN42" i="34"/>
  <c r="AN57" i="34"/>
  <c r="AN43" i="34"/>
  <c r="AN55" i="34"/>
  <c r="AN40" i="34"/>
  <c r="AN56" i="34"/>
  <c r="AN53" i="34"/>
  <c r="AN44" i="34"/>
  <c r="AN54" i="34"/>
  <c r="AM52" i="34"/>
  <c r="AN51" i="34"/>
  <c r="G55" i="34"/>
  <c r="G40" i="34"/>
  <c r="G57" i="34"/>
  <c r="G44" i="34"/>
  <c r="G43" i="34"/>
  <c r="G41" i="34"/>
  <c r="G42" i="34"/>
  <c r="G54" i="34"/>
  <c r="G53" i="34"/>
  <c r="G56" i="34"/>
  <c r="X14" i="34"/>
  <c r="X17" i="34"/>
  <c r="X18" i="34"/>
  <c r="X16" i="34"/>
  <c r="X15" i="34"/>
  <c r="G25" i="34"/>
  <c r="H26" i="34"/>
  <c r="AN28" i="34"/>
  <c r="AN31" i="34"/>
  <c r="AN18" i="34"/>
  <c r="AN16" i="34"/>
  <c r="AN15" i="34"/>
  <c r="AN17" i="34"/>
  <c r="AN14" i="34"/>
  <c r="AN27" i="34"/>
  <c r="AN29" i="34"/>
  <c r="AN30" i="34"/>
  <c r="B7" i="39"/>
  <c r="C5" i="39" s="1"/>
  <c r="F7" i="39"/>
  <c r="G64" i="36"/>
  <c r="G8" i="36"/>
  <c r="AJ31" i="34"/>
  <c r="AJ28" i="34"/>
  <c r="AJ14" i="34"/>
  <c r="AJ16" i="34"/>
  <c r="AJ29" i="34"/>
  <c r="AJ30" i="34"/>
  <c r="AJ15" i="34"/>
  <c r="AJ17" i="34"/>
  <c r="AJ18" i="34"/>
  <c r="AJ27" i="34"/>
  <c r="I28" i="34"/>
  <c r="I14" i="34"/>
  <c r="I16" i="34"/>
  <c r="I18" i="34"/>
  <c r="I29" i="34"/>
  <c r="I15" i="34"/>
  <c r="I27" i="34"/>
  <c r="I17" i="34"/>
  <c r="I31" i="34"/>
  <c r="I30" i="34"/>
  <c r="T12" i="34"/>
  <c r="T13" i="34" s="1"/>
  <c r="H13" i="34"/>
  <c r="G12" i="34"/>
  <c r="AI26" i="34"/>
  <c r="AH25" i="34"/>
  <c r="AO30" i="34"/>
  <c r="AO14" i="34"/>
  <c r="AO31" i="34"/>
  <c r="AO27" i="34"/>
  <c r="AO18" i="34"/>
  <c r="AO29" i="34"/>
  <c r="AO17" i="34"/>
  <c r="AO15" i="34"/>
  <c r="AO16" i="34"/>
  <c r="AO28" i="34"/>
  <c r="AH12" i="34"/>
  <c r="AI13" i="34"/>
  <c r="M26" i="34"/>
  <c r="N25" i="34"/>
  <c r="N26" i="34" s="1"/>
  <c r="U15" i="34"/>
  <c r="U16" i="34"/>
  <c r="U17" i="34"/>
  <c r="U14" i="34"/>
  <c r="U18" i="34"/>
  <c r="M13" i="34"/>
  <c r="N12" i="34"/>
  <c r="Y12" i="34"/>
  <c r="Y13" i="34" s="1"/>
  <c r="L14" i="34"/>
  <c r="L27" i="34"/>
  <c r="L16" i="34"/>
  <c r="L15" i="34"/>
  <c r="L31" i="34"/>
  <c r="L28" i="34"/>
  <c r="L29" i="34"/>
  <c r="L18" i="34"/>
  <c r="L17" i="34"/>
  <c r="L30" i="34"/>
  <c r="E39" i="37" l="1"/>
  <c r="E38" i="37"/>
  <c r="E39" i="19"/>
  <c r="E38" i="19"/>
  <c r="I39" i="37"/>
  <c r="I38" i="37"/>
  <c r="G39" i="37"/>
  <c r="G38" i="37"/>
  <c r="D38" i="37"/>
  <c r="D39" i="37"/>
  <c r="D38" i="19"/>
  <c r="D39" i="19"/>
  <c r="F39" i="37"/>
  <c r="F38" i="37"/>
  <c r="I39" i="19"/>
  <c r="I38" i="19"/>
  <c r="H39" i="19"/>
  <c r="H38" i="19"/>
  <c r="H38" i="37"/>
  <c r="H39" i="37"/>
  <c r="K68" i="34"/>
  <c r="K70" i="34"/>
  <c r="K67" i="34"/>
  <c r="K66" i="34"/>
  <c r="K69" i="34"/>
  <c r="AK66" i="34"/>
  <c r="AK67" i="34"/>
  <c r="AK70" i="34"/>
  <c r="AK69" i="34"/>
  <c r="AK68" i="34"/>
  <c r="G64" i="34"/>
  <c r="H65" i="34"/>
  <c r="I70" i="34"/>
  <c r="I68" i="34"/>
  <c r="I67" i="34"/>
  <c r="I66" i="34"/>
  <c r="I69" i="34"/>
  <c r="F45" i="39"/>
  <c r="B45" i="39"/>
  <c r="C43" i="39" s="1"/>
  <c r="AM64" i="34"/>
  <c r="AL65" i="34"/>
  <c r="M64" i="34"/>
  <c r="L65" i="34"/>
  <c r="AI64" i="34"/>
  <c r="AJ65" i="34"/>
  <c r="D6" i="38"/>
  <c r="G6" i="38"/>
  <c r="I6" i="38"/>
  <c r="H6" i="38"/>
  <c r="F6" i="38"/>
  <c r="E6" i="38"/>
  <c r="F6" i="20"/>
  <c r="I6" i="20"/>
  <c r="D6" i="20"/>
  <c r="G6" i="20"/>
  <c r="H6" i="20"/>
  <c r="E6" i="20"/>
  <c r="G6" i="30"/>
  <c r="H6" i="30"/>
  <c r="I6" i="30"/>
  <c r="D6" i="30"/>
  <c r="F6" i="30"/>
  <c r="E6" i="30"/>
  <c r="C82" i="36"/>
  <c r="C65" i="36"/>
  <c r="C85" i="36"/>
  <c r="C34" i="36"/>
  <c r="C75" i="36" s="1"/>
  <c r="C76" i="36" s="1"/>
  <c r="C35" i="36"/>
  <c r="C78" i="36" s="1"/>
  <c r="C79" i="36" s="1"/>
  <c r="AG54" i="34"/>
  <c r="AG55" i="34"/>
  <c r="AG41" i="34"/>
  <c r="AG56" i="34"/>
  <c r="AG40" i="34"/>
  <c r="AG43" i="34"/>
  <c r="AG57" i="34"/>
  <c r="AG44" i="34"/>
  <c r="AG42" i="34"/>
  <c r="AG53" i="34"/>
  <c r="AH55" i="34"/>
  <c r="AH54" i="34"/>
  <c r="AH41" i="34"/>
  <c r="AH42" i="34"/>
  <c r="AH44" i="34"/>
  <c r="AH56" i="34"/>
  <c r="AH57" i="34"/>
  <c r="AH53" i="34"/>
  <c r="AH40" i="34"/>
  <c r="AH43" i="34"/>
  <c r="AN52" i="34"/>
  <c r="AO51" i="34"/>
  <c r="AO52" i="34" s="1"/>
  <c r="F51" i="34"/>
  <c r="F52" i="34" s="1"/>
  <c r="G52" i="34"/>
  <c r="AH52" i="34"/>
  <c r="AG51" i="34"/>
  <c r="AG52" i="34" s="1"/>
  <c r="AG25" i="34"/>
  <c r="AG26" i="34" s="1"/>
  <c r="AH26" i="34"/>
  <c r="G34" i="36"/>
  <c r="G75" i="36" s="1"/>
  <c r="G76" i="36" s="1"/>
  <c r="G35" i="36"/>
  <c r="G78" i="36" s="1"/>
  <c r="G79" i="36" s="1"/>
  <c r="F25" i="34"/>
  <c r="F26" i="34" s="1"/>
  <c r="G26" i="34"/>
  <c r="Y14" i="34"/>
  <c r="Y18" i="34"/>
  <c r="Y16" i="34"/>
  <c r="Y15" i="34"/>
  <c r="Y17" i="34"/>
  <c r="F12" i="34"/>
  <c r="G13" i="34"/>
  <c r="S12" i="34"/>
  <c r="S13" i="34" s="1"/>
  <c r="G65" i="36"/>
  <c r="G85" i="36"/>
  <c r="G82" i="36"/>
  <c r="N13" i="34"/>
  <c r="Z12" i="34"/>
  <c r="Z13" i="34" s="1"/>
  <c r="H27" i="34"/>
  <c r="H16" i="34"/>
  <c r="H15" i="34"/>
  <c r="H28" i="34"/>
  <c r="H18" i="34"/>
  <c r="H29" i="34"/>
  <c r="H17" i="34"/>
  <c r="H31" i="34"/>
  <c r="H14" i="34"/>
  <c r="H30" i="34"/>
  <c r="M28" i="34"/>
  <c r="M30" i="34"/>
  <c r="M16" i="34"/>
  <c r="M31" i="34"/>
  <c r="M14" i="34"/>
  <c r="M15" i="34"/>
  <c r="M18" i="34"/>
  <c r="M27" i="34"/>
  <c r="M17" i="34"/>
  <c r="M29" i="34"/>
  <c r="AI29" i="34"/>
  <c r="AI17" i="34"/>
  <c r="AI27" i="34"/>
  <c r="AI28" i="34"/>
  <c r="AI30" i="34"/>
  <c r="AI16" i="34"/>
  <c r="AI31" i="34"/>
  <c r="AI15" i="34"/>
  <c r="AI18" i="34"/>
  <c r="AI14" i="34"/>
  <c r="T16" i="34"/>
  <c r="T17" i="34"/>
  <c r="T15" i="34"/>
  <c r="T18" i="34"/>
  <c r="T14" i="34"/>
  <c r="F2" i="39"/>
  <c r="AH13" i="34"/>
  <c r="AG12" i="34"/>
  <c r="AG13" i="34" s="1"/>
  <c r="C4" i="39"/>
  <c r="C3" i="39"/>
  <c r="L70" i="34" l="1"/>
  <c r="L68" i="34"/>
  <c r="L69" i="34"/>
  <c r="L66" i="34"/>
  <c r="L67" i="34"/>
  <c r="N64" i="34"/>
  <c r="N65" i="34" s="1"/>
  <c r="M65" i="34"/>
  <c r="AL67" i="34"/>
  <c r="AL69" i="34"/>
  <c r="AL66" i="34"/>
  <c r="AL70" i="34"/>
  <c r="AL68" i="34"/>
  <c r="AM65" i="34"/>
  <c r="AN64" i="34"/>
  <c r="H66" i="34"/>
  <c r="H69" i="34"/>
  <c r="H70" i="34"/>
  <c r="H67" i="34"/>
  <c r="H68" i="34"/>
  <c r="C42" i="39"/>
  <c r="C41" i="39"/>
  <c r="G65" i="34"/>
  <c r="F64" i="34"/>
  <c r="F65" i="34" s="1"/>
  <c r="AJ67" i="34"/>
  <c r="AJ70" i="34"/>
  <c r="AJ69" i="34"/>
  <c r="AJ66" i="34"/>
  <c r="AJ68" i="34"/>
  <c r="F40" i="39"/>
  <c r="AH64" i="34"/>
  <c r="AI65" i="34"/>
  <c r="H39" i="20"/>
  <c r="H38" i="20"/>
  <c r="G38" i="38"/>
  <c r="G39" i="38"/>
  <c r="D39" i="20"/>
  <c r="D38" i="20"/>
  <c r="D38" i="38"/>
  <c r="D39" i="38"/>
  <c r="I39" i="20"/>
  <c r="I38" i="20"/>
  <c r="F39" i="20"/>
  <c r="F38" i="20"/>
  <c r="I38" i="38"/>
  <c r="I39" i="38"/>
  <c r="G38" i="20"/>
  <c r="G39" i="20"/>
  <c r="E38" i="38"/>
  <c r="E39" i="38"/>
  <c r="F38" i="38"/>
  <c r="F39" i="38"/>
  <c r="E39" i="20"/>
  <c r="E38" i="20"/>
  <c r="H39" i="38"/>
  <c r="H38" i="38"/>
  <c r="AG29" i="34"/>
  <c r="AG14" i="34"/>
  <c r="AG16" i="34"/>
  <c r="AG18" i="34"/>
  <c r="AG31" i="34"/>
  <c r="AG17" i="34"/>
  <c r="AG28" i="34"/>
  <c r="AG15" i="34"/>
  <c r="AG30" i="34"/>
  <c r="AG27" i="34"/>
  <c r="AH15" i="34"/>
  <c r="AH29" i="34"/>
  <c r="AH27" i="34"/>
  <c r="AH30" i="34"/>
  <c r="AH31" i="34"/>
  <c r="AH17" i="34"/>
  <c r="AH18" i="34"/>
  <c r="AH14" i="34"/>
  <c r="AH16" i="34"/>
  <c r="AH28" i="34"/>
  <c r="S16" i="34"/>
  <c r="S17" i="34"/>
  <c r="S15" i="34"/>
  <c r="S14" i="34"/>
  <c r="S18" i="34"/>
  <c r="G28" i="34"/>
  <c r="G29" i="34"/>
  <c r="G17" i="34"/>
  <c r="G27" i="34"/>
  <c r="G30" i="34"/>
  <c r="G31" i="34"/>
  <c r="G15" i="34"/>
  <c r="G18" i="34"/>
  <c r="G16" i="34"/>
  <c r="G14" i="34"/>
  <c r="C7" i="39"/>
  <c r="F4" i="39" s="1"/>
  <c r="Z16" i="34"/>
  <c r="Z14" i="34"/>
  <c r="Z17" i="34"/>
  <c r="Z15" i="34"/>
  <c r="Z18" i="34"/>
  <c r="F13" i="34"/>
  <c r="R12" i="34"/>
  <c r="R13" i="34" s="1"/>
  <c r="N16" i="34"/>
  <c r="N15" i="34"/>
  <c r="N29" i="34"/>
  <c r="N17" i="34"/>
  <c r="N31" i="34"/>
  <c r="N30" i="34"/>
  <c r="N14" i="34"/>
  <c r="N18" i="34"/>
  <c r="N28" i="34"/>
  <c r="N27" i="34"/>
  <c r="M66" i="34" l="1"/>
  <c r="M67" i="34"/>
  <c r="M70" i="34"/>
  <c r="M69" i="34"/>
  <c r="M68" i="34"/>
  <c r="C45" i="39"/>
  <c r="F42" i="39" s="1"/>
  <c r="AM69" i="34"/>
  <c r="AM67" i="34"/>
  <c r="AM70" i="34"/>
  <c r="AM66" i="34"/>
  <c r="AM68" i="34"/>
  <c r="AI67" i="34"/>
  <c r="AI69" i="34"/>
  <c r="AI68" i="34"/>
  <c r="AI66" i="34"/>
  <c r="AI70" i="34"/>
  <c r="G70" i="34"/>
  <c r="G68" i="34"/>
  <c r="G67" i="34"/>
  <c r="G69" i="34"/>
  <c r="G66" i="34"/>
  <c r="F68" i="34"/>
  <c r="F70" i="34"/>
  <c r="F69" i="34"/>
  <c r="F67" i="34"/>
  <c r="F66" i="34"/>
  <c r="AO64" i="34"/>
  <c r="AO65" i="34" s="1"/>
  <c r="AN65" i="34"/>
  <c r="AH65" i="34"/>
  <c r="AG64" i="34"/>
  <c r="AG65" i="34" s="1"/>
  <c r="N66" i="34"/>
  <c r="N70" i="34"/>
  <c r="N67" i="34"/>
  <c r="N68" i="34"/>
  <c r="N69" i="34"/>
  <c r="R17" i="34"/>
  <c r="R14" i="34"/>
  <c r="R18" i="34"/>
  <c r="R16" i="34"/>
  <c r="R15" i="34"/>
  <c r="F17" i="34"/>
  <c r="F28" i="34"/>
  <c r="F15" i="34"/>
  <c r="F14" i="34"/>
  <c r="F16" i="34"/>
  <c r="F27" i="34"/>
  <c r="F29" i="34"/>
  <c r="F18" i="34"/>
  <c r="F30" i="34"/>
  <c r="F31" i="34"/>
  <c r="AN68" i="34" l="1"/>
  <c r="AN66" i="34"/>
  <c r="AN67" i="34"/>
  <c r="AN70" i="34"/>
  <c r="AN69" i="34"/>
  <c r="AO66" i="34"/>
  <c r="AO67" i="34"/>
  <c r="AO69" i="34"/>
  <c r="AO70" i="34"/>
  <c r="AO68" i="34"/>
  <c r="AG68" i="34"/>
  <c r="AG70" i="34"/>
  <c r="AG66" i="34"/>
  <c r="AG69" i="34"/>
  <c r="AG67" i="34"/>
  <c r="AH70" i="34"/>
  <c r="AH66" i="34"/>
  <c r="AH69" i="34"/>
  <c r="AH68" i="34"/>
  <c r="AH67" i="34"/>
</calcChain>
</file>

<file path=xl/sharedStrings.xml><?xml version="1.0" encoding="utf-8"?>
<sst xmlns="http://schemas.openxmlformats.org/spreadsheetml/2006/main" count="507" uniqueCount="144">
  <si>
    <t>Rand/ton</t>
  </si>
  <si>
    <t>Gewas</t>
  </si>
  <si>
    <t>SAFEX pryse (R/ton)</t>
  </si>
  <si>
    <t>Lopendekoste / Variable cost (R/ha)</t>
  </si>
  <si>
    <t>Huidig</t>
  </si>
  <si>
    <t>Oorhoofse koste / Overhead cost (R/ha)</t>
  </si>
  <si>
    <t>SAFEX prys / price(R/ton)</t>
  </si>
  <si>
    <t>Totale Koste / Total cost (R/ha)</t>
  </si>
  <si>
    <t>Produsenteprys/ Producer price</t>
  </si>
  <si>
    <t>Opbrengs / Yield (t/ha)</t>
  </si>
  <si>
    <t>Gemid Opbrengs / Average Yield (t/ha)</t>
  </si>
  <si>
    <t xml:space="preserve">Aftrekkings / Deductions </t>
  </si>
  <si>
    <t>Produsenteprys/ Producer price (R/ton)</t>
  </si>
  <si>
    <t>Huidige</t>
  </si>
  <si>
    <t>Produsent prys raming vir droëland SOJABONE vir die                                                   / Producer price framework for dry land SOYBEANS for the</t>
  </si>
  <si>
    <t>Produsent prys raming vir droëland GRAANSORGHUM vir die                                                                 Producer price framework for dry land GRAIN SORGHUM for the</t>
  </si>
  <si>
    <t>Huidige Produkprys op plaas vir beste graad / Current product price for the best grade (R/TON) (Safex min bemarkingskoste/marketing cost)</t>
  </si>
  <si>
    <t>Beplanningsopbrengs / Estimated yields (ton/ha)</t>
  </si>
  <si>
    <t>Bruto produksiewaarde / Gross production value (R/ha)</t>
  </si>
  <si>
    <t>Direk Toedeelbare veranderlike koste / Direct Allocated Variable costs (R/ha)</t>
  </si>
  <si>
    <t>Saad / Seed</t>
  </si>
  <si>
    <t>Kunsmis / Fertiliser</t>
  </si>
  <si>
    <t>Kalk / Lime</t>
  </si>
  <si>
    <t>Brandstof / Fuel</t>
  </si>
  <si>
    <t>Reparasie / Reparation</t>
  </si>
  <si>
    <t>Onkruiddoders / Herbicide</t>
  </si>
  <si>
    <t>Plaagdoder / Pest control</t>
  </si>
  <si>
    <t>Insetversekering / Input insurance</t>
  </si>
  <si>
    <t>Besproeiingskoste / Irrigation cost</t>
  </si>
  <si>
    <t>Graanprysverskansing / Grain hedging</t>
  </si>
  <si>
    <t>Kontrakstroop / Contract Harvesting</t>
  </si>
  <si>
    <t>Oesversekering / Harvest insurance</t>
  </si>
  <si>
    <t>Lugspuit / Aerial spray</t>
  </si>
  <si>
    <t>Losarbeid / Casual labour</t>
  </si>
  <si>
    <t>Droogkoste / Drying cost</t>
  </si>
  <si>
    <t>Verpakking en Pakmateriaal / Packaging and packaging material</t>
  </si>
  <si>
    <t>Produksiekrediet rente / Interest on production R/ha</t>
  </si>
  <si>
    <t>Totale Direk Toedeelbare veranderlike koste / Total Direct Allocated Variable Cost  (R/ha)</t>
  </si>
  <si>
    <t>Totale Oorhoofse koste / Total overhead cost R/ha</t>
  </si>
  <si>
    <t>Totale Koste per ha voor fisiese bemarking R/ha / Total cost per ha before marketing cost R/ha</t>
  </si>
  <si>
    <t>Totale koste per ton voor fisiese bemarking R/Ton / Total cost per ton before marketing cost R/Ton</t>
  </si>
  <si>
    <t>Totale bemarkingskoste / Total marketing cost R/ton</t>
  </si>
  <si>
    <t>Verwagte minimum Safex prys SONDER wins/ Expected minimum Safex price, WITHOUT profit</t>
  </si>
  <si>
    <t xml:space="preserve">Produsent prys raming vir droëland BT WIT MIELIES VERMINDERDE BEWERKING vir die /                                         Producer price framework for dry land WHITE BT MAIZE MINIMUM TILLAGE for the </t>
  </si>
  <si>
    <t xml:space="preserve">Safex prys / Safex price </t>
  </si>
  <si>
    <r>
      <t>Disclaimer:</t>
    </r>
    <r>
      <rPr>
        <sz val="11"/>
        <rFont val="Calibri"/>
        <family val="2"/>
      </rPr>
      <t xml:space="preserve"> The information herein has been obtained from various sources, the accuracy and/or completeness of which Grain SA does not</t>
    </r>
  </si>
  <si>
    <t>guarantee and for which Grain SA accepts no liability. Any prices or levels contained herein are preliminary and indicative only and do not</t>
  </si>
  <si>
    <t>represent bids or offers. These indications are provided solely for your information and consideration.</t>
  </si>
  <si>
    <t xml:space="preserve">                                        Thank you to the Maize Trust for partially funding this project</t>
  </si>
  <si>
    <t>Produsent prys raming vir BESPROEIING MIELIES vir die  /                                                              Producer price framework for IRRIGATION MAIZE for the</t>
  </si>
  <si>
    <t>SORGHUM</t>
  </si>
  <si>
    <t>Datum opgedateer / Date updated</t>
  </si>
  <si>
    <t>OOSTELIKE HOEVELD / EASTERN HIGHVELD</t>
  </si>
  <si>
    <t>Total deductions (R/ton)</t>
  </si>
  <si>
    <t xml:space="preserve">Produsent prys raming vir droëland SOJABONE verminderde bewerking  /                          Producer price framework for dry land SOYBEANS minimum tillage </t>
  </si>
  <si>
    <t>ROUNDUP READY MIELIES / MAIZE</t>
  </si>
  <si>
    <t>BT MIELIES VERMINDERDE BEWERKING / BT MAIZE MIN TILLAGE</t>
  </si>
  <si>
    <t>SOJABONE / SOYBEANS</t>
  </si>
  <si>
    <t>SOJABONE VERMINDERDE BEWERKING / SOYBEANS MIN TILLAGE</t>
  </si>
  <si>
    <t>Graansorghum / Grain sorghum</t>
  </si>
  <si>
    <t>Opbrengspeil</t>
  </si>
  <si>
    <t>Lopende koste</t>
  </si>
  <si>
    <t>Oorhoofse koste</t>
  </si>
  <si>
    <t>RRMielies</t>
  </si>
  <si>
    <t>VerminMielies</t>
  </si>
  <si>
    <t>Soja</t>
  </si>
  <si>
    <t>Sorghum</t>
  </si>
  <si>
    <t>SAFEX prys/price  (R/ton)</t>
  </si>
  <si>
    <t>PRODUKSIEJAAR   2017-18   PRODUCTION YEAR 2017-18</t>
  </si>
  <si>
    <t>PRODUKSIEJAAR   2017-18                   PRODUCTION YEAR 2017-18</t>
  </si>
  <si>
    <t>Safex prys / Safex price - Jul 18</t>
  </si>
  <si>
    <t>Safex prys / Safex price - May 18</t>
  </si>
  <si>
    <t>MIELIES: SENSITIWITEITSANALISE - TOTALE KOSTES ( DIREKTE KOSTE + VASTE KOSTE) R/ton</t>
  </si>
  <si>
    <t>MIELIES: SENSITIWITEITSANALISE - DIREKTE KOSTE R/ton</t>
  </si>
  <si>
    <t>SOJABONE: SENSITIWITEITSANALISE - TOTALE KOSTES ( DIREKTE KOSTE + VASTE KOSTE) R/ton</t>
  </si>
  <si>
    <t>SOJABONE: SENSITIWITEITSANALISE - DIREKTE KOSTE R/ton</t>
  </si>
  <si>
    <t>SORGHUM: SENSITIWITEITSANALISE - TOTALE KOSTES ( DIREKTE KOSTE + VASTE KOSTE) R/ton</t>
  </si>
  <si>
    <t>SORGHUM: SENSITIWITEITSANALISE - DIREKTE KOSTE R/ton</t>
  </si>
  <si>
    <t xml:space="preserve">Crop </t>
  </si>
  <si>
    <t xml:space="preserve">1) INCOME </t>
  </si>
  <si>
    <t>Yield target (ton/ha)</t>
  </si>
  <si>
    <t xml:space="preserve">SAFEX: Estimated Price </t>
  </si>
  <si>
    <t xml:space="preserve">Deductions </t>
  </si>
  <si>
    <t>Net Farm Gate Price</t>
  </si>
  <si>
    <t>GROSS INCOME (R/ha)</t>
  </si>
  <si>
    <t xml:space="preserve">2) VARIABLE EXPENDITURES </t>
  </si>
  <si>
    <t>TOTAL VARIABLE EXPENDITURE (R/ha)</t>
  </si>
  <si>
    <t>TOTAL FIXED COST (R/ha)</t>
  </si>
  <si>
    <t>TOTAL COST (R/ha)</t>
  </si>
  <si>
    <t>3) GROSS MARGIN  (R/ha)</t>
  </si>
  <si>
    <t>4) NETT MARGIN  (R/ha)</t>
  </si>
  <si>
    <r>
      <rPr>
        <b/>
        <sz val="11"/>
        <color indexed="8"/>
        <rFont val="Calibri"/>
        <family val="2"/>
      </rPr>
      <t>Disclaimer:</t>
    </r>
    <r>
      <rPr>
        <sz val="10"/>
        <rFont val="Arial"/>
        <family val="2"/>
      </rPr>
      <t xml:space="preserve"> The information herein has been obtained from various sources, the accuracy and/or completeness of which Grain SA does not guarantee and for which Grain SA accepts no liability. Any prices or levels contained herein are preliminary and indicative only and do not represent bids or offers. These indications are provided solely for your information and consideration.</t>
    </r>
  </si>
  <si>
    <t xml:space="preserve">SUMMARY </t>
  </si>
  <si>
    <t>LGO (ton/ha)</t>
  </si>
  <si>
    <t>Net Farm Gate Price (R/ha)</t>
  </si>
  <si>
    <t>Net Farm Gate Price (R/ton)</t>
  </si>
  <si>
    <t>Total variable &amp; fixed expenditure (R/ha)</t>
  </si>
  <si>
    <t>Total variable &amp; fixed expenditure (R/ton)</t>
  </si>
  <si>
    <t>Nett margin (R/ha)</t>
  </si>
  <si>
    <t>Net margin (R/ton)</t>
  </si>
  <si>
    <t>Break-even yields (t/ha)</t>
  </si>
  <si>
    <t>Break-even Safex price (t/ha)</t>
  </si>
  <si>
    <t xml:space="preserve">2) EXPENDITURES </t>
  </si>
  <si>
    <t>Total variable cost (R/ha)</t>
  </si>
  <si>
    <t>Total variable cost (R/ton)</t>
  </si>
  <si>
    <t>3) MARGIN</t>
  </si>
  <si>
    <t>Gross margin (R/ha)</t>
  </si>
  <si>
    <t>Gross margin (R/ton)</t>
  </si>
  <si>
    <t>BREAK-EVEN &amp; PROFITABILITY (ONLY variable cost)</t>
  </si>
  <si>
    <t>BREAK-EVEN &amp; PROFITABILITY (variable &amp; fixed cost)</t>
  </si>
  <si>
    <t>Produsent prys raming vir droëland RR MIELIES vir die  /                                                        Producer price framework for dry land RR MAIZE for the</t>
  </si>
  <si>
    <t>Produsent prys raming vir droëland SOJABONE vermin bewerk vir die                                                   / Producer price framework for dry land SOYBEANS min tillage for the</t>
  </si>
  <si>
    <t>Produsent prys raming vir droëland MIELIES vermin bewerk vir die  /                                                        Producer price framework for dry land MAIZE min tillage for the</t>
  </si>
  <si>
    <t>SAFEX Jul'19 WM 1 prys/price  (R/ton)</t>
  </si>
  <si>
    <t>SAFEX Mei'19Soy prys/price  (R/ton)</t>
  </si>
  <si>
    <t>SAFEX Mei'19 Soy prys/price  (R/ton)</t>
  </si>
  <si>
    <t>BRUTO MARGE / GROSS MARGIN  (R/ha)</t>
  </si>
  <si>
    <t>NETTO MARGE / NETT MARGIN  (R/ha)</t>
  </si>
  <si>
    <t>Safex prys / Safex price - Jul 23</t>
  </si>
  <si>
    <t>Safex prys / Safex price - May 23</t>
  </si>
  <si>
    <t>Winsgewendheid: Mielies</t>
  </si>
  <si>
    <t>Pointer</t>
  </si>
  <si>
    <t>Start</t>
  </si>
  <si>
    <t>% NM van tot</t>
  </si>
  <si>
    <t>Veranderlike koste</t>
  </si>
  <si>
    <t>Vaste koste</t>
  </si>
  <si>
    <t>End</t>
  </si>
  <si>
    <t>Totale inkomste</t>
  </si>
  <si>
    <t>Max</t>
  </si>
  <si>
    <t>Totaal</t>
  </si>
  <si>
    <t>Netto Marge</t>
  </si>
  <si>
    <t>Winsgewendheid: Sojabone</t>
  </si>
  <si>
    <t>Winsgewendheid: Sorghum</t>
  </si>
  <si>
    <t>R670/ton</t>
  </si>
  <si>
    <t>2ton kalk</t>
  </si>
  <si>
    <t>Mielies / Maize- Jul 26</t>
  </si>
  <si>
    <t>Sojabone / Soybeans- Mei 26</t>
  </si>
  <si>
    <t>2025/26 season</t>
  </si>
  <si>
    <t>PRODUKSIEJAAR   2025-26                     PRODUCTION YEAR 2025-26</t>
  </si>
  <si>
    <t>*Soja verminderde bewerking, graansorghum en besproeiingmielies</t>
  </si>
  <si>
    <t>*Kyk na soja opbrengsmikpunte</t>
  </si>
  <si>
    <t>Gewasbeskerming / Crop Protection</t>
  </si>
  <si>
    <r>
      <rPr>
        <b/>
        <sz val="11"/>
        <color indexed="30"/>
        <rFont val="Calibri"/>
        <family val="2"/>
      </rPr>
      <t>EASTERN HIGHVELD</t>
    </r>
    <r>
      <rPr>
        <b/>
        <sz val="11"/>
        <color indexed="8"/>
        <rFont val="Calibri"/>
        <family val="2"/>
      </rPr>
      <t xml:space="preserve"> INCOME &amp; COST BUDGETS - SUMMER CROPS 2025/26</t>
    </r>
  </si>
  <si>
    <t>PRODUKSIEJAAR   2025-26                    PRODUCTION YEAR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</si>
</sst>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_ &quot;R&quot;\ * #,##0.00_ ;_ &quot;R&quot;\ * \-#,##0.00_ ;_ &quot;R&quot;\ * &quot;-&quot;??_ ;_ @_ "/>
    <numFmt numFmtId="165" formatCode="_ * #,##0.00_ ;_ * \-#,##0.00_ ;_ * &quot;-&quot;??_ ;_ @_ "/>
    <numFmt numFmtId="166" formatCode="_(* #,##0.00_);_(* \(#,##0.00\);_(* &quot;-&quot;??_);_(@_)"/>
    <numFmt numFmtId="167" formatCode="0.00_)"/>
    <numFmt numFmtId="168" formatCode="0_)"/>
    <numFmt numFmtId="169" formatCode="0.0"/>
    <numFmt numFmtId="170" formatCode="_ * #,##0.0_ ;_ * \-#,##0.0_ ;_ * &quot;-&quot;?_ ;_ @_ "/>
    <numFmt numFmtId="171" formatCode="_ * #,##0_ ;_ * \-#,##0_ ;_ * &quot;-&quot;??_ ;_ @_ "/>
    <numFmt numFmtId="172" formatCode="&quot;R&quot;\ #,##0.00"/>
    <numFmt numFmtId="173" formatCode="&quot;R&quot;\ #,##0"/>
    <numFmt numFmtId="174" formatCode="_(&quot;$&quot;* #,##0.00_);_(&quot;$&quot;* \(#,##0.00\);_(&quot;$&quot;* &quot;-&quot;??_);_(@_)"/>
    <numFmt numFmtId="175" formatCode="_ [$R-1C09]\ * #,##0.00_ ;_ [$R-1C09]\ * \-#,##0.00_ ;_ [$R-1C09]\ * &quot;-&quot;??_ ;_ @_ "/>
    <numFmt numFmtId="176" formatCode="&quot;R&quot;\ #,##0.0"/>
  </numFmts>
  <fonts count="40"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b/>
      <sz val="10"/>
      <color indexed="10"/>
      <name val="Arial"/>
      <family val="2"/>
    </font>
    <font>
      <u/>
      <sz val="10"/>
      <color indexed="12"/>
      <name val="Courier"/>
      <family val="3"/>
    </font>
    <font>
      <b/>
      <sz val="12"/>
      <name val="Arial"/>
      <family val="2"/>
    </font>
    <font>
      <sz val="12"/>
      <name val="Arial"/>
      <family val="2"/>
    </font>
    <font>
      <sz val="10"/>
      <name val="Segoe UI"/>
      <family val="2"/>
    </font>
    <font>
      <sz val="10"/>
      <name val="Arial"/>
      <family val="2"/>
    </font>
    <font>
      <sz val="10"/>
      <name val="Arial Black"/>
      <family val="2"/>
    </font>
    <font>
      <sz val="8"/>
      <name val="Arial"/>
      <family val="2"/>
    </font>
    <font>
      <sz val="10"/>
      <name val="Arial"/>
      <family val="2"/>
    </font>
    <font>
      <b/>
      <sz val="11"/>
      <name val="Arial"/>
      <family val="2"/>
    </font>
    <font>
      <b/>
      <sz val="11"/>
      <name val="Calibri"/>
      <family val="2"/>
    </font>
    <font>
      <sz val="11"/>
      <name val="Calibri"/>
      <family val="2"/>
    </font>
    <font>
      <sz val="11"/>
      <color indexed="8"/>
      <name val="Calibri"/>
      <family val="2"/>
    </font>
    <font>
      <sz val="10"/>
      <name val="Arial"/>
      <family val="2"/>
    </font>
    <font>
      <u/>
      <sz val="7.5"/>
      <color indexed="12"/>
      <name val="Arial"/>
      <family val="2"/>
    </font>
    <font>
      <b/>
      <sz val="11"/>
      <color indexed="8"/>
      <name val="Calibri"/>
      <family val="2"/>
    </font>
    <font>
      <b/>
      <sz val="11"/>
      <color indexed="30"/>
      <name val="Calibri"/>
      <family val="2"/>
    </font>
    <font>
      <sz val="11"/>
      <name val="Times New Roman"/>
      <family val="1"/>
    </font>
    <font>
      <sz val="11"/>
      <color theme="1"/>
      <name val="Calibri"/>
      <family val="2"/>
      <scheme val="minor"/>
    </font>
    <font>
      <sz val="10"/>
      <color theme="1"/>
      <name val="Arial"/>
      <family val="2"/>
    </font>
    <font>
      <b/>
      <sz val="11"/>
      <color theme="1"/>
      <name val="Calibri"/>
      <family val="2"/>
      <scheme val="minor"/>
    </font>
    <font>
      <sz val="11"/>
      <color rgb="FFFF0000"/>
      <name val="Calibri"/>
      <family val="2"/>
      <scheme val="minor"/>
    </font>
    <font>
      <b/>
      <sz val="10"/>
      <color rgb="FFFF0000"/>
      <name val="Arial"/>
      <family val="2"/>
    </font>
    <font>
      <b/>
      <sz val="10"/>
      <color theme="1"/>
      <name val="Arial"/>
      <family val="2"/>
    </font>
    <font>
      <b/>
      <sz val="11"/>
      <name val="Calibri"/>
      <family val="2"/>
      <scheme val="minor"/>
    </font>
    <font>
      <sz val="11"/>
      <name val="Calibri"/>
      <family val="2"/>
      <scheme val="minor"/>
    </font>
    <font>
      <b/>
      <sz val="18"/>
      <color rgb="FF00B050"/>
      <name val="Arial"/>
      <family val="2"/>
    </font>
    <font>
      <b/>
      <sz val="11"/>
      <color rgb="FFFF0000"/>
      <name val="Calibri"/>
      <family val="2"/>
      <scheme val="minor"/>
    </font>
    <font>
      <b/>
      <sz val="11"/>
      <color theme="1"/>
      <name val="Calibri"/>
      <family val="2"/>
    </font>
    <font>
      <b/>
      <sz val="11"/>
      <color theme="0"/>
      <name val="Calibri"/>
      <family val="2"/>
      <scheme val="minor"/>
    </font>
    <font>
      <b/>
      <sz val="11"/>
      <color theme="0"/>
      <name val="Arial"/>
      <family val="2"/>
    </font>
    <font>
      <sz val="10"/>
      <color theme="0"/>
      <name val="Arial"/>
      <family val="2"/>
    </font>
    <font>
      <b/>
      <sz val="12"/>
      <color theme="0"/>
      <name val="Arial"/>
      <family val="2"/>
    </font>
    <font>
      <sz val="10"/>
      <color rgb="FFFF0000"/>
      <name val="Arial"/>
      <family val="2"/>
    </font>
    <font>
      <sz val="10"/>
      <name val="Arial"/>
      <family val="2"/>
    </font>
  </fonts>
  <fills count="1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9"/>
        <bgColor indexed="9"/>
      </patternFill>
    </fill>
    <fill>
      <patternFill patternType="solid">
        <fgColor rgb="FFF96FDB"/>
        <bgColor indexed="64"/>
      </patternFill>
    </fill>
    <fill>
      <patternFill patternType="solid">
        <fgColor rgb="FF00B0F0"/>
        <bgColor indexed="64"/>
      </patternFill>
    </fill>
    <fill>
      <patternFill patternType="solid">
        <fgColor theme="0"/>
        <bgColor indexed="64"/>
      </patternFill>
    </fill>
    <fill>
      <patternFill patternType="solid">
        <fgColor theme="0"/>
        <bgColor theme="0"/>
      </patternFill>
    </fill>
    <fill>
      <patternFill patternType="solid">
        <fgColor theme="0" tint="-0.14999847407452621"/>
        <bgColor theme="0"/>
      </patternFill>
    </fill>
    <fill>
      <patternFill patternType="solid">
        <fgColor theme="0" tint="-0.14999847407452621"/>
        <bgColor indexed="9"/>
      </patternFill>
    </fill>
    <fill>
      <patternFill patternType="solid">
        <fgColor rgb="FF3A6367"/>
        <bgColor indexed="64"/>
      </patternFill>
    </fill>
    <fill>
      <patternFill patternType="solid">
        <fgColor rgb="FFAD9244"/>
        <bgColor indexed="64"/>
      </patternFill>
    </fill>
    <fill>
      <patternFill patternType="solid">
        <fgColor theme="4" tint="-0.249977111117893"/>
        <bgColor indexed="64"/>
      </patternFill>
    </fill>
  </fills>
  <borders count="45">
    <border>
      <left/>
      <right/>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26">
    <xf numFmtId="0" fontId="0" fillId="0" borderId="0"/>
    <xf numFmtId="165"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3"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2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4" fontId="4" fillId="0" borderId="0" applyFont="0" applyFill="0" applyBorder="0" applyAlignment="0" applyProtection="0"/>
    <xf numFmtId="164" fontId="23"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4" fillId="0" borderId="0"/>
    <xf numFmtId="0" fontId="9" fillId="0" borderId="0"/>
    <xf numFmtId="0" fontId="4" fillId="0" borderId="0"/>
    <xf numFmtId="0" fontId="12" fillId="0" borderId="0"/>
    <xf numFmtId="0" fontId="4" fillId="0" borderId="0"/>
    <xf numFmtId="0" fontId="4" fillId="0" borderId="0"/>
    <xf numFmtId="0" fontId="9" fillId="0" borderId="0"/>
    <xf numFmtId="0" fontId="12" fillId="0" borderId="0"/>
    <xf numFmtId="0" fontId="24" fillId="0" borderId="0"/>
    <xf numFmtId="0" fontId="24" fillId="0" borderId="0"/>
    <xf numFmtId="0" fontId="4" fillId="0" borderId="0"/>
    <xf numFmtId="0" fontId="24" fillId="0" borderId="0"/>
    <xf numFmtId="0" fontId="24" fillId="0" borderId="0"/>
    <xf numFmtId="0" fontId="22" fillId="0" borderId="0"/>
    <xf numFmtId="0" fontId="4" fillId="0" borderId="0"/>
    <xf numFmtId="0" fontId="24" fillId="0" borderId="0"/>
    <xf numFmtId="0" fontId="23" fillId="0" borderId="0"/>
    <xf numFmtId="0" fontId="24" fillId="0" borderId="0"/>
    <xf numFmtId="0" fontId="4" fillId="0" borderId="0"/>
    <xf numFmtId="0" fontId="4" fillId="0" borderId="0"/>
    <xf numFmtId="0" fontId="24" fillId="0" borderId="0"/>
    <xf numFmtId="0" fontId="24" fillId="0" borderId="0"/>
    <xf numFmtId="0" fontId="4" fillId="0" borderId="0"/>
    <xf numFmtId="0" fontId="24" fillId="0" borderId="0"/>
    <xf numFmtId="0" fontId="24" fillId="0" borderId="0"/>
    <xf numFmtId="0" fontId="4" fillId="0" borderId="0"/>
    <xf numFmtId="0" fontId="23" fillId="0" borderId="0"/>
    <xf numFmtId="0" fontId="12" fillId="0" borderId="0"/>
    <xf numFmtId="0" fontId="12" fillId="0" borderId="0"/>
    <xf numFmtId="0" fontId="23" fillId="0" borderId="0"/>
    <xf numFmtId="0" fontId="4" fillId="0" borderId="0"/>
    <xf numFmtId="0" fontId="9" fillId="0" borderId="0"/>
    <xf numFmtId="0" fontId="12" fillId="0" borderId="0"/>
    <xf numFmtId="0" fontId="9"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0" fontId="2" fillId="0" borderId="0"/>
    <xf numFmtId="9" fontId="39" fillId="0" borderId="0" applyFont="0" applyFill="0" applyBorder="0" applyAlignment="0" applyProtection="0"/>
  </cellStyleXfs>
  <cellXfs count="305">
    <xf numFmtId="0" fontId="0" fillId="0" borderId="0" xfId="0"/>
    <xf numFmtId="0" fontId="4" fillId="0" borderId="0" xfId="0" applyFont="1" applyProtection="1">
      <protection hidden="1"/>
    </xf>
    <xf numFmtId="0" fontId="3" fillId="2" borderId="1" xfId="0" applyFont="1" applyFill="1" applyBorder="1" applyProtection="1">
      <protection hidden="1"/>
    </xf>
    <xf numFmtId="0" fontId="4" fillId="0" borderId="2" xfId="0" applyFont="1" applyBorder="1" applyProtection="1">
      <protection hidden="1"/>
    </xf>
    <xf numFmtId="0" fontId="4" fillId="3" borderId="3" xfId="0" applyFont="1" applyFill="1" applyBorder="1" applyProtection="1">
      <protection hidden="1"/>
    </xf>
    <xf numFmtId="0" fontId="3" fillId="0" borderId="1" xfId="0" applyFont="1" applyBorder="1" applyAlignment="1" applyProtection="1">
      <alignment horizontal="centerContinuous"/>
      <protection hidden="1"/>
    </xf>
    <xf numFmtId="0" fontId="3" fillId="0" borderId="1" xfId="0" applyFont="1" applyBorder="1" applyAlignment="1" applyProtection="1">
      <alignment horizontal="left"/>
      <protection hidden="1"/>
    </xf>
    <xf numFmtId="0" fontId="4" fillId="0" borderId="1" xfId="0" applyFont="1" applyBorder="1" applyAlignment="1" applyProtection="1">
      <alignment horizontal="centerContinuous"/>
      <protection hidden="1"/>
    </xf>
    <xf numFmtId="0" fontId="4" fillId="0" borderId="5" xfId="0" applyFont="1" applyBorder="1" applyProtection="1">
      <protection hidden="1"/>
    </xf>
    <xf numFmtId="2" fontId="3" fillId="0" borderId="6" xfId="0" applyNumberFormat="1" applyFont="1" applyBorder="1" applyProtection="1">
      <protection hidden="1"/>
    </xf>
    <xf numFmtId="166" fontId="4" fillId="0" borderId="0" xfId="0" applyNumberFormat="1" applyFont="1" applyProtection="1">
      <protection hidden="1"/>
    </xf>
    <xf numFmtId="0" fontId="3" fillId="2" borderId="3" xfId="0" applyFont="1" applyFill="1" applyBorder="1" applyProtection="1">
      <protection hidden="1"/>
    </xf>
    <xf numFmtId="0" fontId="7" fillId="0" borderId="7" xfId="0" applyFont="1" applyBorder="1" applyAlignment="1" applyProtection="1">
      <alignment horizontal="left"/>
      <protection hidden="1"/>
    </xf>
    <xf numFmtId="0" fontId="7" fillId="0" borderId="5" xfId="0" applyFont="1" applyBorder="1" applyAlignment="1" applyProtection="1">
      <alignment horizontal="left"/>
      <protection hidden="1"/>
    </xf>
    <xf numFmtId="0" fontId="8" fillId="0" borderId="5" xfId="0" applyFont="1" applyBorder="1" applyProtection="1">
      <protection hidden="1"/>
    </xf>
    <xf numFmtId="0" fontId="4" fillId="3" borderId="1" xfId="0" applyFont="1" applyFill="1" applyBorder="1" applyProtection="1">
      <protection hidden="1"/>
    </xf>
    <xf numFmtId="0" fontId="5" fillId="0" borderId="1" xfId="0" applyFont="1" applyBorder="1" applyProtection="1">
      <protection hidden="1"/>
    </xf>
    <xf numFmtId="0" fontId="4" fillId="0" borderId="3" xfId="0" applyFont="1" applyBorder="1" applyProtection="1">
      <protection hidden="1"/>
    </xf>
    <xf numFmtId="167" fontId="3" fillId="5" borderId="4" xfId="0" applyNumberFormat="1" applyFont="1" applyFill="1" applyBorder="1" applyProtection="1">
      <protection hidden="1"/>
    </xf>
    <xf numFmtId="168" fontId="3" fillId="5" borderId="4" xfId="0" applyNumberFormat="1" applyFont="1" applyFill="1" applyBorder="1" applyAlignment="1" applyProtection="1">
      <alignment horizontal="right"/>
      <protection hidden="1"/>
    </xf>
    <xf numFmtId="0" fontId="4" fillId="3" borderId="4" xfId="0" applyFont="1" applyFill="1" applyBorder="1" applyProtection="1">
      <protection hidden="1"/>
    </xf>
    <xf numFmtId="2" fontId="3" fillId="5" borderId="6" xfId="0" applyNumberFormat="1" applyFont="1" applyFill="1" applyBorder="1" applyProtection="1">
      <protection hidden="1"/>
    </xf>
    <xf numFmtId="166" fontId="3" fillId="0" borderId="0" xfId="0" applyNumberFormat="1" applyFont="1" applyProtection="1">
      <protection hidden="1"/>
    </xf>
    <xf numFmtId="0" fontId="3" fillId="3" borderId="1" xfId="0" applyFont="1" applyFill="1" applyBorder="1" applyProtection="1">
      <protection hidden="1"/>
    </xf>
    <xf numFmtId="165" fontId="3" fillId="0" borderId="8" xfId="0" applyNumberFormat="1" applyFont="1" applyBorder="1" applyProtection="1">
      <protection hidden="1"/>
    </xf>
    <xf numFmtId="165" fontId="3" fillId="0" borderId="9" xfId="0" applyNumberFormat="1" applyFont="1" applyBorder="1" applyProtection="1">
      <protection hidden="1"/>
    </xf>
    <xf numFmtId="165" fontId="3" fillId="4" borderId="4" xfId="0" applyNumberFormat="1" applyFont="1" applyFill="1" applyBorder="1" applyProtection="1">
      <protection hidden="1"/>
    </xf>
    <xf numFmtId="165" fontId="3" fillId="5" borderId="6" xfId="0" applyNumberFormat="1" applyFont="1" applyFill="1" applyBorder="1" applyProtection="1">
      <protection hidden="1"/>
    </xf>
    <xf numFmtId="165" fontId="3" fillId="3" borderId="4" xfId="0" applyNumberFormat="1" applyFont="1" applyFill="1" applyBorder="1" applyProtection="1">
      <protection hidden="1"/>
    </xf>
    <xf numFmtId="165" fontId="3" fillId="0" borderId="6" xfId="0" applyNumberFormat="1" applyFont="1" applyBorder="1" applyProtection="1">
      <protection hidden="1"/>
    </xf>
    <xf numFmtId="165" fontId="3" fillId="4" borderId="4" xfId="0" applyNumberFormat="1" applyFont="1" applyFill="1" applyBorder="1" applyAlignment="1" applyProtection="1">
      <alignment horizontal="right"/>
      <protection hidden="1"/>
    </xf>
    <xf numFmtId="165" fontId="3" fillId="3" borderId="1" xfId="0" applyNumberFormat="1" applyFont="1" applyFill="1" applyBorder="1" applyAlignment="1" applyProtection="1">
      <alignment horizontal="left"/>
      <protection hidden="1"/>
    </xf>
    <xf numFmtId="165" fontId="3" fillId="5" borderId="4" xfId="0" applyNumberFormat="1" applyFont="1" applyFill="1" applyBorder="1" applyProtection="1">
      <protection hidden="1"/>
    </xf>
    <xf numFmtId="165" fontId="3" fillId="5" borderId="4" xfId="0" applyNumberFormat="1" applyFont="1" applyFill="1" applyBorder="1" applyAlignment="1" applyProtection="1">
      <alignment horizontal="right"/>
      <protection hidden="1"/>
    </xf>
    <xf numFmtId="170" fontId="3" fillId="5" borderId="4" xfId="0" applyNumberFormat="1" applyFont="1" applyFill="1" applyBorder="1" applyProtection="1">
      <protection hidden="1"/>
    </xf>
    <xf numFmtId="0" fontId="4" fillId="0" borderId="0" xfId="67"/>
    <xf numFmtId="0" fontId="7" fillId="0" borderId="0" xfId="67" applyFont="1"/>
    <xf numFmtId="0" fontId="4" fillId="0" borderId="10" xfId="67" applyBorder="1" applyAlignment="1">
      <alignment horizontal="center" vertical="center" wrapText="1"/>
    </xf>
    <xf numFmtId="0" fontId="4" fillId="0" borderId="1" xfId="67" applyBorder="1" applyAlignment="1">
      <alignment horizontal="center" vertical="center" wrapText="1"/>
    </xf>
    <xf numFmtId="0" fontId="27" fillId="5" borderId="4" xfId="67" applyFont="1" applyFill="1" applyBorder="1" applyAlignment="1">
      <alignment horizontal="center" vertical="center"/>
    </xf>
    <xf numFmtId="0" fontId="28" fillId="5" borderId="4" xfId="67" applyFont="1" applyFill="1" applyBorder="1" applyAlignment="1">
      <alignment horizontal="center" vertical="center"/>
    </xf>
    <xf numFmtId="0" fontId="27" fillId="5" borderId="1" xfId="67" applyFont="1" applyFill="1" applyBorder="1" applyAlignment="1">
      <alignment horizontal="center" vertical="center"/>
    </xf>
    <xf numFmtId="0" fontId="3" fillId="5" borderId="4" xfId="67" applyFont="1" applyFill="1" applyBorder="1" applyAlignment="1">
      <alignment horizontal="center" vertical="center"/>
    </xf>
    <xf numFmtId="173" fontId="27" fillId="5" borderId="4" xfId="67" applyNumberFormat="1" applyFont="1" applyFill="1" applyBorder="1" applyAlignment="1">
      <alignment horizontal="center" vertical="center"/>
    </xf>
    <xf numFmtId="0" fontId="3" fillId="0" borderId="11" xfId="67" applyFont="1" applyBorder="1" applyAlignment="1">
      <alignment horizontal="center" vertical="center"/>
    </xf>
    <xf numFmtId="173" fontId="27" fillId="0" borderId="11" xfId="67" applyNumberFormat="1" applyFont="1" applyBorder="1" applyAlignment="1">
      <alignment horizontal="center" vertical="center"/>
    </xf>
    <xf numFmtId="0" fontId="27" fillId="0" borderId="11" xfId="67" applyFont="1" applyBorder="1" applyAlignment="1">
      <alignment horizontal="center" vertical="center"/>
    </xf>
    <xf numFmtId="169" fontId="3" fillId="0" borderId="10" xfId="67" applyNumberFormat="1" applyFont="1" applyBorder="1" applyAlignment="1">
      <alignment horizontal="center" vertical="center"/>
    </xf>
    <xf numFmtId="1" fontId="3" fillId="7" borderId="12" xfId="67" applyNumberFormat="1" applyFont="1" applyFill="1" applyBorder="1" applyAlignment="1">
      <alignment horizontal="center" vertical="center"/>
    </xf>
    <xf numFmtId="1" fontId="3" fillId="7" borderId="13" xfId="67" applyNumberFormat="1" applyFont="1" applyFill="1" applyBorder="1" applyAlignment="1">
      <alignment horizontal="center" vertical="center"/>
    </xf>
    <xf numFmtId="1" fontId="3" fillId="8" borderId="13" xfId="67" applyNumberFormat="1" applyFont="1" applyFill="1" applyBorder="1" applyAlignment="1">
      <alignment horizontal="center" vertical="center"/>
    </xf>
    <xf numFmtId="1" fontId="3" fillId="8" borderId="14" xfId="67" applyNumberFormat="1" applyFont="1" applyFill="1" applyBorder="1" applyAlignment="1">
      <alignment horizontal="center" vertical="center"/>
    </xf>
    <xf numFmtId="1" fontId="3" fillId="7" borderId="15" xfId="67" applyNumberFormat="1" applyFont="1" applyFill="1" applyBorder="1" applyAlignment="1">
      <alignment horizontal="center" vertical="center"/>
    </xf>
    <xf numFmtId="1" fontId="3" fillId="7" borderId="16" xfId="67" applyNumberFormat="1" applyFont="1" applyFill="1" applyBorder="1" applyAlignment="1">
      <alignment horizontal="center" vertical="center"/>
    </xf>
    <xf numFmtId="1" fontId="3" fillId="8" borderId="16" xfId="67" applyNumberFormat="1" applyFont="1" applyFill="1" applyBorder="1" applyAlignment="1">
      <alignment horizontal="center" vertical="center"/>
    </xf>
    <xf numFmtId="1" fontId="3" fillId="8" borderId="17" xfId="67" applyNumberFormat="1" applyFont="1" applyFill="1" applyBorder="1" applyAlignment="1">
      <alignment horizontal="center" vertical="center"/>
    </xf>
    <xf numFmtId="169" fontId="27" fillId="0" borderId="10" xfId="67" applyNumberFormat="1" applyFont="1" applyBorder="1" applyAlignment="1">
      <alignment horizontal="center" vertical="center"/>
    </xf>
    <xf numFmtId="1" fontId="3" fillId="7" borderId="18" xfId="67" applyNumberFormat="1" applyFont="1" applyFill="1" applyBorder="1" applyAlignment="1">
      <alignment horizontal="center" vertical="center"/>
    </xf>
    <xf numFmtId="1" fontId="3" fillId="7" borderId="19" xfId="67" applyNumberFormat="1" applyFont="1" applyFill="1" applyBorder="1" applyAlignment="1">
      <alignment horizontal="center" vertical="center"/>
    </xf>
    <xf numFmtId="1" fontId="3" fillId="8" borderId="19" xfId="67" applyNumberFormat="1" applyFont="1" applyFill="1" applyBorder="1" applyAlignment="1">
      <alignment horizontal="center" vertical="center"/>
    </xf>
    <xf numFmtId="1" fontId="3" fillId="8" borderId="20" xfId="67" applyNumberFormat="1" applyFont="1" applyFill="1" applyBorder="1" applyAlignment="1">
      <alignment horizontal="center" vertical="center"/>
    </xf>
    <xf numFmtId="0" fontId="11" fillId="0" borderId="0" xfId="67" applyFont="1" applyAlignment="1">
      <alignment horizontal="center" vertical="center" textRotation="90" wrapText="1"/>
    </xf>
    <xf numFmtId="169" fontId="11" fillId="0" borderId="0" xfId="67" applyNumberFormat="1" applyFont="1" applyAlignment="1">
      <alignment horizontal="center" vertical="center"/>
    </xf>
    <xf numFmtId="1" fontId="11" fillId="0" borderId="0" xfId="67" applyNumberFormat="1" applyFont="1" applyAlignment="1">
      <alignment horizontal="center" vertical="center"/>
    </xf>
    <xf numFmtId="171" fontId="3" fillId="0" borderId="11" xfId="67" applyNumberFormat="1" applyFont="1" applyBorder="1" applyAlignment="1">
      <alignment horizontal="center" vertical="center"/>
    </xf>
    <xf numFmtId="0" fontId="3" fillId="3" borderId="10" xfId="32" applyFont="1" applyFill="1" applyBorder="1" applyAlignment="1" applyProtection="1">
      <alignment horizontal="left"/>
      <protection hidden="1"/>
    </xf>
    <xf numFmtId="0" fontId="3" fillId="3" borderId="1" xfId="32" applyFont="1" applyFill="1" applyBorder="1" applyAlignment="1" applyProtection="1">
      <alignment horizontal="left"/>
      <protection hidden="1"/>
    </xf>
    <xf numFmtId="0" fontId="4" fillId="3" borderId="3" xfId="32" applyFill="1" applyBorder="1" applyProtection="1">
      <protection hidden="1"/>
    </xf>
    <xf numFmtId="0" fontId="3" fillId="0" borderId="10" xfId="32" applyFont="1" applyBorder="1" applyAlignment="1" applyProtection="1">
      <alignment horizontal="left"/>
      <protection hidden="1"/>
    </xf>
    <xf numFmtId="0" fontId="3" fillId="4" borderId="10" xfId="32" applyFont="1" applyFill="1" applyBorder="1" applyAlignment="1" applyProtection="1">
      <alignment horizontal="left"/>
      <protection hidden="1"/>
    </xf>
    <xf numFmtId="0" fontId="3" fillId="0" borderId="21" xfId="32" applyFont="1" applyBorder="1" applyAlignment="1" applyProtection="1">
      <alignment horizontal="left"/>
      <protection hidden="1"/>
    </xf>
    <xf numFmtId="0" fontId="3" fillId="0" borderId="22" xfId="32" applyFont="1" applyBorder="1" applyAlignment="1" applyProtection="1">
      <alignment horizontal="left"/>
      <protection hidden="1"/>
    </xf>
    <xf numFmtId="0" fontId="3" fillId="0" borderId="0" xfId="32" applyFont="1" applyAlignment="1" applyProtection="1">
      <alignment horizontal="left"/>
      <protection hidden="1"/>
    </xf>
    <xf numFmtId="0" fontId="3" fillId="0" borderId="23" xfId="32" applyFont="1" applyBorder="1" applyAlignment="1" applyProtection="1">
      <alignment horizontal="left"/>
      <protection hidden="1"/>
    </xf>
    <xf numFmtId="0" fontId="3" fillId="0" borderId="24" xfId="32" applyFont="1" applyBorder="1" applyAlignment="1" applyProtection="1">
      <alignment horizontal="left"/>
      <protection hidden="1"/>
    </xf>
    <xf numFmtId="0" fontId="3" fillId="0" borderId="25" xfId="32" applyFont="1" applyBorder="1" applyAlignment="1" applyProtection="1">
      <alignment horizontal="left"/>
      <protection hidden="1"/>
    </xf>
    <xf numFmtId="0" fontId="3" fillId="5" borderId="22" xfId="32" applyFont="1" applyFill="1" applyBorder="1" applyAlignment="1" applyProtection="1">
      <alignment horizontal="left"/>
      <protection hidden="1"/>
    </xf>
    <xf numFmtId="0" fontId="3" fillId="5" borderId="0" xfId="32" applyFont="1" applyFill="1" applyAlignment="1" applyProtection="1">
      <alignment horizontal="left"/>
      <protection hidden="1"/>
    </xf>
    <xf numFmtId="0" fontId="3" fillId="0" borderId="1" xfId="32" applyFont="1" applyBorder="1" applyAlignment="1" applyProtection="1">
      <alignment horizontal="left"/>
      <protection hidden="1"/>
    </xf>
    <xf numFmtId="0" fontId="3" fillId="4" borderId="1" xfId="32" applyFont="1" applyFill="1" applyBorder="1" applyAlignment="1" applyProtection="1">
      <alignment horizontal="left"/>
      <protection hidden="1"/>
    </xf>
    <xf numFmtId="167" fontId="3" fillId="4" borderId="3" xfId="32" applyNumberFormat="1" applyFont="1" applyFill="1" applyBorder="1" applyAlignment="1" applyProtection="1">
      <alignment horizontal="left"/>
      <protection hidden="1"/>
    </xf>
    <xf numFmtId="0" fontId="4" fillId="5" borderId="2" xfId="32" applyFill="1" applyBorder="1" applyProtection="1">
      <protection hidden="1"/>
    </xf>
    <xf numFmtId="0" fontId="4" fillId="5" borderId="5" xfId="32" applyFill="1" applyBorder="1" applyProtection="1">
      <protection hidden="1"/>
    </xf>
    <xf numFmtId="0" fontId="16" fillId="5" borderId="7" xfId="32" applyFont="1" applyFill="1" applyBorder="1" applyAlignment="1">
      <alignment vertical="center"/>
    </xf>
    <xf numFmtId="0" fontId="4" fillId="5" borderId="26" xfId="32" applyFill="1" applyBorder="1" applyProtection="1">
      <protection hidden="1"/>
    </xf>
    <xf numFmtId="0" fontId="4" fillId="5" borderId="0" xfId="32" applyFill="1" applyProtection="1">
      <protection hidden="1"/>
    </xf>
    <xf numFmtId="0" fontId="16" fillId="5" borderId="22" xfId="32" applyFont="1" applyFill="1" applyBorder="1" applyAlignment="1">
      <alignment vertical="center"/>
    </xf>
    <xf numFmtId="0" fontId="4" fillId="5" borderId="27" xfId="32" applyFill="1" applyBorder="1" applyProtection="1">
      <protection hidden="1"/>
    </xf>
    <xf numFmtId="0" fontId="4" fillId="5" borderId="28" xfId="32" applyFill="1" applyBorder="1" applyProtection="1">
      <protection hidden="1"/>
    </xf>
    <xf numFmtId="0" fontId="15" fillId="5" borderId="29" xfId="32" applyFont="1" applyFill="1" applyBorder="1" applyAlignment="1">
      <alignment vertical="center"/>
    </xf>
    <xf numFmtId="0" fontId="4" fillId="0" borderId="0" xfId="32"/>
    <xf numFmtId="172" fontId="27" fillId="0" borderId="11" xfId="67" applyNumberFormat="1" applyFont="1" applyBorder="1" applyAlignment="1">
      <alignment horizontal="center" vertical="center"/>
    </xf>
    <xf numFmtId="0" fontId="26" fillId="0" borderId="0" xfId="48" applyFont="1"/>
    <xf numFmtId="165" fontId="26" fillId="0" borderId="0" xfId="48" applyNumberFormat="1" applyFont="1"/>
    <xf numFmtId="0" fontId="0" fillId="9" borderId="30" xfId="0" applyFill="1" applyBorder="1"/>
    <xf numFmtId="0" fontId="0" fillId="9" borderId="0" xfId="0" applyFill="1"/>
    <xf numFmtId="165" fontId="29" fillId="9" borderId="32" xfId="16" applyFont="1" applyFill="1" applyBorder="1" applyAlignment="1"/>
    <xf numFmtId="165" fontId="30" fillId="9" borderId="32" xfId="16" applyFont="1" applyFill="1" applyBorder="1" applyAlignment="1"/>
    <xf numFmtId="165" fontId="30" fillId="9" borderId="0" xfId="16" applyFont="1" applyFill="1" applyBorder="1" applyAlignment="1">
      <alignment horizontal="center" vertical="center" wrapText="1"/>
    </xf>
    <xf numFmtId="173" fontId="30" fillId="9" borderId="0" xfId="0" applyNumberFormat="1" applyFont="1" applyFill="1"/>
    <xf numFmtId="0" fontId="26" fillId="9" borderId="0" xfId="0" applyFont="1" applyFill="1"/>
    <xf numFmtId="0" fontId="26" fillId="0" borderId="0" xfId="0" applyFont="1"/>
    <xf numFmtId="173" fontId="30" fillId="9" borderId="33" xfId="0" applyNumberFormat="1" applyFont="1" applyFill="1" applyBorder="1"/>
    <xf numFmtId="0" fontId="25" fillId="9" borderId="32" xfId="0" applyFont="1" applyFill="1" applyBorder="1"/>
    <xf numFmtId="173" fontId="29" fillId="9" borderId="0" xfId="16" applyNumberFormat="1" applyFont="1" applyFill="1" applyBorder="1" applyAlignment="1">
      <alignment horizontal="center" vertical="center" wrapText="1"/>
    </xf>
    <xf numFmtId="165" fontId="29" fillId="9" borderId="0" xfId="16" applyFont="1" applyFill="1" applyBorder="1" applyAlignment="1">
      <alignment horizontal="center" vertical="center" wrapText="1"/>
    </xf>
    <xf numFmtId="175" fontId="30" fillId="9" borderId="0" xfId="16" applyNumberFormat="1" applyFont="1" applyFill="1" applyBorder="1" applyAlignment="1"/>
    <xf numFmtId="175" fontId="29" fillId="9" borderId="0" xfId="16" applyNumberFormat="1" applyFont="1" applyFill="1" applyBorder="1" applyAlignment="1"/>
    <xf numFmtId="175" fontId="29" fillId="9" borderId="33" xfId="16" applyNumberFormat="1" applyFont="1" applyFill="1" applyBorder="1" applyAlignment="1"/>
    <xf numFmtId="0" fontId="25" fillId="9" borderId="35" xfId="0" applyFont="1" applyFill="1" applyBorder="1"/>
    <xf numFmtId="173" fontId="25" fillId="9" borderId="36" xfId="0" applyNumberFormat="1" applyFont="1" applyFill="1" applyBorder="1"/>
    <xf numFmtId="0" fontId="0" fillId="10" borderId="0" xfId="0" applyFill="1" applyAlignment="1">
      <alignment vertical="center" wrapText="1"/>
    </xf>
    <xf numFmtId="0" fontId="0" fillId="10" borderId="0" xfId="0" applyFill="1" applyAlignment="1">
      <alignment wrapText="1"/>
    </xf>
    <xf numFmtId="0" fontId="0" fillId="10" borderId="0" xfId="0" applyFill="1"/>
    <xf numFmtId="0" fontId="25" fillId="10" borderId="37" xfId="0" applyFont="1" applyFill="1" applyBorder="1"/>
    <xf numFmtId="0" fontId="0" fillId="10" borderId="30" xfId="0" applyFill="1" applyBorder="1"/>
    <xf numFmtId="0" fontId="25" fillId="10" borderId="32" xfId="0" applyFont="1" applyFill="1" applyBorder="1"/>
    <xf numFmtId="0" fontId="25" fillId="10" borderId="5" xfId="0" applyFont="1" applyFill="1" applyBorder="1" applyAlignment="1">
      <alignment horizontal="center" wrapText="1"/>
    </xf>
    <xf numFmtId="165" fontId="30" fillId="10" borderId="32" xfId="16" applyFont="1" applyFill="1" applyBorder="1" applyAlignment="1">
      <alignment horizontal="left"/>
    </xf>
    <xf numFmtId="175" fontId="0" fillId="10" borderId="0" xfId="0" applyNumberFormat="1" applyFill="1"/>
    <xf numFmtId="0" fontId="0" fillId="10" borderId="32" xfId="0" applyFill="1" applyBorder="1"/>
    <xf numFmtId="165" fontId="0" fillId="10" borderId="0" xfId="0" applyNumberFormat="1" applyFill="1"/>
    <xf numFmtId="165" fontId="29" fillId="11" borderId="32" xfId="16" applyFont="1" applyFill="1" applyBorder="1" applyAlignment="1"/>
    <xf numFmtId="165" fontId="0" fillId="11" borderId="0" xfId="0" applyNumberFormat="1" applyFill="1"/>
    <xf numFmtId="175" fontId="0" fillId="11" borderId="0" xfId="0" applyNumberFormat="1" applyFill="1"/>
    <xf numFmtId="2" fontId="0" fillId="10" borderId="33" xfId="0" applyNumberFormat="1" applyFill="1" applyBorder="1"/>
    <xf numFmtId="165" fontId="15" fillId="12" borderId="32" xfId="17" applyFont="1" applyFill="1" applyBorder="1" applyAlignment="1"/>
    <xf numFmtId="0" fontId="4" fillId="6" borderId="32" xfId="32" applyFill="1" applyBorder="1"/>
    <xf numFmtId="175" fontId="3" fillId="12" borderId="0" xfId="0" applyNumberFormat="1" applyFont="1" applyFill="1"/>
    <xf numFmtId="2" fontId="0" fillId="10" borderId="38" xfId="0" applyNumberFormat="1" applyFill="1" applyBorder="1"/>
    <xf numFmtId="0" fontId="15" fillId="12" borderId="32" xfId="32" applyFont="1" applyFill="1" applyBorder="1"/>
    <xf numFmtId="165" fontId="3" fillId="0" borderId="9" xfId="34" applyNumberFormat="1" applyFont="1" applyBorder="1" applyProtection="1">
      <protection hidden="1"/>
    </xf>
    <xf numFmtId="165" fontId="3" fillId="0" borderId="8" xfId="34" applyNumberFormat="1" applyFont="1" applyBorder="1" applyProtection="1">
      <protection hidden="1"/>
    </xf>
    <xf numFmtId="175" fontId="30" fillId="9" borderId="33" xfId="16" applyNumberFormat="1" applyFont="1" applyFill="1" applyBorder="1" applyAlignment="1"/>
    <xf numFmtId="0" fontId="4" fillId="9" borderId="0" xfId="67" applyFill="1"/>
    <xf numFmtId="0" fontId="7" fillId="9" borderId="0" xfId="67" applyFont="1" applyFill="1"/>
    <xf numFmtId="0" fontId="4" fillId="9" borderId="0" xfId="34" applyFill="1"/>
    <xf numFmtId="169" fontId="4" fillId="9" borderId="0" xfId="34" applyNumberFormat="1" applyFill="1" applyAlignment="1">
      <alignment horizontal="center"/>
    </xf>
    <xf numFmtId="0" fontId="3" fillId="9" borderId="0" xfId="32" applyFont="1" applyFill="1"/>
    <xf numFmtId="2" fontId="3" fillId="9" borderId="0" xfId="32" applyNumberFormat="1" applyFont="1" applyFill="1" applyAlignment="1">
      <alignment horizontal="center"/>
    </xf>
    <xf numFmtId="0" fontId="4" fillId="9" borderId="0" xfId="32" applyFill="1"/>
    <xf numFmtId="169" fontId="4" fillId="9" borderId="0" xfId="32" applyNumberFormat="1" applyFill="1" applyAlignment="1">
      <alignment horizontal="center"/>
    </xf>
    <xf numFmtId="0" fontId="25" fillId="9" borderId="0" xfId="34" applyFont="1" applyFill="1"/>
    <xf numFmtId="173" fontId="25" fillId="9" borderId="0" xfId="34" applyNumberFormat="1" applyFont="1" applyFill="1" applyAlignment="1">
      <alignment horizontal="center"/>
    </xf>
    <xf numFmtId="173" fontId="25" fillId="9" borderId="0" xfId="37" applyNumberFormat="1" applyFont="1" applyFill="1" applyAlignment="1">
      <alignment horizontal="center"/>
    </xf>
    <xf numFmtId="14" fontId="3" fillId="9" borderId="0" xfId="67" applyNumberFormat="1" applyFont="1" applyFill="1"/>
    <xf numFmtId="165" fontId="4" fillId="9" borderId="0" xfId="67" applyNumberFormat="1" applyFill="1" applyAlignment="1">
      <alignment horizontal="center"/>
    </xf>
    <xf numFmtId="165" fontId="3" fillId="9" borderId="0" xfId="67" applyNumberFormat="1" applyFont="1" applyFill="1" applyAlignment="1">
      <alignment horizontal="center"/>
    </xf>
    <xf numFmtId="0" fontId="3" fillId="9" borderId="0" xfId="67" applyFont="1" applyFill="1" applyAlignment="1">
      <alignment horizontal="left" vertical="center" wrapText="1"/>
    </xf>
    <xf numFmtId="165" fontId="4" fillId="9" borderId="0" xfId="67" applyNumberFormat="1" applyFill="1" applyAlignment="1">
      <alignment horizontal="center" vertical="center"/>
    </xf>
    <xf numFmtId="0" fontId="3" fillId="9" borderId="0" xfId="67" applyFont="1" applyFill="1" applyAlignment="1">
      <alignment horizontal="center" vertical="center"/>
    </xf>
    <xf numFmtId="0" fontId="4" fillId="9" borderId="0" xfId="67" applyFill="1" applyAlignment="1">
      <alignment horizontal="center" vertical="center"/>
    </xf>
    <xf numFmtId="2" fontId="4" fillId="9" borderId="0" xfId="67" applyNumberFormat="1" applyFill="1" applyAlignment="1">
      <alignment horizontal="center" vertical="center"/>
    </xf>
    <xf numFmtId="165" fontId="4" fillId="9" borderId="0" xfId="67" applyNumberFormat="1" applyFill="1" applyAlignment="1">
      <alignment horizontal="center" vertical="center" wrapText="1"/>
    </xf>
    <xf numFmtId="0" fontId="31" fillId="9" borderId="0" xfId="67" applyFont="1" applyFill="1"/>
    <xf numFmtId="0" fontId="4" fillId="9" borderId="0" xfId="37" applyFill="1"/>
    <xf numFmtId="15" fontId="4" fillId="9" borderId="0" xfId="37" applyNumberFormat="1" applyFill="1"/>
    <xf numFmtId="173" fontId="32" fillId="9" borderId="0" xfId="34" applyNumberFormat="1" applyFont="1" applyFill="1" applyAlignment="1" applyProtection="1">
      <alignment horizontal="center"/>
      <protection locked="0"/>
    </xf>
    <xf numFmtId="0" fontId="4" fillId="9" borderId="0" xfId="67" applyFill="1" applyAlignment="1">
      <alignment horizontal="left" vertical="center"/>
    </xf>
    <xf numFmtId="0" fontId="3" fillId="9" borderId="0" xfId="67" applyFont="1" applyFill="1" applyAlignment="1">
      <alignment horizontal="left" vertical="center"/>
    </xf>
    <xf numFmtId="165" fontId="27" fillId="9" borderId="0" xfId="67" applyNumberFormat="1" applyFont="1" applyFill="1" applyAlignment="1" applyProtection="1">
      <alignment horizontal="center"/>
      <protection locked="0"/>
    </xf>
    <xf numFmtId="0" fontId="4" fillId="9" borderId="0" xfId="67" applyFill="1" applyAlignment="1">
      <alignment horizontal="left" vertical="center" wrapText="1"/>
    </xf>
    <xf numFmtId="0" fontId="3" fillId="9" borderId="0" xfId="34" applyFont="1" applyFill="1" applyProtection="1">
      <protection hidden="1"/>
    </xf>
    <xf numFmtId="0" fontId="3" fillId="9" borderId="0" xfId="67" applyFont="1" applyFill="1" applyAlignment="1">
      <alignment horizontal="center"/>
    </xf>
    <xf numFmtId="0" fontId="4" fillId="9" borderId="0" xfId="67" applyFill="1" applyProtection="1">
      <protection locked="0"/>
    </xf>
    <xf numFmtId="173" fontId="32" fillId="9" borderId="0" xfId="37" applyNumberFormat="1" applyFont="1" applyFill="1" applyAlignment="1" applyProtection="1">
      <alignment horizontal="center"/>
      <protection locked="0"/>
    </xf>
    <xf numFmtId="0" fontId="25" fillId="9" borderId="36" xfId="34" applyFont="1" applyFill="1" applyBorder="1"/>
    <xf numFmtId="0" fontId="25" fillId="9" borderId="36" xfId="34" applyFont="1" applyFill="1" applyBorder="1" applyAlignment="1">
      <alignment horizontal="center" wrapText="1"/>
    </xf>
    <xf numFmtId="0" fontId="25" fillId="9" borderId="36" xfId="37" applyFont="1" applyFill="1" applyBorder="1" applyAlignment="1">
      <alignment horizontal="center" wrapText="1"/>
    </xf>
    <xf numFmtId="0" fontId="3" fillId="9" borderId="39" xfId="34" applyFont="1" applyFill="1" applyBorder="1" applyProtection="1">
      <protection hidden="1"/>
    </xf>
    <xf numFmtId="14" fontId="3" fillId="9" borderId="39" xfId="67" applyNumberFormat="1" applyFont="1" applyFill="1" applyBorder="1"/>
    <xf numFmtId="172" fontId="4" fillId="9" borderId="0" xfId="67" applyNumberFormat="1" applyFill="1" applyAlignment="1">
      <alignment horizontal="right"/>
    </xf>
    <xf numFmtId="172" fontId="3" fillId="9" borderId="25" xfId="67" applyNumberFormat="1" applyFont="1" applyFill="1" applyBorder="1" applyAlignment="1">
      <alignment horizontal="right"/>
    </xf>
    <xf numFmtId="0" fontId="23" fillId="9" borderId="0" xfId="0" applyFont="1" applyFill="1"/>
    <xf numFmtId="0" fontId="33" fillId="9" borderId="37" xfId="0" applyFont="1" applyFill="1" applyBorder="1"/>
    <xf numFmtId="175" fontId="30" fillId="9" borderId="32" xfId="16" applyNumberFormat="1" applyFont="1" applyFill="1" applyBorder="1" applyAlignment="1"/>
    <xf numFmtId="175" fontId="30" fillId="9" borderId="32" xfId="16" applyNumberFormat="1" applyFont="1" applyFill="1" applyBorder="1" applyAlignment="1">
      <alignment wrapText="1"/>
    </xf>
    <xf numFmtId="173" fontId="25" fillId="9" borderId="25" xfId="0" applyNumberFormat="1" applyFont="1" applyFill="1" applyBorder="1"/>
    <xf numFmtId="175" fontId="29" fillId="9" borderId="38" xfId="16" applyNumberFormat="1" applyFont="1" applyFill="1" applyBorder="1" applyAlignment="1"/>
    <xf numFmtId="173" fontId="20" fillId="5" borderId="42" xfId="0" applyNumberFormat="1" applyFont="1" applyFill="1" applyBorder="1"/>
    <xf numFmtId="173" fontId="20" fillId="5" borderId="24" xfId="0" applyNumberFormat="1" applyFont="1" applyFill="1" applyBorder="1"/>
    <xf numFmtId="173" fontId="20" fillId="5" borderId="41" xfId="0" applyNumberFormat="1" applyFont="1" applyFill="1" applyBorder="1"/>
    <xf numFmtId="173" fontId="20" fillId="5" borderId="40" xfId="0" applyNumberFormat="1" applyFont="1" applyFill="1" applyBorder="1"/>
    <xf numFmtId="173" fontId="20" fillId="5" borderId="5" xfId="0" applyNumberFormat="1" applyFont="1" applyFill="1" applyBorder="1"/>
    <xf numFmtId="173" fontId="20" fillId="5" borderId="2" xfId="0" applyNumberFormat="1" applyFont="1" applyFill="1" applyBorder="1"/>
    <xf numFmtId="165" fontId="3" fillId="13" borderId="4" xfId="0" applyNumberFormat="1" applyFont="1" applyFill="1" applyBorder="1" applyProtection="1">
      <protection hidden="1"/>
    </xf>
    <xf numFmtId="0" fontId="3" fillId="13" borderId="10" xfId="32" applyFont="1" applyFill="1" applyBorder="1" applyAlignment="1" applyProtection="1">
      <alignment horizontal="left"/>
      <protection hidden="1"/>
    </xf>
    <xf numFmtId="0" fontId="3" fillId="13" borderId="1" xfId="32" applyFont="1" applyFill="1" applyBorder="1" applyAlignment="1" applyProtection="1">
      <alignment horizontal="left"/>
      <protection hidden="1"/>
    </xf>
    <xf numFmtId="0" fontId="4" fillId="13" borderId="3" xfId="32" applyFill="1" applyBorder="1" applyProtection="1">
      <protection hidden="1"/>
    </xf>
    <xf numFmtId="0" fontId="3" fillId="14" borderId="1" xfId="0" applyFont="1" applyFill="1" applyBorder="1" applyProtection="1">
      <protection hidden="1"/>
    </xf>
    <xf numFmtId="165" fontId="3" fillId="14" borderId="1" xfId="0" applyNumberFormat="1" applyFont="1" applyFill="1" applyBorder="1" applyAlignment="1" applyProtection="1">
      <alignment horizontal="left"/>
      <protection hidden="1"/>
    </xf>
    <xf numFmtId="0" fontId="4" fillId="14" borderId="1" xfId="0" applyFont="1" applyFill="1" applyBorder="1" applyProtection="1">
      <protection hidden="1"/>
    </xf>
    <xf numFmtId="0" fontId="4" fillId="14" borderId="3" xfId="0" applyFont="1" applyFill="1" applyBorder="1" applyProtection="1">
      <protection hidden="1"/>
    </xf>
    <xf numFmtId="0" fontId="3" fillId="14" borderId="10" xfId="32" applyFont="1" applyFill="1" applyBorder="1" applyAlignment="1" applyProtection="1">
      <alignment horizontal="left"/>
      <protection hidden="1"/>
    </xf>
    <xf numFmtId="0" fontId="3" fillId="14" borderId="1" xfId="32" applyFont="1" applyFill="1" applyBorder="1" applyAlignment="1" applyProtection="1">
      <alignment horizontal="left"/>
      <protection hidden="1"/>
    </xf>
    <xf numFmtId="167" fontId="3" fillId="14" borderId="3" xfId="32" applyNumberFormat="1" applyFont="1" applyFill="1" applyBorder="1" applyAlignment="1" applyProtection="1">
      <alignment horizontal="left"/>
      <protection hidden="1"/>
    </xf>
    <xf numFmtId="165" fontId="3" fillId="14" borderId="4" xfId="0" applyNumberFormat="1" applyFont="1" applyFill="1" applyBorder="1" applyAlignment="1" applyProtection="1">
      <alignment horizontal="right"/>
      <protection hidden="1"/>
    </xf>
    <xf numFmtId="165" fontId="3" fillId="14" borderId="4" xfId="0" applyNumberFormat="1" applyFont="1" applyFill="1" applyBorder="1" applyProtection="1">
      <protection hidden="1"/>
    </xf>
    <xf numFmtId="165" fontId="3" fillId="14" borderId="4" xfId="34" applyNumberFormat="1" applyFont="1" applyFill="1" applyBorder="1" applyProtection="1">
      <protection hidden="1"/>
    </xf>
    <xf numFmtId="0" fontId="4" fillId="13" borderId="4" xfId="0" applyFont="1" applyFill="1" applyBorder="1" applyProtection="1">
      <protection hidden="1"/>
    </xf>
    <xf numFmtId="0" fontId="3" fillId="13" borderId="3" xfId="0" applyFont="1" applyFill="1" applyBorder="1" applyProtection="1">
      <protection hidden="1"/>
    </xf>
    <xf numFmtId="0" fontId="3" fillId="13" borderId="1" xfId="0" applyFont="1" applyFill="1" applyBorder="1" applyProtection="1">
      <protection hidden="1"/>
    </xf>
    <xf numFmtId="0" fontId="3" fillId="13" borderId="10" xfId="32" applyFont="1" applyFill="1" applyBorder="1" applyAlignment="1" applyProtection="1">
      <alignment wrapText="1" readingOrder="1"/>
      <protection hidden="1"/>
    </xf>
    <xf numFmtId="0" fontId="3" fillId="13" borderId="1" xfId="32" applyFont="1" applyFill="1" applyBorder="1" applyAlignment="1" applyProtection="1">
      <alignment wrapText="1" readingOrder="1"/>
      <protection hidden="1"/>
    </xf>
    <xf numFmtId="0" fontId="3" fillId="13" borderId="3" xfId="32" applyFont="1" applyFill="1" applyBorder="1" applyAlignment="1" applyProtection="1">
      <alignment wrapText="1" readingOrder="1"/>
      <protection hidden="1"/>
    </xf>
    <xf numFmtId="165" fontId="4" fillId="13" borderId="4" xfId="0" applyNumberFormat="1" applyFont="1" applyFill="1" applyBorder="1" applyProtection="1">
      <protection hidden="1"/>
    </xf>
    <xf numFmtId="2" fontId="3" fillId="13" borderId="4" xfId="0" applyNumberFormat="1" applyFont="1" applyFill="1" applyBorder="1" applyProtection="1">
      <protection hidden="1"/>
    </xf>
    <xf numFmtId="2" fontId="3" fillId="14" borderId="4" xfId="0" applyNumberFormat="1" applyFont="1" applyFill="1" applyBorder="1" applyProtection="1">
      <protection hidden="1"/>
    </xf>
    <xf numFmtId="165" fontId="29" fillId="14" borderId="32" xfId="16" applyFont="1" applyFill="1" applyBorder="1" applyAlignment="1"/>
    <xf numFmtId="0" fontId="25" fillId="14" borderId="0" xfId="0" applyFont="1" applyFill="1"/>
    <xf numFmtId="165" fontId="29" fillId="14" borderId="0" xfId="16" applyFont="1" applyFill="1" applyBorder="1" applyAlignment="1">
      <alignment horizontal="center" vertical="center" wrapText="1"/>
    </xf>
    <xf numFmtId="0" fontId="25" fillId="14" borderId="32" xfId="0" applyFont="1" applyFill="1" applyBorder="1"/>
    <xf numFmtId="175" fontId="29" fillId="14" borderId="0" xfId="16" applyNumberFormat="1" applyFont="1" applyFill="1" applyBorder="1" applyAlignment="1"/>
    <xf numFmtId="175" fontId="29" fillId="14" borderId="34" xfId="16" applyNumberFormat="1" applyFont="1" applyFill="1" applyBorder="1" applyAlignment="1"/>
    <xf numFmtId="0" fontId="2" fillId="0" borderId="0" xfId="124"/>
    <xf numFmtId="0" fontId="2" fillId="0" borderId="22" xfId="124" applyBorder="1"/>
    <xf numFmtId="0" fontId="2" fillId="0" borderId="26" xfId="124" applyBorder="1"/>
    <xf numFmtId="1" fontId="2" fillId="0" borderId="26" xfId="124" applyNumberFormat="1" applyBorder="1"/>
    <xf numFmtId="1" fontId="2" fillId="0" borderId="0" xfId="124" applyNumberFormat="1"/>
    <xf numFmtId="0" fontId="2" fillId="0" borderId="7" xfId="124" applyBorder="1"/>
    <xf numFmtId="1" fontId="2" fillId="0" borderId="5" xfId="124" applyNumberFormat="1" applyBorder="1"/>
    <xf numFmtId="0" fontId="2" fillId="0" borderId="2" xfId="124" applyBorder="1"/>
    <xf numFmtId="0" fontId="2" fillId="0" borderId="5" xfId="124" applyBorder="1"/>
    <xf numFmtId="1" fontId="2" fillId="0" borderId="2" xfId="124" applyNumberFormat="1" applyBorder="1"/>
    <xf numFmtId="176" fontId="25" fillId="9" borderId="36" xfId="0" applyNumberFormat="1" applyFont="1" applyFill="1" applyBorder="1"/>
    <xf numFmtId="2" fontId="27" fillId="0" borderId="10" xfId="67" applyNumberFormat="1" applyFont="1" applyBorder="1" applyAlignment="1">
      <alignment horizontal="center" vertical="center"/>
    </xf>
    <xf numFmtId="2" fontId="2" fillId="0" borderId="0" xfId="124" applyNumberFormat="1"/>
    <xf numFmtId="0" fontId="1" fillId="9" borderId="0" xfId="0" applyFont="1" applyFill="1"/>
    <xf numFmtId="0" fontId="37" fillId="13" borderId="1" xfId="0" applyFont="1" applyFill="1" applyBorder="1" applyProtection="1">
      <protection hidden="1"/>
    </xf>
    <xf numFmtId="0" fontId="34" fillId="13" borderId="31" xfId="0" applyFont="1" applyFill="1" applyBorder="1"/>
    <xf numFmtId="0" fontId="34" fillId="13" borderId="25" xfId="0" applyFont="1" applyFill="1" applyBorder="1" applyAlignment="1">
      <alignment horizontal="center" wrapText="1"/>
    </xf>
    <xf numFmtId="0" fontId="38" fillId="0" borderId="0" xfId="0" applyFont="1"/>
    <xf numFmtId="9" fontId="0" fillId="9" borderId="0" xfId="125" applyFont="1" applyFill="1"/>
    <xf numFmtId="0" fontId="4" fillId="0" borderId="0" xfId="0" applyFont="1"/>
    <xf numFmtId="9" fontId="0" fillId="0" borderId="0" xfId="125" applyFont="1" applyFill="1"/>
    <xf numFmtId="9" fontId="0" fillId="0" borderId="0" xfId="0" applyNumberFormat="1"/>
    <xf numFmtId="175" fontId="0" fillId="0" borderId="0" xfId="0" applyNumberFormat="1"/>
    <xf numFmtId="175" fontId="30" fillId="0" borderId="0" xfId="16" applyNumberFormat="1" applyFont="1" applyFill="1" applyBorder="1" applyAlignment="1"/>
    <xf numFmtId="0" fontId="3" fillId="9" borderId="0" xfId="34" applyFont="1" applyFill="1" applyAlignment="1" applyProtection="1">
      <alignment horizontal="center" wrapText="1"/>
      <protection hidden="1"/>
    </xf>
    <xf numFmtId="0" fontId="3" fillId="0" borderId="11" xfId="67" applyFont="1" applyBorder="1" applyAlignment="1">
      <alignment horizontal="center" vertical="center" textRotation="90" wrapText="1"/>
    </xf>
    <xf numFmtId="0" fontId="3" fillId="0" borderId="6" xfId="67" applyFont="1" applyBorder="1" applyAlignment="1">
      <alignment horizontal="center" vertical="center" textRotation="90" wrapText="1"/>
    </xf>
    <xf numFmtId="0" fontId="3" fillId="0" borderId="40" xfId="67" applyFont="1" applyBorder="1" applyAlignment="1">
      <alignment horizontal="center" vertical="center" textRotation="90" wrapText="1"/>
    </xf>
    <xf numFmtId="0" fontId="3" fillId="0" borderId="10" xfId="67" applyFont="1" applyBorder="1" applyAlignment="1">
      <alignment horizontal="center" vertical="center"/>
    </xf>
    <xf numFmtId="0" fontId="3" fillId="0" borderId="1" xfId="67" applyFont="1" applyBorder="1" applyAlignment="1">
      <alignment horizontal="center" vertical="center"/>
    </xf>
    <xf numFmtId="0" fontId="3" fillId="0" borderId="3" xfId="67" applyFont="1" applyBorder="1" applyAlignment="1">
      <alignment horizontal="center" vertical="center"/>
    </xf>
    <xf numFmtId="0" fontId="3" fillId="0" borderId="10" xfId="67" applyFont="1" applyBorder="1" applyAlignment="1">
      <alignment vertical="center" wrapText="1"/>
    </xf>
    <xf numFmtId="0" fontId="3" fillId="0" borderId="3" xfId="67" applyFont="1" applyBorder="1" applyAlignment="1">
      <alignment vertical="center" wrapText="1"/>
    </xf>
    <xf numFmtId="0" fontId="3" fillId="9" borderId="0" xfId="34" applyFont="1" applyFill="1" applyAlignment="1" applyProtection="1">
      <alignment horizontal="center"/>
      <protection hidden="1"/>
    </xf>
    <xf numFmtId="0" fontId="3" fillId="9" borderId="0" xfId="0" applyFont="1" applyFill="1" applyAlignment="1" applyProtection="1">
      <alignment horizontal="center" wrapText="1"/>
      <protection hidden="1"/>
    </xf>
    <xf numFmtId="0" fontId="26" fillId="0" borderId="0" xfId="48" applyFont="1" applyAlignment="1">
      <alignment horizontal="center"/>
    </xf>
    <xf numFmtId="166" fontId="3" fillId="14" borderId="10" xfId="32" applyNumberFormat="1" applyFont="1" applyFill="1" applyBorder="1" applyAlignment="1" applyProtection="1">
      <alignment horizontal="left" wrapText="1"/>
      <protection hidden="1"/>
    </xf>
    <xf numFmtId="166" fontId="3" fillId="14" borderId="1" xfId="32" applyNumberFormat="1" applyFont="1" applyFill="1" applyBorder="1" applyAlignment="1" applyProtection="1">
      <alignment horizontal="left" wrapText="1"/>
      <protection hidden="1"/>
    </xf>
    <xf numFmtId="166" fontId="3" fillId="14" borderId="3" xfId="32" applyNumberFormat="1" applyFont="1" applyFill="1" applyBorder="1" applyAlignment="1" applyProtection="1">
      <alignment horizontal="left" wrapText="1"/>
      <protection hidden="1"/>
    </xf>
    <xf numFmtId="0" fontId="3" fillId="14" borderId="10" xfId="32" applyFont="1" applyFill="1" applyBorder="1" applyAlignment="1" applyProtection="1">
      <alignment horizontal="left" wrapText="1"/>
      <protection hidden="1"/>
    </xf>
    <xf numFmtId="0" fontId="3" fillId="14" borderId="1" xfId="32" applyFont="1" applyFill="1" applyBorder="1" applyAlignment="1" applyProtection="1">
      <alignment horizontal="left" wrapText="1"/>
      <protection hidden="1"/>
    </xf>
    <xf numFmtId="0" fontId="3" fillId="14" borderId="3" xfId="32" applyFont="1" applyFill="1" applyBorder="1" applyAlignment="1" applyProtection="1">
      <alignment horizontal="left" wrapText="1"/>
      <protection hidden="1"/>
    </xf>
    <xf numFmtId="0" fontId="4" fillId="14" borderId="1" xfId="32" applyFill="1" applyBorder="1" applyAlignment="1">
      <alignment horizontal="left" wrapText="1"/>
    </xf>
    <xf numFmtId="0" fontId="4" fillId="14" borderId="3" xfId="32" applyFill="1" applyBorder="1" applyAlignment="1">
      <alignment horizontal="left" wrapText="1"/>
    </xf>
    <xf numFmtId="0" fontId="3" fillId="13" borderId="10" xfId="32" applyFont="1" applyFill="1" applyBorder="1" applyAlignment="1" applyProtection="1">
      <alignment horizontal="left" wrapText="1"/>
      <protection hidden="1"/>
    </xf>
    <xf numFmtId="0" fontId="4" fillId="13" borderId="1" xfId="32" applyFill="1" applyBorder="1" applyAlignment="1">
      <alignment horizontal="left" wrapText="1"/>
    </xf>
    <xf numFmtId="0" fontId="4" fillId="13" borderId="3" xfId="32" applyFill="1" applyBorder="1" applyAlignment="1">
      <alignment horizontal="left" wrapText="1"/>
    </xf>
    <xf numFmtId="0" fontId="4" fillId="0" borderId="29" xfId="0" applyFont="1" applyBorder="1" applyAlignment="1" applyProtection="1">
      <alignment horizontal="left" vertical="center"/>
      <protection hidden="1"/>
    </xf>
    <xf numFmtId="0" fontId="4" fillId="0" borderId="28" xfId="0" applyFont="1" applyBorder="1" applyAlignment="1" applyProtection="1">
      <alignment horizontal="left" vertical="center"/>
      <protection hidden="1"/>
    </xf>
    <xf numFmtId="0" fontId="4" fillId="0" borderId="27" xfId="0" applyFont="1" applyBorder="1" applyAlignment="1" applyProtection="1">
      <alignment horizontal="left" vertical="center"/>
      <protection hidden="1"/>
    </xf>
    <xf numFmtId="0" fontId="4" fillId="0" borderId="22"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26"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35" fillId="13" borderId="10" xfId="32" applyFont="1" applyFill="1" applyBorder="1" applyAlignment="1" applyProtection="1">
      <alignment horizontal="left" wrapText="1"/>
      <protection hidden="1"/>
    </xf>
    <xf numFmtId="0" fontId="36" fillId="13" borderId="1" xfId="32" applyFont="1" applyFill="1" applyBorder="1" applyAlignment="1">
      <alignment wrapText="1"/>
    </xf>
    <xf numFmtId="0" fontId="35" fillId="13" borderId="1" xfId="32" applyFont="1" applyFill="1" applyBorder="1" applyAlignment="1" applyProtection="1">
      <alignment wrapText="1"/>
      <protection hidden="1"/>
    </xf>
    <xf numFmtId="0" fontId="3" fillId="14" borderId="10" xfId="0" applyFont="1" applyFill="1" applyBorder="1" applyAlignment="1" applyProtection="1">
      <alignment horizontal="left" wrapText="1"/>
      <protection hidden="1"/>
    </xf>
    <xf numFmtId="0" fontId="0" fillId="14" borderId="1" xfId="0" applyFill="1" applyBorder="1" applyAlignment="1">
      <alignment horizontal="left" wrapText="1"/>
    </xf>
    <xf numFmtId="0" fontId="3" fillId="13" borderId="10" xfId="32" applyFont="1" applyFill="1" applyBorder="1" applyAlignment="1" applyProtection="1">
      <alignment horizontal="left" wrapText="1" readingOrder="1"/>
      <protection hidden="1"/>
    </xf>
    <xf numFmtId="0" fontId="3" fillId="13" borderId="1" xfId="32" applyFont="1" applyFill="1" applyBorder="1" applyAlignment="1" applyProtection="1">
      <alignment horizontal="left" wrapText="1" readingOrder="1"/>
      <protection hidden="1"/>
    </xf>
    <xf numFmtId="0" fontId="3" fillId="13" borderId="3" xfId="32" applyFont="1" applyFill="1" applyBorder="1" applyAlignment="1" applyProtection="1">
      <alignment horizontal="left" wrapText="1" readingOrder="1"/>
      <protection hidden="1"/>
    </xf>
    <xf numFmtId="0" fontId="20" fillId="5" borderId="23" xfId="0" applyFont="1" applyFill="1" applyBorder="1" applyAlignment="1">
      <alignment wrapText="1"/>
    </xf>
    <xf numFmtId="0" fontId="20" fillId="5" borderId="24" xfId="0" applyFont="1" applyFill="1" applyBorder="1" applyAlignment="1">
      <alignment wrapText="1"/>
    </xf>
    <xf numFmtId="0" fontId="20" fillId="5" borderId="41" xfId="0" applyFont="1" applyFill="1" applyBorder="1" applyAlignment="1">
      <alignment wrapText="1"/>
    </xf>
    <xf numFmtId="0" fontId="20" fillId="5" borderId="43" xfId="0" applyFont="1" applyFill="1" applyBorder="1" applyAlignment="1">
      <alignment wrapText="1"/>
    </xf>
    <xf numFmtId="0" fontId="20" fillId="5" borderId="39" xfId="0" applyFont="1" applyFill="1" applyBorder="1" applyAlignment="1">
      <alignment wrapText="1"/>
    </xf>
    <xf numFmtId="0" fontId="20" fillId="5" borderId="44" xfId="0" applyFont="1" applyFill="1" applyBorder="1" applyAlignment="1">
      <alignment wrapText="1"/>
    </xf>
    <xf numFmtId="0" fontId="3" fillId="4" borderId="10" xfId="32" applyFont="1" applyFill="1" applyBorder="1" applyAlignment="1" applyProtection="1">
      <alignment horizontal="left" wrapText="1"/>
      <protection hidden="1"/>
    </xf>
    <xf numFmtId="0" fontId="3" fillId="4" borderId="1" xfId="32" applyFont="1" applyFill="1" applyBorder="1" applyAlignment="1" applyProtection="1">
      <alignment horizontal="left" wrapText="1"/>
      <protection hidden="1"/>
    </xf>
    <xf numFmtId="0" fontId="3" fillId="4" borderId="3" xfId="32" applyFont="1" applyFill="1" applyBorder="1" applyAlignment="1" applyProtection="1">
      <alignment horizontal="left" wrapText="1"/>
      <protection hidden="1"/>
    </xf>
    <xf numFmtId="0" fontId="4" fillId="0" borderId="1" xfId="32" applyBorder="1" applyAlignment="1">
      <alignment horizontal="left" wrapText="1"/>
    </xf>
    <xf numFmtId="0" fontId="4" fillId="0" borderId="3" xfId="32" applyBorder="1" applyAlignment="1">
      <alignment horizontal="left" wrapText="1"/>
    </xf>
    <xf numFmtId="0" fontId="3" fillId="3" borderId="10" xfId="32" applyFont="1" applyFill="1" applyBorder="1" applyAlignment="1" applyProtection="1">
      <alignment horizontal="left" wrapText="1"/>
      <protection hidden="1"/>
    </xf>
    <xf numFmtId="166" fontId="3" fillId="4" borderId="10" xfId="32" applyNumberFormat="1" applyFont="1" applyFill="1" applyBorder="1" applyAlignment="1" applyProtection="1">
      <alignment horizontal="left" wrapText="1"/>
      <protection hidden="1"/>
    </xf>
    <xf numFmtId="166" fontId="3" fillId="4" borderId="1" xfId="32" applyNumberFormat="1" applyFont="1" applyFill="1" applyBorder="1" applyAlignment="1" applyProtection="1">
      <alignment horizontal="left" wrapText="1"/>
      <protection hidden="1"/>
    </xf>
    <xf numFmtId="166" fontId="3" fillId="4" borderId="3" xfId="32" applyNumberFormat="1" applyFont="1" applyFill="1" applyBorder="1" applyAlignment="1" applyProtection="1">
      <alignment horizontal="left" wrapText="1"/>
      <protection hidden="1"/>
    </xf>
    <xf numFmtId="0" fontId="14" fillId="2" borderId="10" xfId="32" applyFont="1" applyFill="1" applyBorder="1" applyAlignment="1" applyProtection="1">
      <alignment horizontal="left" wrapText="1"/>
      <protection hidden="1"/>
    </xf>
    <xf numFmtId="0" fontId="4" fillId="0" borderId="1" xfId="32" applyBorder="1" applyAlignment="1">
      <alignment wrapText="1"/>
    </xf>
    <xf numFmtId="0" fontId="14" fillId="2" borderId="1" xfId="32" applyFont="1" applyFill="1" applyBorder="1" applyAlignment="1" applyProtection="1">
      <alignment wrapText="1"/>
      <protection hidden="1"/>
    </xf>
    <xf numFmtId="0" fontId="3" fillId="3" borderId="10" xfId="32" applyFont="1" applyFill="1" applyBorder="1" applyAlignment="1" applyProtection="1">
      <alignment horizontal="left" wrapText="1" readingOrder="1"/>
      <protection hidden="1"/>
    </xf>
    <xf numFmtId="0" fontId="3" fillId="3" borderId="1" xfId="32" applyFont="1" applyFill="1" applyBorder="1" applyAlignment="1" applyProtection="1">
      <alignment horizontal="left" wrapText="1" readingOrder="1"/>
      <protection hidden="1"/>
    </xf>
    <xf numFmtId="0" fontId="3" fillId="3" borderId="3" xfId="32" applyFont="1" applyFill="1" applyBorder="1" applyAlignment="1" applyProtection="1">
      <alignment horizontal="left" wrapText="1" readingOrder="1"/>
      <protection hidden="1"/>
    </xf>
    <xf numFmtId="0" fontId="0" fillId="9" borderId="31" xfId="0" applyFill="1" applyBorder="1" applyAlignment="1">
      <alignment vertical="center" wrapText="1"/>
    </xf>
    <xf numFmtId="0" fontId="0" fillId="9" borderId="25" xfId="0" applyFill="1" applyBorder="1" applyAlignment="1">
      <alignment vertical="center" wrapText="1"/>
    </xf>
    <xf numFmtId="0" fontId="0" fillId="9" borderId="25" xfId="0" applyFill="1" applyBorder="1" applyAlignment="1">
      <alignment wrapText="1"/>
    </xf>
    <xf numFmtId="0" fontId="2" fillId="15" borderId="29" xfId="124" applyFill="1" applyBorder="1" applyAlignment="1">
      <alignment horizontal="center"/>
    </xf>
    <xf numFmtId="0" fontId="2" fillId="15" borderId="28" xfId="124" applyFill="1" applyBorder="1" applyAlignment="1">
      <alignment horizontal="center"/>
    </xf>
    <xf numFmtId="0" fontId="2" fillId="15" borderId="27" xfId="124" applyFill="1" applyBorder="1" applyAlignment="1">
      <alignment horizontal="center"/>
    </xf>
  </cellXfs>
  <cellStyles count="126">
    <cellStyle name="Comma 2" xfId="1" xr:uid="{00000000-0005-0000-0000-000000000000}"/>
    <cellStyle name="Comma 2 2" xfId="2" xr:uid="{00000000-0005-0000-0000-000001000000}"/>
    <cellStyle name="Comma 2 3" xfId="3" xr:uid="{00000000-0005-0000-0000-000002000000}"/>
    <cellStyle name="Comma 2 4" xfId="4" xr:uid="{00000000-0005-0000-0000-000003000000}"/>
    <cellStyle name="Comma 3" xfId="5" xr:uid="{00000000-0005-0000-0000-000004000000}"/>
    <cellStyle name="Comma 3 2" xfId="6" xr:uid="{00000000-0005-0000-0000-000005000000}"/>
    <cellStyle name="Comma 3 3" xfId="7" xr:uid="{00000000-0005-0000-0000-000006000000}"/>
    <cellStyle name="Comma 3 3 2" xfId="8" xr:uid="{00000000-0005-0000-0000-000007000000}"/>
    <cellStyle name="Comma 3 4" xfId="9" xr:uid="{00000000-0005-0000-0000-000008000000}"/>
    <cellStyle name="Comma 4" xfId="10" xr:uid="{00000000-0005-0000-0000-000009000000}"/>
    <cellStyle name="Comma 4 2" xfId="11" xr:uid="{00000000-0005-0000-0000-00000A000000}"/>
    <cellStyle name="Comma 5" xfId="12" xr:uid="{00000000-0005-0000-0000-00000B000000}"/>
    <cellStyle name="Comma 5 2" xfId="13" xr:uid="{00000000-0005-0000-0000-00000C000000}"/>
    <cellStyle name="Comma 5 3" xfId="14" xr:uid="{00000000-0005-0000-0000-00000D000000}"/>
    <cellStyle name="Comma 5 3 2" xfId="15" xr:uid="{00000000-0005-0000-0000-00000E000000}"/>
    <cellStyle name="Comma 6" xfId="16" xr:uid="{00000000-0005-0000-0000-00000F000000}"/>
    <cellStyle name="Comma 6 2" xfId="17" xr:uid="{00000000-0005-0000-0000-000010000000}"/>
    <cellStyle name="Comma 6 3" xfId="18" xr:uid="{00000000-0005-0000-0000-000011000000}"/>
    <cellStyle name="Comma 6 3 2" xfId="19" xr:uid="{00000000-0005-0000-0000-000012000000}"/>
    <cellStyle name="Comma 7" xfId="20" xr:uid="{00000000-0005-0000-0000-000013000000}"/>
    <cellStyle name="Comma 7 2" xfId="21" xr:uid="{00000000-0005-0000-0000-000014000000}"/>
    <cellStyle name="Comma 7 3" xfId="22" xr:uid="{00000000-0005-0000-0000-000015000000}"/>
    <cellStyle name="Currency 2" xfId="23" xr:uid="{00000000-0005-0000-0000-000016000000}"/>
    <cellStyle name="Currency 3" xfId="24" xr:uid="{00000000-0005-0000-0000-000017000000}"/>
    <cellStyle name="Currency 3 2" xfId="25" xr:uid="{00000000-0005-0000-0000-000018000000}"/>
    <cellStyle name="Currency 3 3" xfId="26" xr:uid="{00000000-0005-0000-0000-000019000000}"/>
    <cellStyle name="Hyperlink 2" xfId="27" xr:uid="{00000000-0005-0000-0000-00001A000000}"/>
    <cellStyle name="Hyperlink 2 2" xfId="28" xr:uid="{00000000-0005-0000-0000-00001B000000}"/>
    <cellStyle name="Hyperlink 2 3" xfId="29" xr:uid="{00000000-0005-0000-0000-00001C000000}"/>
    <cellStyle name="Hyperlink 3" xfId="30" xr:uid="{00000000-0005-0000-0000-00001D000000}"/>
    <cellStyle name="Hyperlink 3 2" xfId="31" xr:uid="{00000000-0005-0000-0000-00001E000000}"/>
    <cellStyle name="Normal" xfId="0" builtinId="0"/>
    <cellStyle name="Normal 10" xfId="124" xr:uid="{20CE2A26-7A43-43F5-BEB8-3E8F072A5EAA}"/>
    <cellStyle name="Normal 2" xfId="32" xr:uid="{00000000-0005-0000-0000-000020000000}"/>
    <cellStyle name="Normal 2 2" xfId="33" xr:uid="{00000000-0005-0000-0000-000021000000}"/>
    <cellStyle name="Normal 2 2 2" xfId="34" xr:uid="{00000000-0005-0000-0000-000022000000}"/>
    <cellStyle name="Normal 2 2 2 2" xfId="35" xr:uid="{00000000-0005-0000-0000-000023000000}"/>
    <cellStyle name="Normal 2 2 2 3" xfId="36" xr:uid="{00000000-0005-0000-0000-000024000000}"/>
    <cellStyle name="Normal 2 2 3" xfId="37" xr:uid="{00000000-0005-0000-0000-000025000000}"/>
    <cellStyle name="Normal 2 2 4" xfId="38" xr:uid="{00000000-0005-0000-0000-000026000000}"/>
    <cellStyle name="Normal 2 2 5" xfId="39" xr:uid="{00000000-0005-0000-0000-000027000000}"/>
    <cellStyle name="Normal 2 3" xfId="40" xr:uid="{00000000-0005-0000-0000-000028000000}"/>
    <cellStyle name="Normal 2 3 2" xfId="41" xr:uid="{00000000-0005-0000-0000-000029000000}"/>
    <cellStyle name="Normal 2 3 3" xfId="42" xr:uid="{00000000-0005-0000-0000-00002A000000}"/>
    <cellStyle name="Normal 2 4" xfId="43" xr:uid="{00000000-0005-0000-0000-00002B000000}"/>
    <cellStyle name="Normal 2 5" xfId="44" xr:uid="{00000000-0005-0000-0000-00002C000000}"/>
    <cellStyle name="Normal 2 6" xfId="45" xr:uid="{00000000-0005-0000-0000-00002D000000}"/>
    <cellStyle name="Normal 3" xfId="46" xr:uid="{00000000-0005-0000-0000-00002E000000}"/>
    <cellStyle name="Normal 3 2" xfId="47" xr:uid="{00000000-0005-0000-0000-00002F000000}"/>
    <cellStyle name="Normal 3 2 2" xfId="48" xr:uid="{00000000-0005-0000-0000-000030000000}"/>
    <cellStyle name="Normal 3 2 3" xfId="49" xr:uid="{00000000-0005-0000-0000-000031000000}"/>
    <cellStyle name="Normal 3 2 4" xfId="50" xr:uid="{00000000-0005-0000-0000-000032000000}"/>
    <cellStyle name="Normal 3 2 4 2" xfId="51" xr:uid="{00000000-0005-0000-0000-000033000000}"/>
    <cellStyle name="Normal 3 2 4 3" xfId="52" xr:uid="{00000000-0005-0000-0000-000034000000}"/>
    <cellStyle name="Normal 3 2 5" xfId="53" xr:uid="{00000000-0005-0000-0000-000035000000}"/>
    <cellStyle name="Normal 3 3" xfId="54" xr:uid="{00000000-0005-0000-0000-000036000000}"/>
    <cellStyle name="Normal 3 4" xfId="55" xr:uid="{00000000-0005-0000-0000-000037000000}"/>
    <cellStyle name="Normal 3 5" xfId="56" xr:uid="{00000000-0005-0000-0000-000038000000}"/>
    <cellStyle name="Normal 3 6" xfId="57" xr:uid="{00000000-0005-0000-0000-000039000000}"/>
    <cellStyle name="Normal 4" xfId="58" xr:uid="{00000000-0005-0000-0000-00003A000000}"/>
    <cellStyle name="Normal 4 2" xfId="59" xr:uid="{00000000-0005-0000-0000-00003B000000}"/>
    <cellStyle name="Normal 4 2 2" xfId="60" xr:uid="{00000000-0005-0000-0000-00003C000000}"/>
    <cellStyle name="Normal 4 2 3" xfId="61" xr:uid="{00000000-0005-0000-0000-00003D000000}"/>
    <cellStyle name="Normal 4 3" xfId="62" xr:uid="{00000000-0005-0000-0000-00003E000000}"/>
    <cellStyle name="Normal 5" xfId="63" xr:uid="{00000000-0005-0000-0000-00003F000000}"/>
    <cellStyle name="Normal 5 2" xfId="64" xr:uid="{00000000-0005-0000-0000-000040000000}"/>
    <cellStyle name="Normal 5 3" xfId="65" xr:uid="{00000000-0005-0000-0000-000041000000}"/>
    <cellStyle name="Normal 5 4" xfId="66" xr:uid="{00000000-0005-0000-0000-000042000000}"/>
    <cellStyle name="Normal 6" xfId="67" xr:uid="{00000000-0005-0000-0000-000043000000}"/>
    <cellStyle name="Normal 6 2" xfId="68" xr:uid="{00000000-0005-0000-0000-000044000000}"/>
    <cellStyle name="Normal 6 3" xfId="69" xr:uid="{00000000-0005-0000-0000-000045000000}"/>
    <cellStyle name="Normal 6 3 2" xfId="70" xr:uid="{00000000-0005-0000-0000-000046000000}"/>
    <cellStyle name="Normal 6 3 3" xfId="71" xr:uid="{00000000-0005-0000-0000-000047000000}"/>
    <cellStyle name="Normal 7" xfId="72" xr:uid="{00000000-0005-0000-0000-000048000000}"/>
    <cellStyle name="Normal 7 2" xfId="73" xr:uid="{00000000-0005-0000-0000-000049000000}"/>
    <cellStyle name="Normal 8" xfId="74" xr:uid="{00000000-0005-0000-0000-00004A000000}"/>
    <cellStyle name="Normal 8 2" xfId="75" xr:uid="{00000000-0005-0000-0000-00004B000000}"/>
    <cellStyle name="Normal 9" xfId="76" xr:uid="{00000000-0005-0000-0000-00004C000000}"/>
    <cellStyle name="Normal 9 2" xfId="77" xr:uid="{00000000-0005-0000-0000-00004D000000}"/>
    <cellStyle name="Percent" xfId="125" builtinId="5"/>
    <cellStyle name="Percent 10" xfId="78" xr:uid="{00000000-0005-0000-0000-00004E000000}"/>
    <cellStyle name="Percent 10 2" xfId="79" xr:uid="{00000000-0005-0000-0000-00004F000000}"/>
    <cellStyle name="Percent 10 3" xfId="80" xr:uid="{00000000-0005-0000-0000-000050000000}"/>
    <cellStyle name="Percent 10 4" xfId="81" xr:uid="{00000000-0005-0000-0000-000051000000}"/>
    <cellStyle name="Percent 10 5" xfId="82" xr:uid="{00000000-0005-0000-0000-000052000000}"/>
    <cellStyle name="Percent 2" xfId="83" xr:uid="{00000000-0005-0000-0000-000053000000}"/>
    <cellStyle name="Percent 2 2" xfId="84" xr:uid="{00000000-0005-0000-0000-000054000000}"/>
    <cellStyle name="Percent 2 3" xfId="85" xr:uid="{00000000-0005-0000-0000-000055000000}"/>
    <cellStyle name="Percent 2 3 2" xfId="86" xr:uid="{00000000-0005-0000-0000-000056000000}"/>
    <cellStyle name="Percent 2 3 3" xfId="87" xr:uid="{00000000-0005-0000-0000-000057000000}"/>
    <cellStyle name="Percent 2 3 4" xfId="88" xr:uid="{00000000-0005-0000-0000-000058000000}"/>
    <cellStyle name="Percent 2 4" xfId="89" xr:uid="{00000000-0005-0000-0000-000059000000}"/>
    <cellStyle name="Percent 2 5" xfId="90" xr:uid="{00000000-0005-0000-0000-00005A000000}"/>
    <cellStyle name="Percent 2 5 2" xfId="91" xr:uid="{00000000-0005-0000-0000-00005B000000}"/>
    <cellStyle name="Percent 2 5 3" xfId="92" xr:uid="{00000000-0005-0000-0000-00005C000000}"/>
    <cellStyle name="Percent 2 6" xfId="93" xr:uid="{00000000-0005-0000-0000-00005D000000}"/>
    <cellStyle name="Percent 3" xfId="94" xr:uid="{00000000-0005-0000-0000-00005E000000}"/>
    <cellStyle name="Percent 3 2" xfId="95" xr:uid="{00000000-0005-0000-0000-00005F000000}"/>
    <cellStyle name="Percent 4" xfId="96" xr:uid="{00000000-0005-0000-0000-000060000000}"/>
    <cellStyle name="Percent 4 2" xfId="97" xr:uid="{00000000-0005-0000-0000-000061000000}"/>
    <cellStyle name="Percent 5" xfId="98" xr:uid="{00000000-0005-0000-0000-000062000000}"/>
    <cellStyle name="Percent 5 2" xfId="99" xr:uid="{00000000-0005-0000-0000-000063000000}"/>
    <cellStyle name="Percent 5 2 2" xfId="100" xr:uid="{00000000-0005-0000-0000-000064000000}"/>
    <cellStyle name="Percent 5 2 3" xfId="101" xr:uid="{00000000-0005-0000-0000-000065000000}"/>
    <cellStyle name="Percent 5 2 3 2" xfId="102" xr:uid="{00000000-0005-0000-0000-000066000000}"/>
    <cellStyle name="Percent 5 2 3 3" xfId="103" xr:uid="{00000000-0005-0000-0000-000067000000}"/>
    <cellStyle name="Percent 5 3" xfId="104" xr:uid="{00000000-0005-0000-0000-000068000000}"/>
    <cellStyle name="Percent 5 3 2" xfId="105" xr:uid="{00000000-0005-0000-0000-000069000000}"/>
    <cellStyle name="Percent 6" xfId="106" xr:uid="{00000000-0005-0000-0000-00006A000000}"/>
    <cellStyle name="Percent 6 2" xfId="107" xr:uid="{00000000-0005-0000-0000-00006B000000}"/>
    <cellStyle name="Percent 6 3" xfId="108" xr:uid="{00000000-0005-0000-0000-00006C000000}"/>
    <cellStyle name="Percent 6 3 2" xfId="109" xr:uid="{00000000-0005-0000-0000-00006D000000}"/>
    <cellStyle name="Percent 7" xfId="110" xr:uid="{00000000-0005-0000-0000-00006E000000}"/>
    <cellStyle name="Percent 7 2" xfId="111" xr:uid="{00000000-0005-0000-0000-00006F000000}"/>
    <cellStyle name="Percent 7 3" xfId="112" xr:uid="{00000000-0005-0000-0000-000070000000}"/>
    <cellStyle name="Percent 7 4" xfId="113" xr:uid="{00000000-0005-0000-0000-000071000000}"/>
    <cellStyle name="Percent 7 4 2" xfId="114" xr:uid="{00000000-0005-0000-0000-000072000000}"/>
    <cellStyle name="Percent 7 4 3" xfId="115" xr:uid="{00000000-0005-0000-0000-000073000000}"/>
    <cellStyle name="Percent 7 5" xfId="116" xr:uid="{00000000-0005-0000-0000-000074000000}"/>
    <cellStyle name="Percent 7 5 2" xfId="117" xr:uid="{00000000-0005-0000-0000-000075000000}"/>
    <cellStyle name="Percent 8" xfId="118" xr:uid="{00000000-0005-0000-0000-000076000000}"/>
    <cellStyle name="Percent 8 2" xfId="119" xr:uid="{00000000-0005-0000-0000-000077000000}"/>
    <cellStyle name="Percent 8 3" xfId="120" xr:uid="{00000000-0005-0000-0000-000078000000}"/>
    <cellStyle name="Percent 8 3 2" xfId="121" xr:uid="{00000000-0005-0000-0000-000079000000}"/>
    <cellStyle name="Percent 9" xfId="122" xr:uid="{00000000-0005-0000-0000-00007A000000}"/>
    <cellStyle name="Percent 9 2" xfId="123" xr:uid="{00000000-0005-0000-0000-00007B000000}"/>
  </cellStyles>
  <dxfs count="44">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1" defaultTableStyle="TableStyleMedium9" defaultPivotStyle="PivotStyleLight16">
    <tableStyle name="Invisible" pivot="0" table="0" count="0" xr9:uid="{244035F0-C914-4892-9048-29DDCF5FDBB0}"/>
  </tableStyles>
  <colors>
    <mruColors>
      <color rgb="FFAD9244"/>
      <color rgb="FF3A63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333333"/>
                </a:solidFill>
                <a:latin typeface="Calibri"/>
                <a:ea typeface="Calibri"/>
                <a:cs typeface="Calibri"/>
              </a:defRPr>
            </a:pPr>
            <a:r>
              <a:rPr lang="en-ZA"/>
              <a:t>Margin Comparison / Marge Vergelyking: Eastern Region</a:t>
            </a:r>
          </a:p>
        </c:rich>
      </c:tx>
      <c:overlay val="0"/>
      <c:spPr>
        <a:noFill/>
        <a:ln w="25400">
          <a:noFill/>
        </a:ln>
      </c:spPr>
    </c:title>
    <c:autoTitleDeleted val="0"/>
    <c:plotArea>
      <c:layout>
        <c:manualLayout>
          <c:layoutTarget val="inner"/>
          <c:xMode val="edge"/>
          <c:yMode val="edge"/>
          <c:x val="7.4760436655062143E-2"/>
          <c:y val="9.9899327933357679E-2"/>
          <c:w val="0.89616221877381819"/>
          <c:h val="0.71926749369476772"/>
        </c:manualLayout>
      </c:layout>
      <c:barChart>
        <c:barDir val="col"/>
        <c:grouping val="clustered"/>
        <c:varyColors val="0"/>
        <c:ser>
          <c:idx val="0"/>
          <c:order val="0"/>
          <c:tx>
            <c:strRef>
              <c:f>'Crop Comparison'!$A$34</c:f>
              <c:strCache>
                <c:ptCount val="1"/>
                <c:pt idx="0">
                  <c:v>3) GROSS MARGIN  (R/ha)</c:v>
                </c:pt>
              </c:strCache>
            </c:strRef>
          </c:tx>
          <c:spPr>
            <a:solidFill>
              <a:schemeClr val="bg1"/>
            </a:solidFill>
            <a:ln w="25400">
              <a:solidFill>
                <a:schemeClr val="accent1"/>
              </a:solidFill>
            </a:ln>
            <a:effectLst/>
          </c:spPr>
          <c:invertIfNegative val="0"/>
          <c:dLbls>
            <c:spPr>
              <a:no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'Crop Comparison'!$B$2:$G$2</c:f>
              <c:strCache>
                <c:ptCount val="6"/>
                <c:pt idx="0">
                  <c:v>Maize (RR)</c:v>
                </c:pt>
                <c:pt idx="1">
                  <c:v>Maize (min tillage)</c:v>
                </c:pt>
                <c:pt idx="2">
                  <c:v>Soy bean (conventional)</c:v>
                </c:pt>
                <c:pt idx="3">
                  <c:v>Soy bean (min tillage)</c:v>
                </c:pt>
                <c:pt idx="4">
                  <c:v>Grain Sorghum</c:v>
                </c:pt>
                <c:pt idx="5">
                  <c:v>Irr-Maize</c:v>
                </c:pt>
              </c:strCache>
            </c:strRef>
          </c:cat>
          <c:val>
            <c:numRef>
              <c:f>'Crop Comparison'!$B$34:$G$34</c:f>
              <c:numCache>
                <c:formatCode>"R"\ #\ ##0</c:formatCode>
                <c:ptCount val="6"/>
                <c:pt idx="0">
                  <c:v>3743.8971358925883</c:v>
                </c:pt>
                <c:pt idx="1">
                  <c:v>5226.0766695813545</c:v>
                </c:pt>
                <c:pt idx="2">
                  <c:v>1309.3111273902068</c:v>
                </c:pt>
                <c:pt idx="3">
                  <c:v>1743.6785979115393</c:v>
                </c:pt>
                <c:pt idx="4">
                  <c:v>7148.1765527278912</c:v>
                </c:pt>
                <c:pt idx="5">
                  <c:v>9808.4784306556903</c:v>
                </c:pt>
              </c:numCache>
            </c:numRef>
          </c:val>
          <c:extLst>
            <c:ext xmlns:c16="http://schemas.microsoft.com/office/drawing/2014/chart" uri="{C3380CC4-5D6E-409C-BE32-E72D297353CC}">
              <c16:uniqueId val="{00000000-BCD0-4EF7-8439-1915A07377B5}"/>
            </c:ext>
          </c:extLst>
        </c:ser>
        <c:ser>
          <c:idx val="1"/>
          <c:order val="1"/>
          <c:tx>
            <c:strRef>
              <c:f>'Crop Comparison'!$A$35</c:f>
              <c:strCache>
                <c:ptCount val="1"/>
                <c:pt idx="0">
                  <c:v>4) NETT MARGIN  (R/ha)</c:v>
                </c:pt>
              </c:strCache>
            </c:strRef>
          </c:tx>
          <c:spPr>
            <a:noFill/>
            <a:ln w="25400">
              <a:solidFill>
                <a:srgbClr val="FF0000"/>
              </a:solidFill>
            </a:ln>
          </c:spPr>
          <c:invertIfNegative val="0"/>
          <c:dLbls>
            <c:spPr>
              <a:noFill/>
              <a:ln w="15875">
                <a:solidFill>
                  <a:srgbClr val="FF0000"/>
                </a:solid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'Crop Comparison'!$B$2:$G$2</c:f>
              <c:strCache>
                <c:ptCount val="6"/>
                <c:pt idx="0">
                  <c:v>Maize (RR)</c:v>
                </c:pt>
                <c:pt idx="1">
                  <c:v>Maize (min tillage)</c:v>
                </c:pt>
                <c:pt idx="2">
                  <c:v>Soy bean (conventional)</c:v>
                </c:pt>
                <c:pt idx="3">
                  <c:v>Soy bean (min tillage)</c:v>
                </c:pt>
                <c:pt idx="4">
                  <c:v>Grain Sorghum</c:v>
                </c:pt>
                <c:pt idx="5">
                  <c:v>Irr-Maize</c:v>
                </c:pt>
              </c:strCache>
            </c:strRef>
          </c:cat>
          <c:val>
            <c:numRef>
              <c:f>'Crop Comparison'!$B$35:$G$35</c:f>
              <c:numCache>
                <c:formatCode>"R"\ #\ ##0</c:formatCode>
                <c:ptCount val="6"/>
                <c:pt idx="0" formatCode="&quot;R&quot;\ #\ ##0.0">
                  <c:v>1926.1671358925887</c:v>
                </c:pt>
                <c:pt idx="1">
                  <c:v>3009.0066695813548</c:v>
                </c:pt>
                <c:pt idx="2">
                  <c:v>-839.84887260979303</c:v>
                </c:pt>
                <c:pt idx="3">
                  <c:v>219.81859791153875</c:v>
                </c:pt>
                <c:pt idx="4">
                  <c:v>4621.4365527278915</c:v>
                </c:pt>
                <c:pt idx="5">
                  <c:v>5813.6484306556886</c:v>
                </c:pt>
              </c:numCache>
            </c:numRef>
          </c:val>
          <c:extLst>
            <c:ext xmlns:c16="http://schemas.microsoft.com/office/drawing/2014/chart" uri="{C3380CC4-5D6E-409C-BE32-E72D297353CC}">
              <c16:uniqueId val="{00000001-BCD0-4EF7-8439-1915A07377B5}"/>
            </c:ext>
          </c:extLst>
        </c:ser>
        <c:dLbls>
          <c:showLegendKey val="0"/>
          <c:showVal val="0"/>
          <c:showCatName val="0"/>
          <c:showSerName val="0"/>
          <c:showPercent val="0"/>
          <c:showBubbleSize val="0"/>
        </c:dLbls>
        <c:gapWidth val="150"/>
        <c:axId val="1960652191"/>
        <c:axId val="1"/>
      </c:barChart>
      <c:catAx>
        <c:axId val="1960652191"/>
        <c:scaling>
          <c:orientation val="minMax"/>
        </c:scaling>
        <c:delete val="0"/>
        <c:axPos val="b"/>
        <c:numFmt formatCode="General" sourceLinked="1"/>
        <c:majorTickMark val="none"/>
        <c:minorTickMark val="none"/>
        <c:tickLblPos val="nextTo"/>
        <c:spPr>
          <a:ln w="9525">
            <a:noFill/>
          </a:ln>
        </c:spPr>
        <c:txPr>
          <a:bodyPr rot="0" vert="horz"/>
          <a:lstStyle/>
          <a:p>
            <a:pPr>
              <a:defRPr sz="105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 ##0" sourceLinked="1"/>
        <c:majorTickMark val="none"/>
        <c:minorTickMark val="none"/>
        <c:tickLblPos val="nextTo"/>
        <c:spPr>
          <a:ln w="9525">
            <a:noFill/>
          </a:ln>
        </c:spPr>
        <c:txPr>
          <a:bodyPr rot="0" vert="horz"/>
          <a:lstStyle/>
          <a:p>
            <a:pPr>
              <a:defRPr sz="1100" b="0" i="0" u="none" strike="noStrike" baseline="0">
                <a:solidFill>
                  <a:srgbClr val="333333"/>
                </a:solidFill>
                <a:latin typeface="Calibri"/>
                <a:ea typeface="Calibri"/>
                <a:cs typeface="Calibri"/>
              </a:defRPr>
            </a:pPr>
            <a:endParaRPr lang="en-US"/>
          </a:p>
        </c:txPr>
        <c:crossAx val="1960652191"/>
        <c:crosses val="autoZero"/>
        <c:crossBetween val="between"/>
      </c:valAx>
      <c:spPr>
        <a:noFill/>
        <a:ln w="25400">
          <a:noFill/>
        </a:ln>
      </c:spPr>
    </c:plotArea>
    <c:legend>
      <c:legendPos val="r"/>
      <c:layout>
        <c:manualLayout>
          <c:xMode val="edge"/>
          <c:yMode val="edge"/>
          <c:x val="0.27480185268843704"/>
          <c:y val="0.87051158763733683"/>
          <c:w val="0.46695653163599088"/>
          <c:h val="8.7352373845961132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Maize</a:t>
            </a:r>
            <a:r>
              <a:rPr lang="en-GB" baseline="0"/>
              <a:t> profitability</a:t>
            </a:r>
            <a:endParaRPr lang="en-GB"/>
          </a:p>
        </c:rich>
      </c:tx>
      <c:layout>
        <c:manualLayout>
          <c:xMode val="edge"/>
          <c:yMode val="edge"/>
          <c:x val="0.36515643422033961"/>
          <c:y val="4.5121293054536903E-2"/>
        </c:manualLayout>
      </c:layout>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strRef>
              <c:f>Grafieke!$A$1</c:f>
              <c:strCache>
                <c:ptCount val="1"/>
                <c:pt idx="0">
                  <c:v>Winsgewendheid: Mielies</c:v>
                </c:pt>
              </c:strCache>
            </c:strRef>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FA2-45D1-B3F5-AB45CA1D123F}"/>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FA2-45D1-B3F5-AB45CA1D123F}"/>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FA2-45D1-B3F5-AB45CA1D123F}"/>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FA2-45D1-B3F5-AB45CA1D123F}"/>
              </c:ext>
            </c:extLst>
          </c:dPt>
          <c:dPt>
            <c:idx val="4"/>
            <c:bubble3D val="0"/>
            <c:spPr>
              <a:noFill/>
              <a:ln>
                <a:noFill/>
              </a:ln>
              <a:effectLst/>
            </c:spPr>
            <c:extLst>
              <c:ext xmlns:c16="http://schemas.microsoft.com/office/drawing/2014/chart" uri="{C3380CC4-5D6E-409C-BE32-E72D297353CC}">
                <c16:uniqueId val="{00000009-FFA2-45D1-B3F5-AB45CA1D123F}"/>
              </c:ext>
            </c:extLst>
          </c:dPt>
          <c:dLbls>
            <c:dLbl>
              <c:idx val="0"/>
              <c:delete val="1"/>
              <c:extLst>
                <c:ext xmlns:c15="http://schemas.microsoft.com/office/drawing/2012/chart" uri="{CE6537A1-D6FC-4f65-9D91-7224C49458BB}"/>
                <c:ext xmlns:c16="http://schemas.microsoft.com/office/drawing/2014/chart" uri="{C3380CC4-5D6E-409C-BE32-E72D297353CC}">
                  <c16:uniqueId val="{00000001-FFA2-45D1-B3F5-AB45CA1D123F}"/>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FFA2-45D1-B3F5-AB45CA1D123F}"/>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FFA2-45D1-B3F5-AB45CA1D123F}"/>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FFA2-45D1-B3F5-AB45CA1D123F}"/>
                </c:ext>
              </c:extLst>
            </c:dLbl>
            <c:dLbl>
              <c:idx val="4"/>
              <c:delete val="1"/>
              <c:extLst>
                <c:ext xmlns:c15="http://schemas.microsoft.com/office/drawing/2012/chart" uri="{CE6537A1-D6FC-4f65-9D91-7224C49458BB}"/>
                <c:ext xmlns:c16="http://schemas.microsoft.com/office/drawing/2014/chart" uri="{C3380CC4-5D6E-409C-BE32-E72D297353CC}">
                  <c16:uniqueId val="{00000009-FFA2-45D1-B3F5-AB45CA1D123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Grafieke!$C$2:$C$6</c:f>
              <c:numCache>
                <c:formatCode>0</c:formatCode>
                <c:ptCount val="5"/>
                <c:pt idx="0" formatCode="General">
                  <c:v>0</c:v>
                </c:pt>
                <c:pt idx="1">
                  <c:v>44.074276611070204</c:v>
                </c:pt>
                <c:pt idx="2">
                  <c:v>3.8734582209746247</c:v>
                </c:pt>
                <c:pt idx="3">
                  <c:v>52.05226516795517</c:v>
                </c:pt>
                <c:pt idx="4" formatCode="General">
                  <c:v>100</c:v>
                </c:pt>
              </c:numCache>
            </c:numRef>
          </c:val>
          <c:extLst>
            <c:ext xmlns:c16="http://schemas.microsoft.com/office/drawing/2014/chart" uri="{C3380CC4-5D6E-409C-BE32-E72D297353CC}">
              <c16:uniqueId val="{0000000A-FFA2-45D1-B3F5-AB45CA1D123F}"/>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c:f>
              <c:strCache>
                <c:ptCount val="1"/>
                <c:pt idx="0">
                  <c:v>Pointer</c:v>
                </c:pt>
              </c:strCache>
            </c:strRef>
          </c:tx>
          <c:dPt>
            <c:idx val="0"/>
            <c:bubble3D val="0"/>
            <c:spPr>
              <a:noFill/>
              <a:ln>
                <a:noFill/>
              </a:ln>
              <a:effectLst/>
            </c:spPr>
            <c:extLst>
              <c:ext xmlns:c16="http://schemas.microsoft.com/office/drawing/2014/chart" uri="{C3380CC4-5D6E-409C-BE32-E72D297353CC}">
                <c16:uniqueId val="{0000000C-FFA2-45D1-B3F5-AB45CA1D123F}"/>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FFA2-45D1-B3F5-AB45CA1D123F}"/>
              </c:ext>
            </c:extLst>
          </c:dPt>
          <c:dPt>
            <c:idx val="2"/>
            <c:bubble3D val="0"/>
            <c:spPr>
              <a:noFill/>
              <a:ln>
                <a:noFill/>
              </a:ln>
              <a:effectLst/>
            </c:spPr>
            <c:extLst>
              <c:ext xmlns:c16="http://schemas.microsoft.com/office/drawing/2014/chart" uri="{C3380CC4-5D6E-409C-BE32-E72D297353CC}">
                <c16:uniqueId val="{00000010-FFA2-45D1-B3F5-AB45CA1D123F}"/>
              </c:ext>
            </c:extLst>
          </c:dPt>
          <c:val>
            <c:numRef>
              <c:f>Grafieke!$F$2:$F$4</c:f>
              <c:numCache>
                <c:formatCode>General</c:formatCode>
                <c:ptCount val="3"/>
                <c:pt idx="0" formatCode="0">
                  <c:v>52.05226516795517</c:v>
                </c:pt>
                <c:pt idx="1">
                  <c:v>1</c:v>
                </c:pt>
                <c:pt idx="2" formatCode="0">
                  <c:v>146.94773483204483</c:v>
                </c:pt>
              </c:numCache>
            </c:numRef>
          </c:val>
          <c:extLst>
            <c:ext xmlns:c16="http://schemas.microsoft.com/office/drawing/2014/chart" uri="{C3380CC4-5D6E-409C-BE32-E72D297353CC}">
              <c16:uniqueId val="{00000011-FFA2-45D1-B3F5-AB45CA1D123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Soybean</a:t>
            </a:r>
            <a:r>
              <a:rPr lang="en-GB" baseline="0"/>
              <a:t> profitability</a:t>
            </a:r>
            <a:endParaRPr lang="en-GB"/>
          </a:p>
        </c:rich>
      </c:tx>
      <c:overlay val="0"/>
    </c:title>
    <c:autoTitleDeleted val="0"/>
    <c:plotArea>
      <c:layout/>
      <c:doughnutChart>
        <c:varyColors val="1"/>
        <c:ser>
          <c:idx val="0"/>
          <c:order val="0"/>
          <c:tx>
            <c:strRef>
              <c:f>Grafieke!$A$19</c:f>
              <c:strCache>
                <c:ptCount val="1"/>
                <c:pt idx="0">
                  <c:v>Winsgewendheid: Sojabone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E47-4C91-97AC-E6C718FE6F0A}"/>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E47-4C91-97AC-E6C718FE6F0A}"/>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E47-4C91-97AC-E6C718FE6F0A}"/>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E47-4C91-97AC-E6C718FE6F0A}"/>
              </c:ext>
            </c:extLst>
          </c:dPt>
          <c:dPt>
            <c:idx val="4"/>
            <c:bubble3D val="0"/>
            <c:spPr>
              <a:noFill/>
              <a:ln>
                <a:noFill/>
              </a:ln>
              <a:effectLst/>
            </c:spPr>
            <c:extLst>
              <c:ext xmlns:c16="http://schemas.microsoft.com/office/drawing/2014/chart" uri="{C3380CC4-5D6E-409C-BE32-E72D297353CC}">
                <c16:uniqueId val="{00000009-2E47-4C91-97AC-E6C718FE6F0A}"/>
              </c:ext>
            </c:extLst>
          </c:dPt>
          <c:dLbls>
            <c:dLbl>
              <c:idx val="0"/>
              <c:delete val="1"/>
              <c:extLst>
                <c:ext xmlns:c15="http://schemas.microsoft.com/office/drawing/2012/chart" uri="{CE6537A1-D6FC-4f65-9D91-7224C49458BB}"/>
                <c:ext xmlns:c16="http://schemas.microsoft.com/office/drawing/2014/chart" uri="{C3380CC4-5D6E-409C-BE32-E72D297353CC}">
                  <c16:uniqueId val="{00000001-2E47-4C91-97AC-E6C718FE6F0A}"/>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2E47-4C91-97AC-E6C718FE6F0A}"/>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2E47-4C91-97AC-E6C718FE6F0A}"/>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2E47-4C91-97AC-E6C718FE6F0A}"/>
                </c:ext>
              </c:extLst>
            </c:dLbl>
            <c:dLbl>
              <c:idx val="4"/>
              <c:delete val="1"/>
              <c:extLst>
                <c:ext xmlns:c15="http://schemas.microsoft.com/office/drawing/2012/chart" uri="{CE6537A1-D6FC-4f65-9D91-7224C49458BB}"/>
                <c:ext xmlns:c16="http://schemas.microsoft.com/office/drawing/2014/chart" uri="{C3380CC4-5D6E-409C-BE32-E72D297353CC}">
                  <c16:uniqueId val="{00000009-2E47-4C91-97AC-E6C718FE6F0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Grafieke!$C$20:$C$24</c:f>
              <c:numCache>
                <c:formatCode>0</c:formatCode>
                <c:ptCount val="5"/>
                <c:pt idx="0" formatCode="General">
                  <c:v>0</c:v>
                </c:pt>
                <c:pt idx="1">
                  <c:v>44.156378767885357</c:v>
                </c:pt>
                <c:pt idx="2">
                  <c:v>7.262675641700989</c:v>
                </c:pt>
                <c:pt idx="3">
                  <c:v>48.580945590413656</c:v>
                </c:pt>
                <c:pt idx="4" formatCode="General">
                  <c:v>100</c:v>
                </c:pt>
              </c:numCache>
            </c:numRef>
          </c:val>
          <c:extLst>
            <c:ext xmlns:c16="http://schemas.microsoft.com/office/drawing/2014/chart" uri="{C3380CC4-5D6E-409C-BE32-E72D297353CC}">
              <c16:uniqueId val="{0000000A-2E47-4C91-97AC-E6C718FE6F0A}"/>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Grafieke!$D$19</c:f>
              <c:strCache>
                <c:ptCount val="1"/>
                <c:pt idx="0">
                  <c:v>Pointer</c:v>
                </c:pt>
              </c:strCache>
            </c:strRef>
          </c:tx>
          <c:dPt>
            <c:idx val="0"/>
            <c:bubble3D val="0"/>
            <c:spPr>
              <a:noFill/>
              <a:ln>
                <a:noFill/>
              </a:ln>
              <a:effectLst/>
            </c:spPr>
            <c:extLst>
              <c:ext xmlns:c16="http://schemas.microsoft.com/office/drawing/2014/chart" uri="{C3380CC4-5D6E-409C-BE32-E72D297353CC}">
                <c16:uniqueId val="{0000000C-2E47-4C91-97AC-E6C718FE6F0A}"/>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2E47-4C91-97AC-E6C718FE6F0A}"/>
              </c:ext>
            </c:extLst>
          </c:dPt>
          <c:dPt>
            <c:idx val="2"/>
            <c:bubble3D val="0"/>
            <c:spPr>
              <a:noFill/>
              <a:ln>
                <a:noFill/>
              </a:ln>
              <a:effectLst/>
            </c:spPr>
            <c:extLst>
              <c:ext xmlns:c16="http://schemas.microsoft.com/office/drawing/2014/chart" uri="{C3380CC4-5D6E-409C-BE32-E72D297353CC}">
                <c16:uniqueId val="{00000010-2E47-4C91-97AC-E6C718FE6F0A}"/>
              </c:ext>
            </c:extLst>
          </c:dPt>
          <c:val>
            <c:numRef>
              <c:f>Grafieke!$F$20:$F$22</c:f>
              <c:numCache>
                <c:formatCode>General</c:formatCode>
                <c:ptCount val="3"/>
                <c:pt idx="0" formatCode="0">
                  <c:v>48.580945590413656</c:v>
                </c:pt>
                <c:pt idx="1">
                  <c:v>1</c:v>
                </c:pt>
                <c:pt idx="2" formatCode="0">
                  <c:v>150.41905440958635</c:v>
                </c:pt>
              </c:numCache>
            </c:numRef>
          </c:val>
          <c:extLst>
            <c:ext xmlns:c16="http://schemas.microsoft.com/office/drawing/2014/chart" uri="{C3380CC4-5D6E-409C-BE32-E72D297353CC}">
              <c16:uniqueId val="{00000011-2E47-4C91-97AC-E6C718FE6F0A}"/>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Mieliewinsgewendheid</a:t>
            </a:r>
          </a:p>
        </c:rich>
      </c:tx>
      <c:overlay val="0"/>
    </c:title>
    <c:autoTitleDeleted val="0"/>
    <c:plotArea>
      <c:layout>
        <c:manualLayout>
          <c:layoutTarget val="inner"/>
          <c:xMode val="edge"/>
          <c:yMode val="edge"/>
          <c:x val="0.31595315843735494"/>
          <c:y val="0.21822815626307582"/>
          <c:w val="0.37018027676117948"/>
          <c:h val="0.77913437697758137"/>
        </c:manualLayout>
      </c:layout>
      <c:doughnutChart>
        <c:varyColors val="1"/>
        <c:ser>
          <c:idx val="0"/>
          <c:order val="0"/>
          <c:tx>
            <c:strRef>
              <c:f>Grafieke!$A$1</c:f>
              <c:strCache>
                <c:ptCount val="1"/>
                <c:pt idx="0">
                  <c:v>Winsgewendheid: Mielies</c:v>
                </c:pt>
              </c:strCache>
            </c:strRef>
          </c:tx>
          <c:explosion val="2"/>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9A9-4C48-92E1-BFCC8B444ADC}"/>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9A9-4C48-92E1-BFCC8B444ADC}"/>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9A9-4C48-92E1-BFCC8B444ADC}"/>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9A9-4C48-92E1-BFCC8B444ADC}"/>
              </c:ext>
            </c:extLst>
          </c:dPt>
          <c:dPt>
            <c:idx val="4"/>
            <c:bubble3D val="0"/>
            <c:spPr>
              <a:noFill/>
              <a:ln>
                <a:noFill/>
              </a:ln>
              <a:effectLst/>
            </c:spPr>
            <c:extLst>
              <c:ext xmlns:c16="http://schemas.microsoft.com/office/drawing/2014/chart" uri="{C3380CC4-5D6E-409C-BE32-E72D297353CC}">
                <c16:uniqueId val="{00000009-49A9-4C48-92E1-BFCC8B444ADC}"/>
              </c:ext>
            </c:extLst>
          </c:dPt>
          <c:dLbls>
            <c:dLbl>
              <c:idx val="0"/>
              <c:delete val="1"/>
              <c:extLst>
                <c:ext xmlns:c15="http://schemas.microsoft.com/office/drawing/2012/chart" uri="{CE6537A1-D6FC-4f65-9D91-7224C49458BB}"/>
                <c:ext xmlns:c16="http://schemas.microsoft.com/office/drawing/2014/chart" uri="{C3380CC4-5D6E-409C-BE32-E72D297353CC}">
                  <c16:uniqueId val="{00000001-49A9-4C48-92E1-BFCC8B444ADC}"/>
                </c:ext>
              </c:extLst>
            </c:dLbl>
            <c:dLbl>
              <c:idx val="1"/>
              <c:tx>
                <c:rich>
                  <a:bodyPr/>
                  <a:lstStyle/>
                  <a:p>
                    <a:r>
                      <a:rPr lang="en-US"/>
                      <a:t>Veranderlike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49A9-4C48-92E1-BFCC8B444ADC}"/>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49A9-4C48-92E1-BFCC8B444ADC}"/>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49A9-4C48-92E1-BFCC8B444ADC}"/>
                </c:ext>
              </c:extLst>
            </c:dLbl>
            <c:dLbl>
              <c:idx val="4"/>
              <c:delete val="1"/>
              <c:extLst>
                <c:ext xmlns:c15="http://schemas.microsoft.com/office/drawing/2012/chart" uri="{CE6537A1-D6FC-4f65-9D91-7224C49458BB}"/>
                <c:ext xmlns:c16="http://schemas.microsoft.com/office/drawing/2014/chart" uri="{C3380CC4-5D6E-409C-BE32-E72D297353CC}">
                  <c16:uniqueId val="{00000009-49A9-4C48-92E1-BFCC8B444AD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Grafieke!$C$2:$C$6</c:f>
              <c:numCache>
                <c:formatCode>0</c:formatCode>
                <c:ptCount val="5"/>
                <c:pt idx="0" formatCode="General">
                  <c:v>0</c:v>
                </c:pt>
                <c:pt idx="1">
                  <c:v>44.074276611070204</c:v>
                </c:pt>
                <c:pt idx="2">
                  <c:v>3.8734582209746247</c:v>
                </c:pt>
                <c:pt idx="3">
                  <c:v>52.05226516795517</c:v>
                </c:pt>
                <c:pt idx="4" formatCode="General">
                  <c:v>100</c:v>
                </c:pt>
              </c:numCache>
            </c:numRef>
          </c:val>
          <c:extLst>
            <c:ext xmlns:c16="http://schemas.microsoft.com/office/drawing/2014/chart" uri="{C3380CC4-5D6E-409C-BE32-E72D297353CC}">
              <c16:uniqueId val="{0000000A-49A9-4C48-92E1-BFCC8B444ADC}"/>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c:f>
              <c:strCache>
                <c:ptCount val="1"/>
                <c:pt idx="0">
                  <c:v>Pointer</c:v>
                </c:pt>
              </c:strCache>
            </c:strRef>
          </c:tx>
          <c:dPt>
            <c:idx val="0"/>
            <c:bubble3D val="0"/>
            <c:spPr>
              <a:noFill/>
              <a:ln>
                <a:noFill/>
              </a:ln>
              <a:effectLst/>
            </c:spPr>
            <c:extLst>
              <c:ext xmlns:c16="http://schemas.microsoft.com/office/drawing/2014/chart" uri="{C3380CC4-5D6E-409C-BE32-E72D297353CC}">
                <c16:uniqueId val="{0000000C-49A9-4C48-92E1-BFCC8B444ADC}"/>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49A9-4C48-92E1-BFCC8B444ADC}"/>
              </c:ext>
            </c:extLst>
          </c:dPt>
          <c:dPt>
            <c:idx val="2"/>
            <c:bubble3D val="0"/>
            <c:spPr>
              <a:noFill/>
              <a:ln>
                <a:noFill/>
              </a:ln>
              <a:effectLst/>
            </c:spPr>
            <c:extLst>
              <c:ext xmlns:c16="http://schemas.microsoft.com/office/drawing/2014/chart" uri="{C3380CC4-5D6E-409C-BE32-E72D297353CC}">
                <c16:uniqueId val="{00000010-49A9-4C48-92E1-BFCC8B444ADC}"/>
              </c:ext>
            </c:extLst>
          </c:dPt>
          <c:val>
            <c:numRef>
              <c:f>Grafieke!$F$2:$F$4</c:f>
              <c:numCache>
                <c:formatCode>General</c:formatCode>
                <c:ptCount val="3"/>
                <c:pt idx="0" formatCode="0">
                  <c:v>52.05226516795517</c:v>
                </c:pt>
                <c:pt idx="1">
                  <c:v>1</c:v>
                </c:pt>
                <c:pt idx="2" formatCode="0">
                  <c:v>146.94773483204483</c:v>
                </c:pt>
              </c:numCache>
            </c:numRef>
          </c:val>
          <c:extLst>
            <c:ext xmlns:c16="http://schemas.microsoft.com/office/drawing/2014/chart" uri="{C3380CC4-5D6E-409C-BE32-E72D297353CC}">
              <c16:uniqueId val="{00000011-49A9-4C48-92E1-BFCC8B444ADC}"/>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Sojaboonwinsgewendheid</a:t>
            </a:r>
          </a:p>
        </c:rich>
      </c:tx>
      <c:overlay val="0"/>
    </c:title>
    <c:autoTitleDeleted val="0"/>
    <c:plotArea>
      <c:layout/>
      <c:doughnutChart>
        <c:varyColors val="1"/>
        <c:ser>
          <c:idx val="0"/>
          <c:order val="0"/>
          <c:tx>
            <c:strRef>
              <c:f>Grafieke!$A$19</c:f>
              <c:strCache>
                <c:ptCount val="1"/>
                <c:pt idx="0">
                  <c:v>Winsgewendheid: Sojabone</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86F-4659-8BBB-668C5BCBA7D7}"/>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86F-4659-8BBB-668C5BCBA7D7}"/>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A86F-4659-8BBB-668C5BCBA7D7}"/>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A86F-4659-8BBB-668C5BCBA7D7}"/>
              </c:ext>
            </c:extLst>
          </c:dPt>
          <c:dPt>
            <c:idx val="4"/>
            <c:bubble3D val="0"/>
            <c:spPr>
              <a:noFill/>
              <a:ln>
                <a:noFill/>
              </a:ln>
              <a:effectLst/>
            </c:spPr>
            <c:extLst>
              <c:ext xmlns:c16="http://schemas.microsoft.com/office/drawing/2014/chart" uri="{C3380CC4-5D6E-409C-BE32-E72D297353CC}">
                <c16:uniqueId val="{00000009-A86F-4659-8BBB-668C5BCBA7D7}"/>
              </c:ext>
            </c:extLst>
          </c:dPt>
          <c:dLbls>
            <c:dLbl>
              <c:idx val="0"/>
              <c:delete val="1"/>
              <c:extLst>
                <c:ext xmlns:c15="http://schemas.microsoft.com/office/drawing/2012/chart" uri="{CE6537A1-D6FC-4f65-9D91-7224C49458BB}"/>
                <c:ext xmlns:c16="http://schemas.microsoft.com/office/drawing/2014/chart" uri="{C3380CC4-5D6E-409C-BE32-E72D297353CC}">
                  <c16:uniqueId val="{00000001-A86F-4659-8BBB-668C5BCBA7D7}"/>
                </c:ext>
              </c:extLst>
            </c:dLbl>
            <c:dLbl>
              <c:idx val="1"/>
              <c:tx>
                <c:rich>
                  <a:bodyPr/>
                  <a:lstStyle/>
                  <a:p>
                    <a:r>
                      <a:rPr lang="en-US"/>
                      <a:t>Veranderlike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A86F-4659-8BBB-668C5BCBA7D7}"/>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A86F-4659-8BBB-668C5BCBA7D7}"/>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A86F-4659-8BBB-668C5BCBA7D7}"/>
                </c:ext>
              </c:extLst>
            </c:dLbl>
            <c:dLbl>
              <c:idx val="4"/>
              <c:delete val="1"/>
              <c:extLst>
                <c:ext xmlns:c15="http://schemas.microsoft.com/office/drawing/2012/chart" uri="{CE6537A1-D6FC-4f65-9D91-7224C49458BB}"/>
                <c:ext xmlns:c16="http://schemas.microsoft.com/office/drawing/2014/chart" uri="{C3380CC4-5D6E-409C-BE32-E72D297353CC}">
                  <c16:uniqueId val="{00000009-A86F-4659-8BBB-668C5BCBA7D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Grafieke!$C$20:$C$24</c:f>
              <c:numCache>
                <c:formatCode>0</c:formatCode>
                <c:ptCount val="5"/>
                <c:pt idx="0" formatCode="General">
                  <c:v>0</c:v>
                </c:pt>
                <c:pt idx="1">
                  <c:v>44.156378767885357</c:v>
                </c:pt>
                <c:pt idx="2">
                  <c:v>7.262675641700989</c:v>
                </c:pt>
                <c:pt idx="3">
                  <c:v>48.580945590413656</c:v>
                </c:pt>
                <c:pt idx="4" formatCode="General">
                  <c:v>100</c:v>
                </c:pt>
              </c:numCache>
            </c:numRef>
          </c:val>
          <c:extLst>
            <c:ext xmlns:c16="http://schemas.microsoft.com/office/drawing/2014/chart" uri="{C3380CC4-5D6E-409C-BE32-E72D297353CC}">
              <c16:uniqueId val="{0000000A-A86F-4659-8BBB-668C5BCBA7D7}"/>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Grafieke!$D$19</c:f>
              <c:strCache>
                <c:ptCount val="1"/>
                <c:pt idx="0">
                  <c:v>Pointer</c:v>
                </c:pt>
              </c:strCache>
            </c:strRef>
          </c:tx>
          <c:dPt>
            <c:idx val="0"/>
            <c:bubble3D val="0"/>
            <c:spPr>
              <a:noFill/>
              <a:ln>
                <a:noFill/>
              </a:ln>
              <a:effectLst/>
            </c:spPr>
            <c:extLst>
              <c:ext xmlns:c16="http://schemas.microsoft.com/office/drawing/2014/chart" uri="{C3380CC4-5D6E-409C-BE32-E72D297353CC}">
                <c16:uniqueId val="{0000000C-A86F-4659-8BBB-668C5BCBA7D7}"/>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A86F-4659-8BBB-668C5BCBA7D7}"/>
              </c:ext>
            </c:extLst>
          </c:dPt>
          <c:dPt>
            <c:idx val="2"/>
            <c:bubble3D val="0"/>
            <c:spPr>
              <a:noFill/>
              <a:ln>
                <a:noFill/>
              </a:ln>
              <a:effectLst/>
            </c:spPr>
            <c:extLst>
              <c:ext xmlns:c16="http://schemas.microsoft.com/office/drawing/2014/chart" uri="{C3380CC4-5D6E-409C-BE32-E72D297353CC}">
                <c16:uniqueId val="{00000010-A86F-4659-8BBB-668C5BCBA7D7}"/>
              </c:ext>
            </c:extLst>
          </c:dPt>
          <c:val>
            <c:numRef>
              <c:f>Grafieke!$F$20:$F$22</c:f>
              <c:numCache>
                <c:formatCode>General</c:formatCode>
                <c:ptCount val="3"/>
                <c:pt idx="0" formatCode="0">
                  <c:v>48.580945590413656</c:v>
                </c:pt>
                <c:pt idx="1">
                  <c:v>1</c:v>
                </c:pt>
                <c:pt idx="2" formatCode="0">
                  <c:v>150.41905440958635</c:v>
                </c:pt>
              </c:numCache>
            </c:numRef>
          </c:val>
          <c:extLst>
            <c:ext xmlns:c16="http://schemas.microsoft.com/office/drawing/2014/chart" uri="{C3380CC4-5D6E-409C-BE32-E72D297353CC}">
              <c16:uniqueId val="{00000011-A86F-4659-8BBB-668C5BCBA7D7}"/>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Sorghum</a:t>
            </a:r>
            <a:r>
              <a:rPr lang="en-GB" baseline="0"/>
              <a:t> profitability</a:t>
            </a:r>
            <a:endParaRPr lang="en-GB"/>
          </a:p>
        </c:rich>
      </c:tx>
      <c:overlay val="0"/>
    </c:title>
    <c:autoTitleDeleted val="0"/>
    <c:plotArea>
      <c:layout/>
      <c:doughnutChart>
        <c:varyColors val="1"/>
        <c:ser>
          <c:idx val="0"/>
          <c:order val="0"/>
          <c:tx>
            <c:strRef>
              <c:f>Grafieke!$A$39</c:f>
              <c:strCache>
                <c:ptCount val="1"/>
                <c:pt idx="0">
                  <c:v>Winsgewendheid: Sorghum</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EC0-4598-87B3-ECD2659D77E1}"/>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EC0-4598-87B3-ECD2659D77E1}"/>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EC0-4598-87B3-ECD2659D77E1}"/>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EC0-4598-87B3-ECD2659D77E1}"/>
              </c:ext>
            </c:extLst>
          </c:dPt>
          <c:dPt>
            <c:idx val="4"/>
            <c:bubble3D val="0"/>
            <c:spPr>
              <a:noFill/>
              <a:ln>
                <a:noFill/>
              </a:ln>
              <a:effectLst/>
            </c:spPr>
            <c:extLst>
              <c:ext xmlns:c16="http://schemas.microsoft.com/office/drawing/2014/chart" uri="{C3380CC4-5D6E-409C-BE32-E72D297353CC}">
                <c16:uniqueId val="{00000009-DEC0-4598-87B3-ECD2659D77E1}"/>
              </c:ext>
            </c:extLst>
          </c:dPt>
          <c:dLbls>
            <c:dLbl>
              <c:idx val="0"/>
              <c:delete val="1"/>
              <c:extLst>
                <c:ext xmlns:c15="http://schemas.microsoft.com/office/drawing/2012/chart" uri="{CE6537A1-D6FC-4f65-9D91-7224C49458BB}"/>
                <c:ext xmlns:c16="http://schemas.microsoft.com/office/drawing/2014/chart" uri="{C3380CC4-5D6E-409C-BE32-E72D297353CC}">
                  <c16:uniqueId val="{00000001-DEC0-4598-87B3-ECD2659D77E1}"/>
                </c:ext>
              </c:extLst>
            </c:dLbl>
            <c:dLbl>
              <c:idx val="1"/>
              <c:tx>
                <c:rich>
                  <a:bodyPr/>
                  <a:lstStyle/>
                  <a:p>
                    <a:r>
                      <a:rPr lang="en-US"/>
                      <a:t>Variable</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DEC0-4598-87B3-ECD2659D77E1}"/>
                </c:ext>
              </c:extLst>
            </c:dLbl>
            <c:dLbl>
              <c:idx val="2"/>
              <c:tx>
                <c:rich>
                  <a:bodyPr/>
                  <a:lstStyle/>
                  <a:p>
                    <a:r>
                      <a:rPr lang="en-US"/>
                      <a:t>Fixed</a:t>
                    </a:r>
                    <a:r>
                      <a:rPr lang="en-US" baseline="0"/>
                      <a:t> cost</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DEC0-4598-87B3-ECD2659D77E1}"/>
                </c:ext>
              </c:extLst>
            </c:dLbl>
            <c:dLbl>
              <c:idx val="3"/>
              <c:tx>
                <c:rich>
                  <a:bodyPr/>
                  <a:lstStyle/>
                  <a:p>
                    <a:r>
                      <a:rPr lang="en-US"/>
                      <a:t>Profit</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DEC0-4598-87B3-ECD2659D77E1}"/>
                </c:ext>
              </c:extLst>
            </c:dLbl>
            <c:dLbl>
              <c:idx val="4"/>
              <c:delete val="1"/>
              <c:extLst>
                <c:ext xmlns:c15="http://schemas.microsoft.com/office/drawing/2012/chart" uri="{CE6537A1-D6FC-4f65-9D91-7224C49458BB}"/>
                <c:ext xmlns:c16="http://schemas.microsoft.com/office/drawing/2014/chart" uri="{C3380CC4-5D6E-409C-BE32-E72D297353CC}">
                  <c16:uniqueId val="{00000009-DEC0-4598-87B3-ECD2659D77E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Grafieke!$C$40:$C$44</c:f>
              <c:numCache>
                <c:formatCode>0</c:formatCode>
                <c:ptCount val="5"/>
                <c:pt idx="0" formatCode="General">
                  <c:v>0</c:v>
                </c:pt>
                <c:pt idx="1">
                  <c:v>36.10666897935176</c:v>
                </c:pt>
                <c:pt idx="2">
                  <c:v>7.2568760736679945</c:v>
                </c:pt>
                <c:pt idx="3">
                  <c:v>56.636454946980251</c:v>
                </c:pt>
                <c:pt idx="4" formatCode="General">
                  <c:v>100</c:v>
                </c:pt>
              </c:numCache>
            </c:numRef>
          </c:val>
          <c:extLst>
            <c:ext xmlns:c16="http://schemas.microsoft.com/office/drawing/2014/chart" uri="{C3380CC4-5D6E-409C-BE32-E72D297353CC}">
              <c16:uniqueId val="{0000000A-DEC0-4598-87B3-ECD2659D77E1}"/>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Grafieke!$D$39</c:f>
              <c:strCache>
                <c:ptCount val="1"/>
                <c:pt idx="0">
                  <c:v>Pointer</c:v>
                </c:pt>
              </c:strCache>
            </c:strRef>
          </c:tx>
          <c:dPt>
            <c:idx val="0"/>
            <c:bubble3D val="0"/>
            <c:spPr>
              <a:noFill/>
              <a:ln>
                <a:noFill/>
              </a:ln>
              <a:effectLst/>
            </c:spPr>
            <c:extLst>
              <c:ext xmlns:c16="http://schemas.microsoft.com/office/drawing/2014/chart" uri="{C3380CC4-5D6E-409C-BE32-E72D297353CC}">
                <c16:uniqueId val="{0000000C-DEC0-4598-87B3-ECD2659D77E1}"/>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EC0-4598-87B3-ECD2659D77E1}"/>
              </c:ext>
            </c:extLst>
          </c:dPt>
          <c:dPt>
            <c:idx val="2"/>
            <c:bubble3D val="0"/>
            <c:spPr>
              <a:noFill/>
              <a:ln>
                <a:noFill/>
              </a:ln>
              <a:effectLst/>
            </c:spPr>
            <c:extLst>
              <c:ext xmlns:c16="http://schemas.microsoft.com/office/drawing/2014/chart" uri="{C3380CC4-5D6E-409C-BE32-E72D297353CC}">
                <c16:uniqueId val="{00000010-DEC0-4598-87B3-ECD2659D77E1}"/>
              </c:ext>
            </c:extLst>
          </c:dPt>
          <c:val>
            <c:numRef>
              <c:f>Grafieke!$F$40:$F$42</c:f>
              <c:numCache>
                <c:formatCode>General</c:formatCode>
                <c:ptCount val="3"/>
                <c:pt idx="0" formatCode="0">
                  <c:v>56.636454946980251</c:v>
                </c:pt>
                <c:pt idx="1">
                  <c:v>1</c:v>
                </c:pt>
                <c:pt idx="2" formatCode="0">
                  <c:v>142.36354505301975</c:v>
                </c:pt>
              </c:numCache>
            </c:numRef>
          </c:val>
          <c:extLst>
            <c:ext xmlns:c16="http://schemas.microsoft.com/office/drawing/2014/chart" uri="{C3380CC4-5D6E-409C-BE32-E72D297353CC}">
              <c16:uniqueId val="{00000011-DEC0-4598-87B3-ECD2659D77E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Sorghumwinsgewendheid</a:t>
            </a:r>
          </a:p>
        </c:rich>
      </c:tx>
      <c:overlay val="0"/>
    </c:title>
    <c:autoTitleDeleted val="0"/>
    <c:plotArea>
      <c:layout/>
      <c:doughnutChart>
        <c:varyColors val="1"/>
        <c:ser>
          <c:idx val="0"/>
          <c:order val="0"/>
          <c:tx>
            <c:strRef>
              <c:f>Grafieke!$A$39</c:f>
              <c:strCache>
                <c:ptCount val="1"/>
                <c:pt idx="0">
                  <c:v>Winsgewendheid: Sorghum</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B0A-42E5-A976-52B09CF971CC}"/>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B0A-42E5-A976-52B09CF971CC}"/>
              </c:ext>
            </c:extLst>
          </c:dPt>
          <c:dPt>
            <c:idx val="2"/>
            <c:bubble3D val="0"/>
            <c:spPr>
              <a:solidFill>
                <a:srgbClr val="FFFF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B0A-42E5-A976-52B09CF971CC}"/>
              </c:ext>
            </c:extLst>
          </c:dPt>
          <c:dPt>
            <c:idx val="3"/>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B0A-42E5-A976-52B09CF971CC}"/>
              </c:ext>
            </c:extLst>
          </c:dPt>
          <c:dPt>
            <c:idx val="4"/>
            <c:bubble3D val="0"/>
            <c:spPr>
              <a:noFill/>
              <a:ln>
                <a:noFill/>
              </a:ln>
              <a:effectLst/>
            </c:spPr>
            <c:extLst>
              <c:ext xmlns:c16="http://schemas.microsoft.com/office/drawing/2014/chart" uri="{C3380CC4-5D6E-409C-BE32-E72D297353CC}">
                <c16:uniqueId val="{00000009-0B0A-42E5-A976-52B09CF971CC}"/>
              </c:ext>
            </c:extLst>
          </c:dPt>
          <c:dLbls>
            <c:dLbl>
              <c:idx val="0"/>
              <c:delete val="1"/>
              <c:extLst>
                <c:ext xmlns:c15="http://schemas.microsoft.com/office/drawing/2012/chart" uri="{CE6537A1-D6FC-4f65-9D91-7224C49458BB}"/>
                <c:ext xmlns:c16="http://schemas.microsoft.com/office/drawing/2014/chart" uri="{C3380CC4-5D6E-409C-BE32-E72D297353CC}">
                  <c16:uniqueId val="{00000001-0B0A-42E5-A976-52B09CF971CC}"/>
                </c:ext>
              </c:extLst>
            </c:dLbl>
            <c:dLbl>
              <c:idx val="1"/>
              <c:tx>
                <c:rich>
                  <a:bodyPr/>
                  <a:lstStyle/>
                  <a:p>
                    <a:r>
                      <a:rPr lang="en-US"/>
                      <a:t>Veranderlike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0B0A-42E5-A976-52B09CF971CC}"/>
                </c:ext>
              </c:extLst>
            </c:dLbl>
            <c:dLbl>
              <c:idx val="2"/>
              <c:tx>
                <c:rich>
                  <a:bodyPr/>
                  <a:lstStyle/>
                  <a:p>
                    <a:r>
                      <a:rPr lang="en-US"/>
                      <a:t>Vaste</a:t>
                    </a:r>
                    <a:r>
                      <a:rPr lang="en-US" baseline="0"/>
                      <a:t> koste</a:t>
                    </a:r>
                    <a:endParaRPr lang="en-US"/>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0B0A-42E5-A976-52B09CF971CC}"/>
                </c:ext>
              </c:extLst>
            </c:dLbl>
            <c:dLbl>
              <c:idx val="3"/>
              <c:tx>
                <c:rich>
                  <a:bodyPr/>
                  <a:lstStyle/>
                  <a:p>
                    <a:r>
                      <a:rPr lang="en-US"/>
                      <a:t>Wins</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0B0A-42E5-A976-52B09CF971CC}"/>
                </c:ext>
              </c:extLst>
            </c:dLbl>
            <c:dLbl>
              <c:idx val="4"/>
              <c:delete val="1"/>
              <c:extLst>
                <c:ext xmlns:c15="http://schemas.microsoft.com/office/drawing/2012/chart" uri="{CE6537A1-D6FC-4f65-9D91-7224C49458BB}"/>
                <c:ext xmlns:c16="http://schemas.microsoft.com/office/drawing/2014/chart" uri="{C3380CC4-5D6E-409C-BE32-E72D297353CC}">
                  <c16:uniqueId val="{00000009-0B0A-42E5-A976-52B09CF971C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Grafieke!$C$40:$C$44</c:f>
              <c:numCache>
                <c:formatCode>0</c:formatCode>
                <c:ptCount val="5"/>
                <c:pt idx="0" formatCode="General">
                  <c:v>0</c:v>
                </c:pt>
                <c:pt idx="1">
                  <c:v>36.10666897935176</c:v>
                </c:pt>
                <c:pt idx="2">
                  <c:v>7.2568760736679945</c:v>
                </c:pt>
                <c:pt idx="3">
                  <c:v>56.636454946980251</c:v>
                </c:pt>
                <c:pt idx="4" formatCode="General">
                  <c:v>100</c:v>
                </c:pt>
              </c:numCache>
            </c:numRef>
          </c:val>
          <c:extLst>
            <c:ext xmlns:c16="http://schemas.microsoft.com/office/drawing/2014/chart" uri="{C3380CC4-5D6E-409C-BE32-E72D297353CC}">
              <c16:uniqueId val="{0000000A-0B0A-42E5-A976-52B09CF971CC}"/>
            </c:ext>
          </c:extLst>
        </c:ser>
        <c:dLbls>
          <c:showLegendKey val="0"/>
          <c:showVal val="0"/>
          <c:showCatName val="0"/>
          <c:showSerName val="0"/>
          <c:showPercent val="1"/>
          <c:showBubbleSize val="0"/>
          <c:showLeaderLines val="1"/>
        </c:dLbls>
        <c:firstSliceAng val="270"/>
        <c:holeSize val="50"/>
      </c:doughnutChart>
      <c:pieChart>
        <c:varyColors val="1"/>
        <c:ser>
          <c:idx val="1"/>
          <c:order val="1"/>
          <c:tx>
            <c:strRef>
              <c:f>Grafieke!$D$39</c:f>
              <c:strCache>
                <c:ptCount val="1"/>
                <c:pt idx="0">
                  <c:v>Pointer</c:v>
                </c:pt>
              </c:strCache>
            </c:strRef>
          </c:tx>
          <c:dPt>
            <c:idx val="0"/>
            <c:bubble3D val="0"/>
            <c:spPr>
              <a:noFill/>
              <a:ln>
                <a:noFill/>
              </a:ln>
              <a:effectLst/>
            </c:spPr>
            <c:extLst>
              <c:ext xmlns:c16="http://schemas.microsoft.com/office/drawing/2014/chart" uri="{C3380CC4-5D6E-409C-BE32-E72D297353CC}">
                <c16:uniqueId val="{0000000C-0B0A-42E5-A976-52B09CF971CC}"/>
              </c:ext>
            </c:extLst>
          </c:dPt>
          <c:dPt>
            <c:idx val="1"/>
            <c:bubble3D val="0"/>
            <c:spPr>
              <a:solidFill>
                <a:schemeClr val="tx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B0A-42E5-A976-52B09CF971CC}"/>
              </c:ext>
            </c:extLst>
          </c:dPt>
          <c:dPt>
            <c:idx val="2"/>
            <c:bubble3D val="0"/>
            <c:spPr>
              <a:noFill/>
              <a:ln>
                <a:noFill/>
              </a:ln>
              <a:effectLst/>
            </c:spPr>
            <c:extLst>
              <c:ext xmlns:c16="http://schemas.microsoft.com/office/drawing/2014/chart" uri="{C3380CC4-5D6E-409C-BE32-E72D297353CC}">
                <c16:uniqueId val="{00000010-0B0A-42E5-A976-52B09CF971CC}"/>
              </c:ext>
            </c:extLst>
          </c:dPt>
          <c:val>
            <c:numRef>
              <c:f>Grafieke!$F$40:$F$42</c:f>
              <c:numCache>
                <c:formatCode>General</c:formatCode>
                <c:ptCount val="3"/>
                <c:pt idx="0" formatCode="0">
                  <c:v>56.636454946980251</c:v>
                </c:pt>
                <c:pt idx="1">
                  <c:v>1</c:v>
                </c:pt>
                <c:pt idx="2" formatCode="0">
                  <c:v>142.36354505301975</c:v>
                </c:pt>
              </c:numCache>
            </c:numRef>
          </c:val>
          <c:extLst>
            <c:ext xmlns:c16="http://schemas.microsoft.com/office/drawing/2014/chart" uri="{C3380CC4-5D6E-409C-BE32-E72D297353CC}">
              <c16:uniqueId val="{00000011-0B0A-42E5-A976-52B09CF971CC}"/>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3.jpe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2127861</xdr:colOff>
      <xdr:row>1</xdr:row>
      <xdr:rowOff>134470</xdr:rowOff>
    </xdr:from>
    <xdr:to>
      <xdr:col>0</xdr:col>
      <xdr:colOff>3486497</xdr:colOff>
      <xdr:row>8</xdr:row>
      <xdr:rowOff>59839</xdr:rowOff>
    </xdr:to>
    <xdr:pic>
      <xdr:nvPicPr>
        <xdr:cNvPr id="2" name="Picture 1" descr="GrainSA - YouTube">
          <a:extLst>
            <a:ext uri="{FF2B5EF4-FFF2-40B4-BE49-F238E27FC236}">
              <a16:creationId xmlns:a16="http://schemas.microsoft.com/office/drawing/2014/main" id="{A2464A84-4C7D-8209-DB12-667AEC22F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7861" y="493058"/>
          <a:ext cx="1354826" cy="1362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38</xdr:row>
      <xdr:rowOff>0</xdr:rowOff>
    </xdr:from>
    <xdr:to>
      <xdr:col>4</xdr:col>
      <xdr:colOff>0</xdr:colOff>
      <xdr:row>56</xdr:row>
      <xdr:rowOff>76200</xdr:rowOff>
    </xdr:to>
    <xdr:graphicFrame macro="">
      <xdr:nvGraphicFramePr>
        <xdr:cNvPr id="250921" name="Chart 1">
          <a:extLst>
            <a:ext uri="{FF2B5EF4-FFF2-40B4-BE49-F238E27FC236}">
              <a16:creationId xmlns:a16="http://schemas.microsoft.com/office/drawing/2014/main" id="{19A9185A-550E-FABA-823B-EFCECC9C3A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73622</xdr:colOff>
      <xdr:row>1</xdr:row>
      <xdr:rowOff>27233</xdr:rowOff>
    </xdr:from>
    <xdr:to>
      <xdr:col>8</xdr:col>
      <xdr:colOff>700479</xdr:colOff>
      <xdr:row>5</xdr:row>
      <xdr:rowOff>116893</xdr:rowOff>
    </xdr:to>
    <xdr:pic>
      <xdr:nvPicPr>
        <xdr:cNvPr id="2" name="Picture 1" descr="GrainSA - YouTube">
          <a:extLst>
            <a:ext uri="{FF2B5EF4-FFF2-40B4-BE49-F238E27FC236}">
              <a16:creationId xmlns:a16="http://schemas.microsoft.com/office/drawing/2014/main" id="{D5650506-0D25-45A3-8C05-1E073B20FD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31387" y="206527"/>
          <a:ext cx="1254386" cy="977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596265</xdr:colOff>
      <xdr:row>0</xdr:row>
      <xdr:rowOff>13812</xdr:rowOff>
    </xdr:from>
    <xdr:to>
      <xdr:col>16</xdr:col>
      <xdr:colOff>586740</xdr:colOff>
      <xdr:row>17</xdr:row>
      <xdr:rowOff>185262</xdr:rowOff>
    </xdr:to>
    <xdr:graphicFrame macro="">
      <xdr:nvGraphicFramePr>
        <xdr:cNvPr id="2" name="Chart 1">
          <a:extLst>
            <a:ext uri="{FF2B5EF4-FFF2-40B4-BE49-F238E27FC236}">
              <a16:creationId xmlns:a16="http://schemas.microsoft.com/office/drawing/2014/main" id="{324A9731-DAA8-4150-A4AD-E1B5DC806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558165</xdr:colOff>
      <xdr:row>20</xdr:row>
      <xdr:rowOff>15239</xdr:rowOff>
    </xdr:from>
    <xdr:to>
      <xdr:col>16</xdr:col>
      <xdr:colOff>594360</xdr:colOff>
      <xdr:row>37</xdr:row>
      <xdr:rowOff>160020</xdr:rowOff>
    </xdr:to>
    <xdr:graphicFrame macro="">
      <xdr:nvGraphicFramePr>
        <xdr:cNvPr id="3" name="Chart 2">
          <a:extLst>
            <a:ext uri="{FF2B5EF4-FFF2-40B4-BE49-F238E27FC236}">
              <a16:creationId xmlns:a16="http://schemas.microsoft.com/office/drawing/2014/main" id="{97ECF6DB-316D-4E41-B290-FCD0852C58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0</xdr:row>
      <xdr:rowOff>0</xdr:rowOff>
    </xdr:from>
    <xdr:to>
      <xdr:col>27</xdr:col>
      <xdr:colOff>600075</xdr:colOff>
      <xdr:row>17</xdr:row>
      <xdr:rowOff>171450</xdr:rowOff>
    </xdr:to>
    <xdr:graphicFrame macro="">
      <xdr:nvGraphicFramePr>
        <xdr:cNvPr id="4" name="Chart 3">
          <a:extLst>
            <a:ext uri="{FF2B5EF4-FFF2-40B4-BE49-F238E27FC236}">
              <a16:creationId xmlns:a16="http://schemas.microsoft.com/office/drawing/2014/main" id="{86B64F17-14E9-479A-94BB-1EE59A6B5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20</xdr:row>
      <xdr:rowOff>0</xdr:rowOff>
    </xdr:from>
    <xdr:to>
      <xdr:col>28</xdr:col>
      <xdr:colOff>36195</xdr:colOff>
      <xdr:row>37</xdr:row>
      <xdr:rowOff>144781</xdr:rowOff>
    </xdr:to>
    <xdr:graphicFrame macro="">
      <xdr:nvGraphicFramePr>
        <xdr:cNvPr id="5" name="Chart 4">
          <a:extLst>
            <a:ext uri="{FF2B5EF4-FFF2-40B4-BE49-F238E27FC236}">
              <a16:creationId xmlns:a16="http://schemas.microsoft.com/office/drawing/2014/main" id="{7B3B645C-D7E7-4B2A-9F13-D4B9BDDEE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554355</xdr:colOff>
      <xdr:row>40</xdr:row>
      <xdr:rowOff>33931</xdr:rowOff>
    </xdr:from>
    <xdr:to>
      <xdr:col>16</xdr:col>
      <xdr:colOff>590550</xdr:colOff>
      <xdr:row>57</xdr:row>
      <xdr:rowOff>176807</xdr:rowOff>
    </xdr:to>
    <xdr:graphicFrame macro="">
      <xdr:nvGraphicFramePr>
        <xdr:cNvPr id="6" name="Chart 5">
          <a:extLst>
            <a:ext uri="{FF2B5EF4-FFF2-40B4-BE49-F238E27FC236}">
              <a16:creationId xmlns:a16="http://schemas.microsoft.com/office/drawing/2014/main" id="{907484DB-140B-42BE-B399-A2346C622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580429</xdr:colOff>
      <xdr:row>40</xdr:row>
      <xdr:rowOff>0</xdr:rowOff>
    </xdr:from>
    <xdr:to>
      <xdr:col>28</xdr:col>
      <xdr:colOff>6429</xdr:colOff>
      <xdr:row>57</xdr:row>
      <xdr:rowOff>142876</xdr:rowOff>
    </xdr:to>
    <xdr:graphicFrame macro="">
      <xdr:nvGraphicFramePr>
        <xdr:cNvPr id="7" name="Chart 6">
          <a:extLst>
            <a:ext uri="{FF2B5EF4-FFF2-40B4-BE49-F238E27FC236}">
              <a16:creationId xmlns:a16="http://schemas.microsoft.com/office/drawing/2014/main" id="{35E794D4-821C-4746-AB5A-3998C8846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281940</xdr:colOff>
      <xdr:row>84</xdr:row>
      <xdr:rowOff>99060</xdr:rowOff>
    </xdr:from>
    <xdr:to>
      <xdr:col>8</xdr:col>
      <xdr:colOff>666750</xdr:colOff>
      <xdr:row>88</xdr:row>
      <xdr:rowOff>20955</xdr:rowOff>
    </xdr:to>
    <xdr:pic>
      <xdr:nvPicPr>
        <xdr:cNvPr id="133479" name="Picture 5" descr="Graan SA - nuwe logo.jpg">
          <a:extLst>
            <a:ext uri="{FF2B5EF4-FFF2-40B4-BE49-F238E27FC236}">
              <a16:creationId xmlns:a16="http://schemas.microsoft.com/office/drawing/2014/main" id="{616CA1A6-81AC-DF15-ED27-F75536A5B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9440" y="14912340"/>
          <a:ext cx="3733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xdr:colOff>
      <xdr:row>42</xdr:row>
      <xdr:rowOff>15240</xdr:rowOff>
    </xdr:from>
    <xdr:to>
      <xdr:col>0</xdr:col>
      <xdr:colOff>815340</xdr:colOff>
      <xdr:row>45</xdr:row>
      <xdr:rowOff>129540</xdr:rowOff>
    </xdr:to>
    <xdr:pic>
      <xdr:nvPicPr>
        <xdr:cNvPr id="133481" name="Picture 6" descr="http://www.maizetrust.co.za/images/masthead.jpg">
          <a:extLst>
            <a:ext uri="{FF2B5EF4-FFF2-40B4-BE49-F238E27FC236}">
              <a16:creationId xmlns:a16="http://schemas.microsoft.com/office/drawing/2014/main" id="{4037201A-F076-4CE4-2140-1FD5F2905B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778002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xdr:colOff>
      <xdr:row>42</xdr:row>
      <xdr:rowOff>15240</xdr:rowOff>
    </xdr:from>
    <xdr:to>
      <xdr:col>0</xdr:col>
      <xdr:colOff>815340</xdr:colOff>
      <xdr:row>45</xdr:row>
      <xdr:rowOff>129540</xdr:rowOff>
    </xdr:to>
    <xdr:pic>
      <xdr:nvPicPr>
        <xdr:cNvPr id="133482" name="Picture 7" descr="http://www.maizetrust.co.za/images/masthead.jpg">
          <a:extLst>
            <a:ext uri="{FF2B5EF4-FFF2-40B4-BE49-F238E27FC236}">
              <a16:creationId xmlns:a16="http://schemas.microsoft.com/office/drawing/2014/main" id="{37E894DF-2A0F-12E6-A2FD-F68A833DB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778002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988219</xdr:colOff>
      <xdr:row>0</xdr:row>
      <xdr:rowOff>0</xdr:rowOff>
    </xdr:from>
    <xdr:to>
      <xdr:col>9</xdr:col>
      <xdr:colOff>2573</xdr:colOff>
      <xdr:row>2</xdr:row>
      <xdr:rowOff>327659</xdr:rowOff>
    </xdr:to>
    <xdr:pic>
      <xdr:nvPicPr>
        <xdr:cNvPr id="2" name="Picture 1" descr="GrainSA - YouTube">
          <a:extLst>
            <a:ext uri="{FF2B5EF4-FFF2-40B4-BE49-F238E27FC236}">
              <a16:creationId xmlns:a16="http://schemas.microsoft.com/office/drawing/2014/main" id="{594AD7C1-DF92-47D6-A829-326C9172BC4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65594" y="0"/>
          <a:ext cx="1129857" cy="926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205740</xdr:colOff>
      <xdr:row>0</xdr:row>
      <xdr:rowOff>60960</xdr:rowOff>
    </xdr:from>
    <xdr:to>
      <xdr:col>8</xdr:col>
      <xdr:colOff>601980</xdr:colOff>
      <xdr:row>1</xdr:row>
      <xdr:rowOff>152400</xdr:rowOff>
    </xdr:to>
    <xdr:pic>
      <xdr:nvPicPr>
        <xdr:cNvPr id="248978" name="Picture 4" descr="Graan SA - nuwe logo.jpg">
          <a:extLst>
            <a:ext uri="{FF2B5EF4-FFF2-40B4-BE49-F238E27FC236}">
              <a16:creationId xmlns:a16="http://schemas.microsoft.com/office/drawing/2014/main" id="{2C143171-B25E-5DE0-1D1D-D271744F78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6540" y="60960"/>
          <a:ext cx="39624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xdr:colOff>
      <xdr:row>39</xdr:row>
      <xdr:rowOff>15240</xdr:rowOff>
    </xdr:from>
    <xdr:to>
      <xdr:col>0</xdr:col>
      <xdr:colOff>815340</xdr:colOff>
      <xdr:row>42</xdr:row>
      <xdr:rowOff>129540</xdr:rowOff>
    </xdr:to>
    <xdr:pic>
      <xdr:nvPicPr>
        <xdr:cNvPr id="248979" name="Picture 6" descr="http://www.maizetrust.co.za/images/masthead.jpg">
          <a:extLst>
            <a:ext uri="{FF2B5EF4-FFF2-40B4-BE49-F238E27FC236}">
              <a16:creationId xmlns:a16="http://schemas.microsoft.com/office/drawing/2014/main" id="{210BD466-BC48-524E-88CC-1621EA5838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781812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xdr:colOff>
      <xdr:row>39</xdr:row>
      <xdr:rowOff>15240</xdr:rowOff>
    </xdr:from>
    <xdr:to>
      <xdr:col>0</xdr:col>
      <xdr:colOff>815340</xdr:colOff>
      <xdr:row>42</xdr:row>
      <xdr:rowOff>129540</xdr:rowOff>
    </xdr:to>
    <xdr:pic>
      <xdr:nvPicPr>
        <xdr:cNvPr id="248980" name="Picture 7" descr="http://www.maizetrust.co.za/images/masthead.jpg">
          <a:extLst>
            <a:ext uri="{FF2B5EF4-FFF2-40B4-BE49-F238E27FC236}">
              <a16:creationId xmlns:a16="http://schemas.microsoft.com/office/drawing/2014/main" id="{57389C68-FC6C-956D-3E6A-5657AEEB3C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781812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281940</xdr:colOff>
      <xdr:row>84</xdr:row>
      <xdr:rowOff>99060</xdr:rowOff>
    </xdr:from>
    <xdr:to>
      <xdr:col>8</xdr:col>
      <xdr:colOff>662940</xdr:colOff>
      <xdr:row>88</xdr:row>
      <xdr:rowOff>22859</xdr:rowOff>
    </xdr:to>
    <xdr:pic>
      <xdr:nvPicPr>
        <xdr:cNvPr id="253013" name="Picture 5" descr="Graan SA - nuwe logo.jpg">
          <a:extLst>
            <a:ext uri="{FF2B5EF4-FFF2-40B4-BE49-F238E27FC236}">
              <a16:creationId xmlns:a16="http://schemas.microsoft.com/office/drawing/2014/main" id="{8C3941C4-91BD-3C92-7637-C9273B376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9440" y="14912340"/>
          <a:ext cx="3733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xdr:colOff>
      <xdr:row>42</xdr:row>
      <xdr:rowOff>15240</xdr:rowOff>
    </xdr:from>
    <xdr:to>
      <xdr:col>0</xdr:col>
      <xdr:colOff>815340</xdr:colOff>
      <xdr:row>45</xdr:row>
      <xdr:rowOff>129540</xdr:rowOff>
    </xdr:to>
    <xdr:pic>
      <xdr:nvPicPr>
        <xdr:cNvPr id="253015" name="Picture 6" descr="http://www.maizetrust.co.za/images/masthead.jpg">
          <a:extLst>
            <a:ext uri="{FF2B5EF4-FFF2-40B4-BE49-F238E27FC236}">
              <a16:creationId xmlns:a16="http://schemas.microsoft.com/office/drawing/2014/main" id="{A93770AC-D636-18FF-C31D-1D0A5BF706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778002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xdr:colOff>
      <xdr:row>42</xdr:row>
      <xdr:rowOff>15240</xdr:rowOff>
    </xdr:from>
    <xdr:to>
      <xdr:col>0</xdr:col>
      <xdr:colOff>815340</xdr:colOff>
      <xdr:row>45</xdr:row>
      <xdr:rowOff>129540</xdr:rowOff>
    </xdr:to>
    <xdr:pic>
      <xdr:nvPicPr>
        <xdr:cNvPr id="253016" name="Picture 7" descr="http://www.maizetrust.co.za/images/masthead.jpg">
          <a:extLst>
            <a:ext uri="{FF2B5EF4-FFF2-40B4-BE49-F238E27FC236}">
              <a16:creationId xmlns:a16="http://schemas.microsoft.com/office/drawing/2014/main" id="{83EB7046-BB41-B807-5A98-9DEA2647A4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778002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993321</xdr:colOff>
      <xdr:row>0</xdr:row>
      <xdr:rowOff>0</xdr:rowOff>
    </xdr:from>
    <xdr:to>
      <xdr:col>9</xdr:col>
      <xdr:colOff>737</xdr:colOff>
      <xdr:row>2</xdr:row>
      <xdr:rowOff>326435</xdr:rowOff>
    </xdr:to>
    <xdr:pic>
      <xdr:nvPicPr>
        <xdr:cNvPr id="2" name="Picture 1" descr="GrainSA - YouTube">
          <a:extLst>
            <a:ext uri="{FF2B5EF4-FFF2-40B4-BE49-F238E27FC236}">
              <a16:creationId xmlns:a16="http://schemas.microsoft.com/office/drawing/2014/main" id="{69C584DB-FAA0-4E5A-893A-16DE40B9A27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00" y="0"/>
          <a:ext cx="1131762" cy="919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730250</xdr:colOff>
      <xdr:row>0</xdr:row>
      <xdr:rowOff>0</xdr:rowOff>
    </xdr:from>
    <xdr:to>
      <xdr:col>9</xdr:col>
      <xdr:colOff>1251</xdr:colOff>
      <xdr:row>2</xdr:row>
      <xdr:rowOff>322685</xdr:rowOff>
    </xdr:to>
    <xdr:pic>
      <xdr:nvPicPr>
        <xdr:cNvPr id="2" name="Picture 1" descr="GrainSA - YouTube">
          <a:extLst>
            <a:ext uri="{FF2B5EF4-FFF2-40B4-BE49-F238E27FC236}">
              <a16:creationId xmlns:a16="http://schemas.microsoft.com/office/drawing/2014/main" id="{9F15D251-8671-4028-A69B-CF17982DB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4667" y="0"/>
          <a:ext cx="1129857" cy="922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121920</xdr:colOff>
      <xdr:row>89</xdr:row>
      <xdr:rowOff>91440</xdr:rowOff>
    </xdr:from>
    <xdr:to>
      <xdr:col>9</xdr:col>
      <xdr:colOff>685800</xdr:colOff>
      <xdr:row>95</xdr:row>
      <xdr:rowOff>83820</xdr:rowOff>
    </xdr:to>
    <xdr:pic>
      <xdr:nvPicPr>
        <xdr:cNvPr id="24489" name="Picture 3" descr="Graan SA - nuwe logo.jpg">
          <a:extLst>
            <a:ext uri="{FF2B5EF4-FFF2-40B4-BE49-F238E27FC236}">
              <a16:creationId xmlns:a16="http://schemas.microsoft.com/office/drawing/2014/main" id="{D2E0CFA2-9083-BAE7-C901-6AF0CEFEF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2380" y="16238220"/>
          <a:ext cx="56388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53340</xdr:colOff>
      <xdr:row>0</xdr:row>
      <xdr:rowOff>0</xdr:rowOff>
    </xdr:from>
    <xdr:to>
      <xdr:col>8</xdr:col>
      <xdr:colOff>541020</xdr:colOff>
      <xdr:row>2</xdr:row>
      <xdr:rowOff>121920</xdr:rowOff>
    </xdr:to>
    <xdr:pic>
      <xdr:nvPicPr>
        <xdr:cNvPr id="24490" name="Picture 4" descr="Graan SA - nuwe logo.jpg">
          <a:extLst>
            <a:ext uri="{FF2B5EF4-FFF2-40B4-BE49-F238E27FC236}">
              <a16:creationId xmlns:a16="http://schemas.microsoft.com/office/drawing/2014/main" id="{6F437B8C-FF6A-2D68-2609-DF33E278BC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70820" y="0"/>
          <a:ext cx="4876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739588</xdr:colOff>
      <xdr:row>0</xdr:row>
      <xdr:rowOff>11206</xdr:rowOff>
    </xdr:from>
    <xdr:to>
      <xdr:col>9</xdr:col>
      <xdr:colOff>14984</xdr:colOff>
      <xdr:row>2</xdr:row>
      <xdr:rowOff>340266</xdr:rowOff>
    </xdr:to>
    <xdr:pic>
      <xdr:nvPicPr>
        <xdr:cNvPr id="2" name="Picture 1" descr="GrainSA - YouTube">
          <a:extLst>
            <a:ext uri="{FF2B5EF4-FFF2-40B4-BE49-F238E27FC236}">
              <a16:creationId xmlns:a16="http://schemas.microsoft.com/office/drawing/2014/main" id="{14CFFCC2-43DC-4FE8-A14C-F820FB37B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5912" y="11206"/>
          <a:ext cx="1135572" cy="922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809625</xdr:colOff>
      <xdr:row>0</xdr:row>
      <xdr:rowOff>0</xdr:rowOff>
    </xdr:from>
    <xdr:to>
      <xdr:col>8</xdr:col>
      <xdr:colOff>966980</xdr:colOff>
      <xdr:row>2</xdr:row>
      <xdr:rowOff>291941</xdr:rowOff>
    </xdr:to>
    <xdr:pic>
      <xdr:nvPicPr>
        <xdr:cNvPr id="2" name="Picture 1" descr="GrainSA - YouTube">
          <a:extLst>
            <a:ext uri="{FF2B5EF4-FFF2-40B4-BE49-F238E27FC236}">
              <a16:creationId xmlns:a16="http://schemas.microsoft.com/office/drawing/2014/main" id="{9BC8BA8E-1E3F-43A2-BA3F-B5ED93FF33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2219" y="0"/>
          <a:ext cx="1133667" cy="922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15240</xdr:colOff>
      <xdr:row>43</xdr:row>
      <xdr:rowOff>15240</xdr:rowOff>
    </xdr:from>
    <xdr:to>
      <xdr:col>0</xdr:col>
      <xdr:colOff>815340</xdr:colOff>
      <xdr:row>46</xdr:row>
      <xdr:rowOff>129540</xdr:rowOff>
    </xdr:to>
    <xdr:pic>
      <xdr:nvPicPr>
        <xdr:cNvPr id="249970" name="Picture 6" descr="http://www.maizetrust.co.za/images/masthead.jpg">
          <a:extLst>
            <a:ext uri="{FF2B5EF4-FFF2-40B4-BE49-F238E27FC236}">
              <a16:creationId xmlns:a16="http://schemas.microsoft.com/office/drawing/2014/main" id="{879BBE00-5B5C-8E0E-7B69-70F915D37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760476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xdr:colOff>
      <xdr:row>43</xdr:row>
      <xdr:rowOff>15240</xdr:rowOff>
    </xdr:from>
    <xdr:to>
      <xdr:col>0</xdr:col>
      <xdr:colOff>815340</xdr:colOff>
      <xdr:row>46</xdr:row>
      <xdr:rowOff>129540</xdr:rowOff>
    </xdr:to>
    <xdr:pic>
      <xdr:nvPicPr>
        <xdr:cNvPr id="249971" name="Picture 7" descr="http://www.maizetrust.co.za/images/masthead.jpg">
          <a:extLst>
            <a:ext uri="{FF2B5EF4-FFF2-40B4-BE49-F238E27FC236}">
              <a16:creationId xmlns:a16="http://schemas.microsoft.com/office/drawing/2014/main" id="{6B70E2F6-0BFA-CAE6-13B8-6873D985D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7604760"/>
          <a:ext cx="8001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829235</xdr:colOff>
      <xdr:row>0</xdr:row>
      <xdr:rowOff>0</xdr:rowOff>
    </xdr:from>
    <xdr:to>
      <xdr:col>8</xdr:col>
      <xdr:colOff>971069</xdr:colOff>
      <xdr:row>3</xdr:row>
      <xdr:rowOff>15296</xdr:rowOff>
    </xdr:to>
    <xdr:pic>
      <xdr:nvPicPr>
        <xdr:cNvPr id="2" name="Picture 1" descr="GrainSA - YouTube">
          <a:extLst>
            <a:ext uri="{FF2B5EF4-FFF2-40B4-BE49-F238E27FC236}">
              <a16:creationId xmlns:a16="http://schemas.microsoft.com/office/drawing/2014/main" id="{B486F033-A8D2-45EB-8885-F9CD5991EF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82735" y="0"/>
          <a:ext cx="1131762" cy="919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aadcprd01\gsadata\Bedryfsbediening\Produksie\Produksie%20Begroting\Somer%20gewas%20streke\Somer%20begrotings\2017-18\GSA-17-18%20Noordwes%20begroting%20North%20West%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Bedryfsbediening\Produksie\Produksie%20Begroting\Somer%20gewas%20streke\Somer%20begrotings\2017-18\GSA-17-18%20Noordwes%20begroting%20North%20West%20budge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Users\petru\AppData\Local\Microsoft\Windows\Temporary%20Internet%20Files\Content.Outlook\OCSLA1IY\GSA-18-19%20Noordwes%20model.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GSA-16-17%20Noordwes%20Vrystaat%20begroting%20-%20North%20west%20Free%20state%20budget.xls?87C8F9CD" TargetMode="External"/><Relationship Id="rId1" Type="http://schemas.openxmlformats.org/officeDocument/2006/relationships/externalLinkPath" Target="file:///\\87C8F9CD\GSA-16-17%20Noordwes%20Vrystaat%20begroting%20-%20North%20west%20Free%20state%20budge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grainsa2019.sharepoint.com/sites/Bedryfsbediening/Shared%20Documents/Produksie/Produksie%20Begroting/Somer%20gewas%20streke/Somer%20modelle/2023-24/GSA-23-24%20Oostelike%20Hoeveld%20model.XLSX" TargetMode="External"/><Relationship Id="rId1" Type="http://schemas.openxmlformats.org/officeDocument/2006/relationships/externalLinkPath" Target="/sites/Bedryfsbediening/Shared%20Documents/Produksie/Produksie%20Begroting/Somer%20gewas%20streke/Somer%20modelle/2023-24/GSA-23-24%20Oostelike%20Hoeveld%20mode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edryfsbediening/Produksie/Produksie%20Begroting/Somer%20gewas%20streke/Somer%20modelle/2018-19/GSA-18-19%20Oostelike%20Hoeveld%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yse + Sensatiwiteitsanalise"/>
      <sheetName val="W-Mielie "/>
      <sheetName val="W-BT Mielies"/>
      <sheetName val="W-Roundup R mielies "/>
      <sheetName val="Stapelgeen Mielie"/>
      <sheetName val="Sonneblom"/>
      <sheetName val="Sojabone"/>
      <sheetName val="Graansorghum"/>
      <sheetName val="Grondbone"/>
      <sheetName val="Bes-mielies"/>
    </sheetNames>
    <sheetDataSet>
      <sheetData sheetId="0"/>
      <sheetData sheetId="1"/>
      <sheetData sheetId="2">
        <row r="9">
          <cell r="K9">
            <v>2.5</v>
          </cell>
        </row>
        <row r="10">
          <cell r="K10">
            <v>3</v>
          </cell>
        </row>
        <row r="11">
          <cell r="K11">
            <v>3.5</v>
          </cell>
        </row>
        <row r="12">
          <cell r="K12">
            <v>4</v>
          </cell>
        </row>
        <row r="13">
          <cell r="K13">
            <v>4.5</v>
          </cell>
        </row>
        <row r="14">
          <cell r="K14">
            <v>5</v>
          </cell>
        </row>
      </sheetData>
      <sheetData sheetId="3"/>
      <sheetData sheetId="4"/>
      <sheetData sheetId="5">
        <row r="9">
          <cell r="K9">
            <v>1</v>
          </cell>
        </row>
        <row r="10">
          <cell r="K10">
            <v>1.25</v>
          </cell>
        </row>
        <row r="11">
          <cell r="K11">
            <v>1.5</v>
          </cell>
        </row>
        <row r="12">
          <cell r="K12">
            <v>1.75</v>
          </cell>
        </row>
        <row r="13">
          <cell r="K13">
            <v>2</v>
          </cell>
        </row>
      </sheetData>
      <sheetData sheetId="6">
        <row r="9">
          <cell r="K9">
            <v>1</v>
          </cell>
        </row>
        <row r="10">
          <cell r="K10">
            <v>1.25</v>
          </cell>
        </row>
        <row r="11">
          <cell r="K11">
            <v>1.5</v>
          </cell>
        </row>
        <row r="12">
          <cell r="K12">
            <v>1.75</v>
          </cell>
        </row>
        <row r="13">
          <cell r="K13">
            <v>2</v>
          </cell>
        </row>
      </sheetData>
      <sheetData sheetId="7">
        <row r="9">
          <cell r="K9">
            <v>2</v>
          </cell>
        </row>
        <row r="10">
          <cell r="K10">
            <v>2.5</v>
          </cell>
        </row>
        <row r="11">
          <cell r="K11">
            <v>3</v>
          </cell>
        </row>
        <row r="12">
          <cell r="K12">
            <v>3.5</v>
          </cell>
        </row>
        <row r="13">
          <cell r="K13">
            <v>4</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yse + Sensatiwiteitsanalise"/>
      <sheetName val="W-Mielie "/>
      <sheetName val="W-BT Mielies"/>
      <sheetName val="W-Roundup R mielies "/>
      <sheetName val="Stapelgeen Mielie"/>
      <sheetName val="Sonneblom"/>
      <sheetName val="Sojabone"/>
      <sheetName val="Graansorghum"/>
      <sheetName val="Grondbone"/>
      <sheetName val="Bes-mielies"/>
    </sheetNames>
    <sheetDataSet>
      <sheetData sheetId="0"/>
      <sheetData sheetId="1"/>
      <sheetData sheetId="2">
        <row r="9">
          <cell r="K9">
            <v>2.5</v>
          </cell>
        </row>
        <row r="10">
          <cell r="K10">
            <v>3</v>
          </cell>
        </row>
        <row r="11">
          <cell r="K11">
            <v>3.5</v>
          </cell>
        </row>
        <row r="12">
          <cell r="K12">
            <v>4</v>
          </cell>
        </row>
        <row r="13">
          <cell r="K13">
            <v>4.5</v>
          </cell>
        </row>
        <row r="14">
          <cell r="K14">
            <v>5</v>
          </cell>
        </row>
      </sheetData>
      <sheetData sheetId="3"/>
      <sheetData sheetId="4"/>
      <sheetData sheetId="5">
        <row r="9">
          <cell r="K9">
            <v>1</v>
          </cell>
        </row>
        <row r="10">
          <cell r="K10">
            <v>1.25</v>
          </cell>
        </row>
        <row r="11">
          <cell r="K11">
            <v>1.5</v>
          </cell>
        </row>
        <row r="12">
          <cell r="K12">
            <v>1.75</v>
          </cell>
        </row>
        <row r="13">
          <cell r="K13">
            <v>2</v>
          </cell>
        </row>
      </sheetData>
      <sheetData sheetId="6">
        <row r="9">
          <cell r="K9">
            <v>1</v>
          </cell>
        </row>
      </sheetData>
      <sheetData sheetId="7">
        <row r="9">
          <cell r="K9">
            <v>2</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edprices"/>
      <sheetName val="Price sheet "/>
      <sheetName val="Crops planted"/>
      <sheetName val="Inventarus "/>
      <sheetName val="Laste"/>
      <sheetName val="vaste koste"/>
      <sheetName val="W-Mielie "/>
      <sheetName val="W-BT Mielies"/>
      <sheetName val="Sonneblom"/>
      <sheetName val="Sojabone"/>
      <sheetName val="Graansorghum"/>
      <sheetName val="Grondbone"/>
      <sheetName val="Oorlê"/>
      <sheetName val="Bes-mielies"/>
      <sheetName val="Crop Comparison"/>
      <sheetName val="Rent calculations"/>
      <sheetName val="Pryse + Sensatiwiteitsanalise"/>
      <sheetName val="Strategie"/>
      <sheetName val="sheet"/>
      <sheetName val="sheet 2"/>
    </sheetNames>
    <sheetDataSet>
      <sheetData sheetId="0" refreshError="1">
        <row r="3">
          <cell r="A3" t="str">
            <v>Monsanto Average Conven</v>
          </cell>
          <cell r="B3">
            <v>3014</v>
          </cell>
        </row>
        <row r="4">
          <cell r="A4" t="str">
            <v>Monsanto Average BT</v>
          </cell>
          <cell r="B4">
            <v>4202</v>
          </cell>
        </row>
        <row r="5">
          <cell r="A5" t="str">
            <v>Monsanto Average RR</v>
          </cell>
          <cell r="B5">
            <v>3966</v>
          </cell>
        </row>
        <row r="6">
          <cell r="A6" t="str">
            <v>Monsanto Average BR</v>
          </cell>
          <cell r="B6">
            <v>4455</v>
          </cell>
        </row>
        <row r="7">
          <cell r="A7" t="str">
            <v>DKC 73-72</v>
          </cell>
          <cell r="B7">
            <v>3535</v>
          </cell>
        </row>
        <row r="8">
          <cell r="A8" t="str">
            <v>DKC 80-10</v>
          </cell>
          <cell r="B8">
            <v>2002</v>
          </cell>
        </row>
        <row r="9">
          <cell r="A9" t="str">
            <v>DKC 71-42</v>
          </cell>
          <cell r="B9">
            <v>3612</v>
          </cell>
        </row>
        <row r="10">
          <cell r="A10" t="str">
            <v>DKC 61-90*</v>
          </cell>
          <cell r="B10">
            <v>2773</v>
          </cell>
        </row>
        <row r="11">
          <cell r="A11" t="str">
            <v>DKC 74-20</v>
          </cell>
          <cell r="B11">
            <v>3296</v>
          </cell>
        </row>
        <row r="12">
          <cell r="A12" t="str">
            <v>DKC 73-70B Gen</v>
          </cell>
          <cell r="B12">
            <v>4259</v>
          </cell>
        </row>
        <row r="13">
          <cell r="A13" t="str">
            <v>DKC 61-94 BR</v>
          </cell>
          <cell r="B13">
            <v>0</v>
          </cell>
        </row>
        <row r="14">
          <cell r="A14" t="str">
            <v>DKC 62-80 BR Gen</v>
          </cell>
          <cell r="B14">
            <v>0</v>
          </cell>
        </row>
        <row r="15">
          <cell r="A15" t="str">
            <v>DKC 62-84 R</v>
          </cell>
          <cell r="B15">
            <v>3312</v>
          </cell>
        </row>
        <row r="16">
          <cell r="A16" t="str">
            <v>DKC 64-78 BR Gen</v>
          </cell>
          <cell r="B16">
            <v>0</v>
          </cell>
        </row>
        <row r="17">
          <cell r="A17" t="str">
            <v>DKC 66-36 R</v>
          </cell>
          <cell r="B17">
            <v>0</v>
          </cell>
        </row>
        <row r="18">
          <cell r="A18" t="str">
            <v>DKC 73-74BR Gen</v>
          </cell>
          <cell r="B18">
            <v>4711</v>
          </cell>
        </row>
        <row r="19">
          <cell r="A19" t="str">
            <v>DKC 73-76 R</v>
          </cell>
          <cell r="B19">
            <v>4019</v>
          </cell>
        </row>
        <row r="20">
          <cell r="A20" t="str">
            <v>DKC 80-12B Gen</v>
          </cell>
          <cell r="B20">
            <v>3018</v>
          </cell>
        </row>
        <row r="21">
          <cell r="A21" t="str">
            <v>DKC 80-30 R</v>
          </cell>
          <cell r="B21">
            <v>3921</v>
          </cell>
        </row>
        <row r="22">
          <cell r="A22" t="str">
            <v>DKC 80-40BR Gen</v>
          </cell>
          <cell r="B22">
            <v>4672</v>
          </cell>
        </row>
        <row r="23">
          <cell r="A23" t="str">
            <v>DKC 68-50</v>
          </cell>
          <cell r="B23">
            <v>3589</v>
          </cell>
        </row>
        <row r="24">
          <cell r="A24" t="str">
            <v>DKC 68-56R</v>
          </cell>
          <cell r="B24">
            <v>4112</v>
          </cell>
        </row>
        <row r="25">
          <cell r="A25" t="str">
            <v>DKC 74-24B</v>
          </cell>
          <cell r="B25">
            <v>3038</v>
          </cell>
        </row>
        <row r="26">
          <cell r="A26" t="str">
            <v>DKC 74-26R</v>
          </cell>
          <cell r="B26">
            <v>4095</v>
          </cell>
        </row>
        <row r="27">
          <cell r="A27" t="str">
            <v>DKC 71-44B</v>
          </cell>
          <cell r="B27">
            <v>4486</v>
          </cell>
        </row>
        <row r="28">
          <cell r="A28" t="str">
            <v>DKC 68-54B</v>
          </cell>
          <cell r="B28">
            <v>4529</v>
          </cell>
        </row>
        <row r="29">
          <cell r="A29" t="str">
            <v>DKC 68-58BR</v>
          </cell>
          <cell r="B29">
            <v>4862</v>
          </cell>
        </row>
        <row r="30">
          <cell r="A30" t="str">
            <v>DKC 74-74BR</v>
          </cell>
          <cell r="B30">
            <v>4863</v>
          </cell>
        </row>
        <row r="31">
          <cell r="A31" t="str">
            <v>DKC 62-80BR Gen*</v>
          </cell>
          <cell r="B31">
            <v>3896</v>
          </cell>
        </row>
        <row r="32">
          <cell r="A32" t="str">
            <v>DKC 64-54BR*</v>
          </cell>
          <cell r="B32">
            <v>3999</v>
          </cell>
        </row>
        <row r="33">
          <cell r="A33" t="str">
            <v>DKC 64-78BR Gen*</v>
          </cell>
          <cell r="B33">
            <v>2796</v>
          </cell>
        </row>
        <row r="34">
          <cell r="A34" t="str">
            <v>DKC 65-52BR*</v>
          </cell>
          <cell r="B34">
            <v>4010</v>
          </cell>
        </row>
        <row r="35">
          <cell r="A35" t="str">
            <v xml:space="preserve">DKC 65-60 BR* </v>
          </cell>
          <cell r="B35">
            <v>3895</v>
          </cell>
        </row>
        <row r="36">
          <cell r="A36" t="str">
            <v>CRN 3505</v>
          </cell>
          <cell r="B36">
            <v>3333</v>
          </cell>
        </row>
        <row r="37">
          <cell r="A37" t="str">
            <v>DKC 78-27</v>
          </cell>
          <cell r="B37">
            <v>3746</v>
          </cell>
        </row>
        <row r="38">
          <cell r="A38" t="str">
            <v>DKC 63-53*</v>
          </cell>
          <cell r="B38">
            <v>1621</v>
          </cell>
        </row>
        <row r="39">
          <cell r="A39" t="str">
            <v>DKC 77-77 BR</v>
          </cell>
          <cell r="B39">
            <v>5069</v>
          </cell>
        </row>
        <row r="40">
          <cell r="A40" t="str">
            <v>DKC 77-85B Gen</v>
          </cell>
          <cell r="B40">
            <v>4609</v>
          </cell>
        </row>
        <row r="41">
          <cell r="A41" t="str">
            <v>DKC 78-17 B</v>
          </cell>
          <cell r="B41">
            <v>4532</v>
          </cell>
        </row>
        <row r="42">
          <cell r="A42" t="str">
            <v>DKC 78-35 R</v>
          </cell>
          <cell r="B42">
            <v>4052</v>
          </cell>
        </row>
        <row r="43">
          <cell r="A43" t="str">
            <v>DKC 78-45BR Gen</v>
          </cell>
          <cell r="B43">
            <v>4858</v>
          </cell>
        </row>
        <row r="44">
          <cell r="A44" t="str">
            <v>DKC 78-79 BR</v>
          </cell>
          <cell r="B44">
            <v>4845</v>
          </cell>
        </row>
        <row r="45">
          <cell r="A45" t="str">
            <v>DKC 78-83 R</v>
          </cell>
          <cell r="B45">
            <v>4253</v>
          </cell>
        </row>
        <row r="46">
          <cell r="A46" t="str">
            <v>DKC 78-87 B</v>
          </cell>
          <cell r="B46">
            <v>4624</v>
          </cell>
        </row>
        <row r="47">
          <cell r="A47" t="str">
            <v>DKC 76-61B</v>
          </cell>
          <cell r="B47">
            <v>4221</v>
          </cell>
        </row>
        <row r="48">
          <cell r="A48" t="str">
            <v>DKC 75-65 BR</v>
          </cell>
          <cell r="B48">
            <v>5265</v>
          </cell>
        </row>
        <row r="49">
          <cell r="A49" t="str">
            <v>DKC 76-67 BR</v>
          </cell>
          <cell r="B49">
            <v>4635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yse + Sensatiwiteitsanali"/>
      <sheetName val="W-RR mielies Laer opbrengs "/>
      <sheetName val="W-RR mielies Hoer opbrengs  "/>
      <sheetName val="W-BT Mielies "/>
      <sheetName val="Stapelgeen Mielie"/>
      <sheetName val="Verminbe Stapelgeen mielie -5jr"/>
      <sheetName val="Sonneblom"/>
      <sheetName val="Grondbone"/>
      <sheetName val="Sojabone"/>
      <sheetName val="Graansorghum"/>
      <sheetName val="Bes-mielies"/>
    </sheetNames>
    <sheetDataSet>
      <sheetData sheetId="0"/>
      <sheetData sheetId="1">
        <row r="9">
          <cell r="M9">
            <v>3</v>
          </cell>
        </row>
        <row r="10">
          <cell r="M10">
            <v>3.5</v>
          </cell>
        </row>
        <row r="11">
          <cell r="M11">
            <v>4</v>
          </cell>
        </row>
        <row r="12">
          <cell r="M12">
            <v>4.5</v>
          </cell>
        </row>
        <row r="13">
          <cell r="M13">
            <v>5</v>
          </cell>
        </row>
        <row r="14">
          <cell r="M14">
            <v>5.5</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edprices"/>
      <sheetName val="Price sheet "/>
      <sheetName val="Crops planted"/>
      <sheetName val="Inventarus "/>
      <sheetName val="Laste"/>
      <sheetName val="vaste koste"/>
      <sheetName val="W-Mielie konvensioneel "/>
      <sheetName val="W-Roundup R mielies "/>
      <sheetName val="W-BT Mielies vermin till"/>
      <sheetName val="Sojabone"/>
      <sheetName val="Sojabone verminderde bewerking"/>
      <sheetName val="Graansorghum"/>
      <sheetName val="Bes-mielies"/>
      <sheetName val="Crop Comparison"/>
      <sheetName val="Grafieke"/>
      <sheetName val="Crop Comparison Month vs Month)"/>
      <sheetName val="Bruto Marge"/>
      <sheetName val="Crop Comparison Jaar op jaar"/>
      <sheetName val="Crop Comparison Jaar op jaa (2)"/>
      <sheetName val="Rent 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24">
          <cell r="D224">
            <v>2217.0700000000002</v>
          </cell>
        </row>
      </sheetData>
      <sheetData sheetId="9" refreshError="1"/>
      <sheetData sheetId="10" refreshError="1"/>
      <sheetData sheetId="11" refreshError="1"/>
      <sheetData sheetId="12" refreshError="1"/>
      <sheetData sheetId="13" refreshError="1">
        <row r="30">
          <cell r="D30">
            <v>2217.0700000000002</v>
          </cell>
          <cell r="E30">
            <v>2149.16</v>
          </cell>
          <cell r="F30">
            <v>1523.8600000000001</v>
          </cell>
          <cell r="G30">
            <v>2526.7399999999998</v>
          </cell>
          <cell r="H30">
            <v>3994.8299999999995</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edprices"/>
      <sheetName val="Price sheet "/>
      <sheetName val="Crops planted"/>
      <sheetName val="Inventarus "/>
      <sheetName val="Laste"/>
      <sheetName val="vaste koste"/>
      <sheetName val="W-Mielie konvensioneel "/>
      <sheetName val="W-Roundup R mielies "/>
      <sheetName val="W-BT Mielies vermin till"/>
      <sheetName val="Sojabone"/>
      <sheetName val="Sojabone verminderde bewerking"/>
      <sheetName val="Graansorghum"/>
      <sheetName val="Bes-mielies"/>
      <sheetName val="Crop Comparison"/>
      <sheetName val="Rent 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C2" t="str">
            <v>Maize (RR)</v>
          </cell>
          <cell r="D2" t="str">
            <v>Maize (min tillage)</v>
          </cell>
          <cell r="E2" t="str">
            <v>Soy bean (conventional)</v>
          </cell>
          <cell r="F2" t="str">
            <v>Soy bean (min tillage)</v>
          </cell>
          <cell r="G2" t="str">
            <v>Grain Sorghum</v>
          </cell>
          <cell r="H2" t="str">
            <v>Irr-Maize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1"/>
  <sheetViews>
    <sheetView tabSelected="1" zoomScale="85" zoomScaleNormal="85" workbookViewId="0">
      <selection activeCell="K1" sqref="K1"/>
    </sheetView>
  </sheetViews>
  <sheetFormatPr defaultColWidth="9.109375" defaultRowHeight="13.2" x14ac:dyDescent="0.25"/>
  <cols>
    <col min="1" max="1" width="52.44140625" style="134" customWidth="1"/>
    <col min="2" max="2" width="19.109375" style="134" bestFit="1" customWidth="1"/>
    <col min="3" max="3" width="5.33203125" style="134" customWidth="1"/>
    <col min="4" max="4" width="23.6640625" style="35" customWidth="1"/>
    <col min="5" max="12" width="10.6640625" style="35" customWidth="1"/>
    <col min="13" max="14" width="9.109375" style="35"/>
    <col min="15" max="15" width="6" style="35" customWidth="1"/>
    <col min="16" max="16" width="33.21875" style="35" customWidth="1"/>
    <col min="17" max="17" width="13" style="35" customWidth="1"/>
    <col min="18" max="21" width="12.44140625" style="35" bestFit="1" customWidth="1"/>
    <col min="22" max="22" width="7.44140625" style="35" bestFit="1" customWidth="1"/>
    <col min="23" max="26" width="12.44140625" style="35" bestFit="1" customWidth="1"/>
    <col min="27" max="30" width="6" style="35" customWidth="1"/>
    <col min="31" max="31" width="22.6640625" style="35" customWidth="1"/>
    <col min="32" max="32" width="11.6640625" style="35" customWidth="1"/>
    <col min="33" max="41" width="9.44140625" style="35" customWidth="1"/>
    <col min="42" max="16384" width="9.109375" style="35"/>
  </cols>
  <sheetData>
    <row r="1" spans="1:41" s="135" customFormat="1" ht="28.5" customHeight="1" x14ac:dyDescent="0.4">
      <c r="A1" s="154" t="s">
        <v>52</v>
      </c>
      <c r="B1" s="134"/>
      <c r="C1" s="134"/>
      <c r="D1" s="163" t="s">
        <v>137</v>
      </c>
      <c r="E1" s="134"/>
      <c r="F1" s="134"/>
      <c r="G1" s="134"/>
      <c r="H1" s="134"/>
      <c r="I1" s="134"/>
      <c r="J1" s="134"/>
      <c r="K1" s="134"/>
      <c r="L1" s="134"/>
      <c r="M1" s="134"/>
      <c r="N1" s="134"/>
    </row>
    <row r="2" spans="1:41" s="135" customFormat="1" ht="13.5" customHeight="1" x14ac:dyDescent="0.3">
      <c r="A2" s="155" t="s">
        <v>51</v>
      </c>
      <c r="B2" s="156">
        <v>45868</v>
      </c>
      <c r="C2" s="134"/>
      <c r="D2" s="134"/>
      <c r="E2" s="134"/>
      <c r="F2" s="136"/>
      <c r="G2" s="137"/>
      <c r="H2" s="134"/>
      <c r="I2" s="134"/>
      <c r="J2" s="134"/>
      <c r="K2" s="134"/>
      <c r="L2" s="134"/>
      <c r="M2" s="134"/>
      <c r="N2" s="134"/>
    </row>
    <row r="3" spans="1:41" s="135" customFormat="1" ht="32.25" customHeight="1" x14ac:dyDescent="0.3">
      <c r="A3" s="166" t="s">
        <v>1</v>
      </c>
      <c r="B3" s="167" t="s">
        <v>2</v>
      </c>
      <c r="C3" s="134"/>
      <c r="D3" s="168" t="s">
        <v>53</v>
      </c>
      <c r="E3" s="134"/>
      <c r="F3" s="138"/>
      <c r="G3" s="139"/>
      <c r="H3" s="134"/>
      <c r="I3" s="134"/>
      <c r="J3" s="134"/>
      <c r="K3" s="134"/>
      <c r="L3" s="134"/>
    </row>
    <row r="4" spans="1:41" s="135" customFormat="1" ht="13.5" customHeight="1" x14ac:dyDescent="0.3">
      <c r="A4" s="227" t="s">
        <v>135</v>
      </c>
      <c r="B4" s="157">
        <v>4200</v>
      </c>
      <c r="C4" s="164"/>
      <c r="D4" s="165">
        <v>442</v>
      </c>
      <c r="E4" s="134"/>
      <c r="F4" s="140"/>
      <c r="G4" s="141"/>
      <c r="H4" s="134"/>
      <c r="I4" s="134"/>
      <c r="J4" s="134"/>
      <c r="K4" s="134"/>
      <c r="L4" s="134"/>
    </row>
    <row r="5" spans="1:41" s="135" customFormat="1" ht="13.5" customHeight="1" x14ac:dyDescent="0.3">
      <c r="A5" s="227" t="s">
        <v>136</v>
      </c>
      <c r="B5" s="157">
        <v>7400</v>
      </c>
      <c r="C5" s="164"/>
      <c r="D5" s="165">
        <v>212</v>
      </c>
      <c r="E5" s="134"/>
      <c r="F5" s="140"/>
      <c r="G5" s="141"/>
      <c r="H5" s="134"/>
      <c r="I5" s="134"/>
      <c r="J5" s="134"/>
      <c r="K5" s="134"/>
      <c r="L5" s="134"/>
      <c r="M5" s="134"/>
      <c r="N5" s="134"/>
    </row>
    <row r="6" spans="1:41" s="135" customFormat="1" ht="13.5" customHeight="1" x14ac:dyDescent="0.3">
      <c r="A6" s="173" t="s">
        <v>59</v>
      </c>
      <c r="B6" s="157">
        <v>4993</v>
      </c>
      <c r="C6" s="164"/>
      <c r="D6" s="165">
        <v>63</v>
      </c>
      <c r="E6" s="134"/>
      <c r="F6" s="140"/>
      <c r="G6" s="141"/>
      <c r="H6" s="134"/>
      <c r="I6" s="134"/>
      <c r="J6" s="134"/>
      <c r="K6" s="134"/>
      <c r="L6" s="134"/>
      <c r="M6" s="134"/>
      <c r="N6" s="134"/>
    </row>
    <row r="7" spans="1:41" s="135" customFormat="1" ht="13.5" customHeight="1" x14ac:dyDescent="0.3">
      <c r="A7" s="142"/>
      <c r="B7" s="143"/>
      <c r="C7" s="134"/>
      <c r="D7" s="144"/>
      <c r="E7" s="134"/>
      <c r="F7" s="134"/>
      <c r="G7" s="134"/>
      <c r="H7" s="134"/>
      <c r="I7" s="134"/>
      <c r="J7" s="134"/>
      <c r="K7" s="134"/>
      <c r="L7" s="134"/>
      <c r="M7" s="134"/>
      <c r="N7" s="134"/>
    </row>
    <row r="8" spans="1:41" s="135" customFormat="1" ht="13.5" customHeight="1" x14ac:dyDescent="0.4">
      <c r="A8" s="154"/>
      <c r="B8" s="134"/>
      <c r="C8" s="134"/>
      <c r="D8"/>
      <c r="E8" s="134"/>
      <c r="F8" s="134"/>
      <c r="G8" s="134"/>
      <c r="H8" s="134"/>
      <c r="I8" s="134"/>
      <c r="J8" s="134"/>
      <c r="K8" s="134"/>
      <c r="L8" s="134"/>
      <c r="M8" s="134"/>
      <c r="N8" s="134"/>
    </row>
    <row r="9" spans="1:41" s="135" customFormat="1" ht="13.5" customHeight="1" thickBot="1" x14ac:dyDescent="0.35">
      <c r="A9" s="247"/>
      <c r="B9" s="247"/>
      <c r="C9" s="134"/>
      <c r="D9" s="134"/>
      <c r="E9" s="134"/>
      <c r="F9" s="134"/>
      <c r="G9" s="134"/>
      <c r="H9" s="134"/>
      <c r="I9" s="134"/>
      <c r="J9" s="134"/>
      <c r="K9" s="134"/>
      <c r="L9" s="134"/>
      <c r="M9" s="134"/>
      <c r="N9" s="134"/>
    </row>
    <row r="10" spans="1:41" ht="20.25" customHeight="1" thickBot="1" x14ac:dyDescent="0.3">
      <c r="A10" s="169" t="s">
        <v>55</v>
      </c>
      <c r="B10" s="170"/>
      <c r="C10" s="145"/>
      <c r="D10" s="242" t="s">
        <v>72</v>
      </c>
      <c r="E10" s="243"/>
      <c r="F10" s="243"/>
      <c r="G10" s="243"/>
      <c r="H10" s="243"/>
      <c r="I10" s="243"/>
      <c r="J10" s="243"/>
      <c r="K10" s="243"/>
      <c r="L10" s="243"/>
      <c r="M10" s="243"/>
      <c r="N10" s="244"/>
      <c r="P10" s="242" t="s">
        <v>72</v>
      </c>
      <c r="Q10" s="243"/>
      <c r="R10" s="243"/>
      <c r="S10" s="243"/>
      <c r="T10" s="243"/>
      <c r="U10" s="243"/>
      <c r="V10" s="243"/>
      <c r="W10" s="243"/>
      <c r="X10" s="243"/>
      <c r="Y10" s="243"/>
      <c r="Z10" s="244"/>
      <c r="AE10" s="242" t="s">
        <v>73</v>
      </c>
      <c r="AF10" s="243"/>
      <c r="AG10" s="243"/>
      <c r="AH10" s="243"/>
      <c r="AI10" s="243"/>
      <c r="AJ10" s="243"/>
      <c r="AK10" s="243"/>
      <c r="AL10" s="243"/>
      <c r="AM10" s="243"/>
      <c r="AN10" s="243"/>
      <c r="AO10" s="244"/>
    </row>
    <row r="11" spans="1:41" ht="13.5" customHeight="1" thickBot="1" x14ac:dyDescent="0.3">
      <c r="A11" s="158" t="s">
        <v>3</v>
      </c>
      <c r="B11" s="171">
        <f>'Crop Comparison'!B28</f>
        <v>20683.102864107412</v>
      </c>
      <c r="C11" s="146"/>
      <c r="D11" s="37"/>
      <c r="E11" s="38"/>
      <c r="F11" s="39"/>
      <c r="G11" s="40"/>
      <c r="H11" s="39"/>
      <c r="I11" s="39"/>
      <c r="J11" s="39" t="s">
        <v>4</v>
      </c>
      <c r="K11" s="41"/>
      <c r="L11" s="39"/>
      <c r="M11" s="41"/>
      <c r="N11" s="39"/>
      <c r="P11" s="37"/>
      <c r="Q11" s="38"/>
      <c r="R11" s="39"/>
      <c r="S11" s="40"/>
      <c r="T11" s="39"/>
      <c r="U11" s="39"/>
      <c r="V11" s="39" t="s">
        <v>4</v>
      </c>
      <c r="W11" s="41"/>
      <c r="X11" s="39"/>
      <c r="Y11" s="41"/>
      <c r="Z11" s="39"/>
      <c r="AE11" s="37"/>
      <c r="AF11" s="38"/>
      <c r="AG11" s="39"/>
      <c r="AH11" s="40"/>
      <c r="AI11" s="39"/>
      <c r="AJ11" s="39"/>
      <c r="AK11" s="39" t="s">
        <v>4</v>
      </c>
      <c r="AL11" s="41"/>
      <c r="AM11" s="39"/>
      <c r="AN11" s="41"/>
      <c r="AO11" s="39"/>
    </row>
    <row r="12" spans="1:41" ht="13.5" customHeight="1" thickBot="1" x14ac:dyDescent="0.3">
      <c r="A12" s="158" t="s">
        <v>5</v>
      </c>
      <c r="B12" s="171">
        <f>'Crop Comparison'!B30</f>
        <v>1817.7300000000002</v>
      </c>
      <c r="C12" s="146"/>
      <c r="D12" s="242" t="s">
        <v>6</v>
      </c>
      <c r="E12" s="244"/>
      <c r="F12" s="42">
        <f>G12-250</f>
        <v>3200</v>
      </c>
      <c r="G12" s="42">
        <f>H12-250</f>
        <v>3450</v>
      </c>
      <c r="H12" s="42">
        <f>I12-250</f>
        <v>3700</v>
      </c>
      <c r="I12" s="42">
        <f>J12-250</f>
        <v>3950</v>
      </c>
      <c r="J12" s="43">
        <f>B17</f>
        <v>4200</v>
      </c>
      <c r="K12" s="42">
        <f>J12+250</f>
        <v>4450</v>
      </c>
      <c r="L12" s="42">
        <f>K12+250</f>
        <v>4700</v>
      </c>
      <c r="M12" s="42">
        <f>L12+250</f>
        <v>4950</v>
      </c>
      <c r="N12" s="42">
        <f>M12+250</f>
        <v>5200</v>
      </c>
      <c r="P12" s="242" t="s">
        <v>6</v>
      </c>
      <c r="Q12" s="244"/>
      <c r="R12" s="42">
        <f>F12</f>
        <v>3200</v>
      </c>
      <c r="S12" s="42">
        <f t="shared" ref="S12:Z12" si="0">G12</f>
        <v>3450</v>
      </c>
      <c r="T12" s="42">
        <f t="shared" si="0"/>
        <v>3700</v>
      </c>
      <c r="U12" s="42">
        <f t="shared" si="0"/>
        <v>3950</v>
      </c>
      <c r="V12" s="42">
        <f t="shared" si="0"/>
        <v>4200</v>
      </c>
      <c r="W12" s="42">
        <f t="shared" si="0"/>
        <v>4450</v>
      </c>
      <c r="X12" s="42">
        <f t="shared" si="0"/>
        <v>4700</v>
      </c>
      <c r="Y12" s="42">
        <f t="shared" si="0"/>
        <v>4950</v>
      </c>
      <c r="Z12" s="42">
        <f t="shared" si="0"/>
        <v>5200</v>
      </c>
      <c r="AE12" s="242" t="s">
        <v>6</v>
      </c>
      <c r="AF12" s="244"/>
      <c r="AG12" s="42">
        <f>AH12-250</f>
        <v>3200</v>
      </c>
      <c r="AH12" s="42">
        <f>AI12-250</f>
        <v>3450</v>
      </c>
      <c r="AI12" s="42">
        <f>AJ12-250</f>
        <v>3700</v>
      </c>
      <c r="AJ12" s="42">
        <f>AK12-250</f>
        <v>3950</v>
      </c>
      <c r="AK12" s="39">
        <f>J12</f>
        <v>4200</v>
      </c>
      <c r="AL12" s="42">
        <f>AK12+250</f>
        <v>4450</v>
      </c>
      <c r="AM12" s="42">
        <f>AL12+250</f>
        <v>4700</v>
      </c>
      <c r="AN12" s="42">
        <f>AM12+250</f>
        <v>4950</v>
      </c>
      <c r="AO12" s="42">
        <f>AN12+250</f>
        <v>5200</v>
      </c>
    </row>
    <row r="13" spans="1:41" ht="13.5" customHeight="1" thickBot="1" x14ac:dyDescent="0.3">
      <c r="A13" s="159" t="s">
        <v>7</v>
      </c>
      <c r="B13" s="172">
        <f>B12+B11</f>
        <v>22500.832864107411</v>
      </c>
      <c r="C13" s="147"/>
      <c r="D13" s="245" t="s">
        <v>8</v>
      </c>
      <c r="E13" s="246"/>
      <c r="F13" s="44">
        <f t="shared" ref="F13:N13" si="1">F12-$B$18</f>
        <v>2758</v>
      </c>
      <c r="G13" s="44">
        <f t="shared" si="1"/>
        <v>3008</v>
      </c>
      <c r="H13" s="44">
        <f t="shared" si="1"/>
        <v>3258</v>
      </c>
      <c r="I13" s="44">
        <f t="shared" si="1"/>
        <v>3508</v>
      </c>
      <c r="J13" s="45">
        <f>J12-$B$18</f>
        <v>3758</v>
      </c>
      <c r="K13" s="44">
        <f t="shared" si="1"/>
        <v>4008</v>
      </c>
      <c r="L13" s="44">
        <f t="shared" si="1"/>
        <v>4258</v>
      </c>
      <c r="M13" s="44">
        <f t="shared" si="1"/>
        <v>4508</v>
      </c>
      <c r="N13" s="44">
        <f t="shared" si="1"/>
        <v>4758</v>
      </c>
      <c r="P13" s="245" t="s">
        <v>8</v>
      </c>
      <c r="Q13" s="246"/>
      <c r="R13" s="44">
        <f t="shared" ref="R13:U13" si="2">R12-$B$18</f>
        <v>2758</v>
      </c>
      <c r="S13" s="44">
        <f t="shared" si="2"/>
        <v>3008</v>
      </c>
      <c r="T13" s="44">
        <f t="shared" si="2"/>
        <v>3258</v>
      </c>
      <c r="U13" s="44">
        <f t="shared" si="2"/>
        <v>3508</v>
      </c>
      <c r="V13" s="45">
        <f>V12-$B$18</f>
        <v>3758</v>
      </c>
      <c r="W13" s="44">
        <f t="shared" ref="W13:Z13" si="3">W12-$B$18</f>
        <v>4008</v>
      </c>
      <c r="X13" s="44">
        <f t="shared" si="3"/>
        <v>4258</v>
      </c>
      <c r="Y13" s="44">
        <f t="shared" si="3"/>
        <v>4508</v>
      </c>
      <c r="Z13" s="44">
        <f t="shared" si="3"/>
        <v>4758</v>
      </c>
      <c r="AE13" s="245" t="s">
        <v>8</v>
      </c>
      <c r="AF13" s="246"/>
      <c r="AG13" s="44">
        <f t="shared" ref="AG13:AO13" si="4">AG12-$B$18</f>
        <v>2758</v>
      </c>
      <c r="AH13" s="44">
        <f t="shared" si="4"/>
        <v>3008</v>
      </c>
      <c r="AI13" s="44">
        <f t="shared" si="4"/>
        <v>3258</v>
      </c>
      <c r="AJ13" s="44">
        <f t="shared" si="4"/>
        <v>3508</v>
      </c>
      <c r="AK13" s="46">
        <f t="shared" si="4"/>
        <v>3758</v>
      </c>
      <c r="AL13" s="44">
        <f t="shared" si="4"/>
        <v>4008</v>
      </c>
      <c r="AM13" s="44">
        <f t="shared" si="4"/>
        <v>4258</v>
      </c>
      <c r="AN13" s="44">
        <f t="shared" si="4"/>
        <v>4508</v>
      </c>
      <c r="AO13" s="44">
        <f t="shared" si="4"/>
        <v>4758</v>
      </c>
    </row>
    <row r="14" spans="1:41" ht="13.5" customHeight="1" thickBot="1" x14ac:dyDescent="0.3">
      <c r="A14" s="158"/>
      <c r="B14" s="146"/>
      <c r="C14" s="146"/>
      <c r="D14" s="239" t="s">
        <v>9</v>
      </c>
      <c r="E14" s="47">
        <f>E15-0.5</f>
        <v>7</v>
      </c>
      <c r="F14" s="48">
        <f t="shared" ref="F14:N18" si="5">F$13-($B$13/$E14)</f>
        <v>-456.4046948724872</v>
      </c>
      <c r="G14" s="49">
        <f t="shared" si="5"/>
        <v>-206.4046948724872</v>
      </c>
      <c r="H14" s="49">
        <f t="shared" si="5"/>
        <v>43.595305127512802</v>
      </c>
      <c r="I14" s="49">
        <f t="shared" si="5"/>
        <v>293.5953051275128</v>
      </c>
      <c r="J14" s="49">
        <f t="shared" si="5"/>
        <v>543.5953051275128</v>
      </c>
      <c r="K14" s="49">
        <f t="shared" si="5"/>
        <v>793.5953051275128</v>
      </c>
      <c r="L14" s="49">
        <f t="shared" si="5"/>
        <v>1043.5953051275128</v>
      </c>
      <c r="M14" s="50">
        <f t="shared" si="5"/>
        <v>1293.5953051275128</v>
      </c>
      <c r="N14" s="51">
        <f t="shared" si="5"/>
        <v>1543.5953051275128</v>
      </c>
      <c r="P14" s="239" t="s">
        <v>9</v>
      </c>
      <c r="Q14" s="47">
        <f>E14</f>
        <v>7</v>
      </c>
      <c r="R14" s="54">
        <f t="shared" ref="R14:R15" si="6">(Q14*$R$13)-$B$13</f>
        <v>-3194.8328641074113</v>
      </c>
      <c r="S14" s="54">
        <f t="shared" ref="S14:S15" si="7">(Q14*$S$13)-$B$13</f>
        <v>-1444.8328641074113</v>
      </c>
      <c r="T14" s="54">
        <f t="shared" ref="T14:T15" si="8">(Q14*$T$13)-$B$13</f>
        <v>305.1671358925887</v>
      </c>
      <c r="U14" s="54">
        <f t="shared" ref="U14:U15" si="9">(Q14*$U$13)-$B$13</f>
        <v>2055.1671358925887</v>
      </c>
      <c r="V14" s="54">
        <f t="shared" ref="V14:V18" si="10">(Q14*$V$13)-$B$13</f>
        <v>3805.1671358925887</v>
      </c>
      <c r="W14" s="54">
        <f t="shared" ref="W14:W15" si="11">(Q14*$W$13)-$B$13</f>
        <v>5555.1671358925887</v>
      </c>
      <c r="X14" s="54">
        <f t="shared" ref="X14:X15" si="12">(Q14*$X$13)-$B$13</f>
        <v>7305.1671358925887</v>
      </c>
      <c r="Y14" s="54">
        <f t="shared" ref="Y14:Y15" si="13">(Q14*$Y$13)-$B$13</f>
        <v>9055.1671358925887</v>
      </c>
      <c r="Z14" s="54">
        <f t="shared" ref="Z14:Z15" si="14">(Q14*$Z$13)-$B$13</f>
        <v>10805.167135892589</v>
      </c>
      <c r="AE14" s="239" t="s">
        <v>9</v>
      </c>
      <c r="AF14" s="47">
        <f>AF15-0.5</f>
        <v>7</v>
      </c>
      <c r="AG14" s="48">
        <f>AG$13-($B$11/$E14)</f>
        <v>-196.7289805867731</v>
      </c>
      <c r="AH14" s="48">
        <f t="shared" ref="AH14:AO18" si="15">AH$13-($B$11/$E14)</f>
        <v>53.271019413226895</v>
      </c>
      <c r="AI14" s="48">
        <f t="shared" si="15"/>
        <v>303.2710194132269</v>
      </c>
      <c r="AJ14" s="48">
        <f t="shared" si="15"/>
        <v>553.2710194132269</v>
      </c>
      <c r="AK14" s="48">
        <f t="shared" si="15"/>
        <v>803.2710194132269</v>
      </c>
      <c r="AL14" s="48">
        <f t="shared" si="15"/>
        <v>1053.2710194132269</v>
      </c>
      <c r="AM14" s="48">
        <f t="shared" si="15"/>
        <v>1303.2710194132269</v>
      </c>
      <c r="AN14" s="48">
        <f t="shared" si="15"/>
        <v>1553.2710194132269</v>
      </c>
      <c r="AO14" s="48">
        <f t="shared" si="15"/>
        <v>1803.2710194132269</v>
      </c>
    </row>
    <row r="15" spans="1:41" ht="13.5" customHeight="1" thickBot="1" x14ac:dyDescent="0.3">
      <c r="A15" s="158" t="s">
        <v>10</v>
      </c>
      <c r="B15" s="160">
        <v>8</v>
      </c>
      <c r="C15" s="146"/>
      <c r="D15" s="240"/>
      <c r="E15" s="47">
        <f>E16-0.5</f>
        <v>7.5</v>
      </c>
      <c r="F15" s="52">
        <f>F$13-($B$13/$E15)</f>
        <v>-242.11104854765472</v>
      </c>
      <c r="G15" s="53">
        <f t="shared" si="5"/>
        <v>7.8889514523452817</v>
      </c>
      <c r="H15" s="53">
        <f t="shared" si="5"/>
        <v>257.88895145234528</v>
      </c>
      <c r="I15" s="53">
        <f t="shared" si="5"/>
        <v>507.88895145234528</v>
      </c>
      <c r="J15" s="53">
        <f t="shared" si="5"/>
        <v>757.88895145234528</v>
      </c>
      <c r="K15" s="54">
        <f t="shared" si="5"/>
        <v>1007.8889514523453</v>
      </c>
      <c r="L15" s="54">
        <f t="shared" si="5"/>
        <v>1257.8889514523453</v>
      </c>
      <c r="M15" s="54">
        <f t="shared" si="5"/>
        <v>1507.8889514523453</v>
      </c>
      <c r="N15" s="55">
        <f t="shared" si="5"/>
        <v>1757.8889514523453</v>
      </c>
      <c r="P15" s="240"/>
      <c r="Q15" s="47">
        <f t="shared" ref="Q15:Q18" si="16">E15</f>
        <v>7.5</v>
      </c>
      <c r="R15" s="54">
        <f t="shared" si="6"/>
        <v>-1815.8328641074113</v>
      </c>
      <c r="S15" s="54">
        <f t="shared" si="7"/>
        <v>59.167135892588703</v>
      </c>
      <c r="T15" s="54">
        <f t="shared" si="8"/>
        <v>1934.1671358925887</v>
      </c>
      <c r="U15" s="54">
        <f t="shared" si="9"/>
        <v>3809.1671358925887</v>
      </c>
      <c r="V15" s="54">
        <f t="shared" si="10"/>
        <v>5684.1671358925887</v>
      </c>
      <c r="W15" s="54">
        <f t="shared" si="11"/>
        <v>7559.1671358925887</v>
      </c>
      <c r="X15" s="54">
        <f t="shared" si="12"/>
        <v>9434.1671358925887</v>
      </c>
      <c r="Y15" s="54">
        <f t="shared" si="13"/>
        <v>11309.167135892589</v>
      </c>
      <c r="Z15" s="54">
        <f t="shared" si="14"/>
        <v>13184.167135892589</v>
      </c>
      <c r="AE15" s="240"/>
      <c r="AF15" s="47">
        <f>AF16-0.5</f>
        <v>7.5</v>
      </c>
      <c r="AG15" s="48">
        <f>AG$13-($B$11/$E15)</f>
        <v>0.25295145234531446</v>
      </c>
      <c r="AH15" s="48">
        <f t="shared" si="15"/>
        <v>250.25295145234531</v>
      </c>
      <c r="AI15" s="48">
        <f t="shared" si="15"/>
        <v>500.25295145234531</v>
      </c>
      <c r="AJ15" s="48">
        <f t="shared" si="15"/>
        <v>750.25295145234531</v>
      </c>
      <c r="AK15" s="48">
        <f t="shared" si="15"/>
        <v>1000.2529514523453</v>
      </c>
      <c r="AL15" s="48">
        <f t="shared" si="15"/>
        <v>1250.2529514523453</v>
      </c>
      <c r="AM15" s="48">
        <f t="shared" si="15"/>
        <v>1500.2529514523453</v>
      </c>
      <c r="AN15" s="48">
        <f t="shared" si="15"/>
        <v>1750.2529514523453</v>
      </c>
      <c r="AO15" s="48">
        <f t="shared" si="15"/>
        <v>2000.2529514523453</v>
      </c>
    </row>
    <row r="16" spans="1:41" ht="13.5" customHeight="1" thickBot="1" x14ac:dyDescent="0.3">
      <c r="A16" s="158"/>
      <c r="B16" s="146"/>
      <c r="C16" s="146"/>
      <c r="D16" s="240"/>
      <c r="E16" s="56">
        <f>B15</f>
        <v>8</v>
      </c>
      <c r="F16" s="52">
        <f t="shared" si="5"/>
        <v>-54.604108013426412</v>
      </c>
      <c r="G16" s="53">
        <f t="shared" si="5"/>
        <v>195.39589198657359</v>
      </c>
      <c r="H16" s="53">
        <f t="shared" si="5"/>
        <v>445.39589198657359</v>
      </c>
      <c r="I16" s="53">
        <f t="shared" si="5"/>
        <v>695.39589198657359</v>
      </c>
      <c r="J16" s="54">
        <f>J$13-($B$13/$E16)</f>
        <v>945.39589198657359</v>
      </c>
      <c r="K16" s="54">
        <f t="shared" si="5"/>
        <v>1195.3958919865736</v>
      </c>
      <c r="L16" s="54">
        <f t="shared" si="5"/>
        <v>1445.3958919865736</v>
      </c>
      <c r="M16" s="54">
        <f t="shared" si="5"/>
        <v>1695.3958919865736</v>
      </c>
      <c r="N16" s="55">
        <f t="shared" si="5"/>
        <v>1945.3958919865736</v>
      </c>
      <c r="P16" s="240"/>
      <c r="Q16" s="47">
        <f t="shared" si="16"/>
        <v>8</v>
      </c>
      <c r="R16" s="54">
        <f>(Q16*$R$13)-$B$13</f>
        <v>-436.8328641074113</v>
      </c>
      <c r="S16" s="54">
        <f>(Q16*$S$13)-$B$13</f>
        <v>1563.1671358925887</v>
      </c>
      <c r="T16" s="54">
        <f>(Q16*$T$13)-$B$13</f>
        <v>3563.1671358925887</v>
      </c>
      <c r="U16" s="54">
        <f>(Q16*$U$13)-$B$13</f>
        <v>5563.1671358925887</v>
      </c>
      <c r="V16" s="54">
        <f>($Q$16*V13)-$B$13</f>
        <v>7563.1671358925887</v>
      </c>
      <c r="W16" s="54">
        <f>(Q16*$W$13)-$B$13</f>
        <v>9563.1671358925887</v>
      </c>
      <c r="X16" s="54">
        <f>(Q16*$X$13)-$B$13</f>
        <v>11563.167135892589</v>
      </c>
      <c r="Y16" s="54">
        <f>(Q16*$Y$13)-$B$13</f>
        <v>13563.167135892589</v>
      </c>
      <c r="Z16" s="54">
        <f>(Q16*$Z$13)-$B$13</f>
        <v>15563.167135892589</v>
      </c>
      <c r="AE16" s="240"/>
      <c r="AF16" s="56">
        <f>E16</f>
        <v>8</v>
      </c>
      <c r="AG16" s="48">
        <f>AG$13-($B$11/$E16)</f>
        <v>172.61214198657353</v>
      </c>
      <c r="AH16" s="48">
        <f t="shared" si="15"/>
        <v>422.61214198657353</v>
      </c>
      <c r="AI16" s="48">
        <f t="shared" si="15"/>
        <v>672.61214198657353</v>
      </c>
      <c r="AJ16" s="48">
        <f t="shared" si="15"/>
        <v>922.61214198657353</v>
      </c>
      <c r="AK16" s="48">
        <f>AK$13-($B$11/$E16)</f>
        <v>1172.6121419865735</v>
      </c>
      <c r="AL16" s="48">
        <f t="shared" si="15"/>
        <v>1422.6121419865735</v>
      </c>
      <c r="AM16" s="48">
        <f t="shared" si="15"/>
        <v>1672.6121419865735</v>
      </c>
      <c r="AN16" s="48">
        <f t="shared" si="15"/>
        <v>1922.6121419865735</v>
      </c>
      <c r="AO16" s="48">
        <f t="shared" si="15"/>
        <v>2172.6121419865735</v>
      </c>
    </row>
    <row r="17" spans="1:41" ht="13.5" customHeight="1" thickBot="1" x14ac:dyDescent="0.3">
      <c r="A17" s="158" t="s">
        <v>113</v>
      </c>
      <c r="B17" s="171">
        <f>$B$4</f>
        <v>4200</v>
      </c>
      <c r="C17" s="146"/>
      <c r="D17" s="240"/>
      <c r="E17" s="47">
        <f>E16+0.5</f>
        <v>8.5</v>
      </c>
      <c r="F17" s="52">
        <f t="shared" si="5"/>
        <v>110.84319245795177</v>
      </c>
      <c r="G17" s="53">
        <f t="shared" si="5"/>
        <v>360.84319245795177</v>
      </c>
      <c r="H17" s="53">
        <f t="shared" si="5"/>
        <v>610.84319245795177</v>
      </c>
      <c r="I17" s="54">
        <f t="shared" si="5"/>
        <v>860.84319245795177</v>
      </c>
      <c r="J17" s="54">
        <f t="shared" si="5"/>
        <v>1110.8431924579518</v>
      </c>
      <c r="K17" s="54">
        <f t="shared" si="5"/>
        <v>1360.8431924579518</v>
      </c>
      <c r="L17" s="54">
        <f t="shared" si="5"/>
        <v>1610.8431924579518</v>
      </c>
      <c r="M17" s="54">
        <f t="shared" si="5"/>
        <v>1860.8431924579518</v>
      </c>
      <c r="N17" s="55">
        <f t="shared" si="5"/>
        <v>2110.8431924579518</v>
      </c>
      <c r="P17" s="240"/>
      <c r="Q17" s="47">
        <f t="shared" si="16"/>
        <v>8.5</v>
      </c>
      <c r="R17" s="54">
        <f t="shared" ref="R17:R18" si="17">(Q17*$R$13)-$B$13</f>
        <v>942.1671358925887</v>
      </c>
      <c r="S17" s="54">
        <f t="shared" ref="S17:S18" si="18">(Q17*$S$13)-$B$13</f>
        <v>3067.1671358925887</v>
      </c>
      <c r="T17" s="54">
        <f t="shared" ref="T17:T18" si="19">(Q17*$T$13)-$B$13</f>
        <v>5192.1671358925887</v>
      </c>
      <c r="U17" s="54">
        <f t="shared" ref="U17:U18" si="20">(Q17*$U$13)-$B$13</f>
        <v>7317.1671358925887</v>
      </c>
      <c r="V17" s="54">
        <f t="shared" si="10"/>
        <v>9442.1671358925887</v>
      </c>
      <c r="W17" s="54">
        <f t="shared" ref="W17:W18" si="21">(Q17*$W$13)-$B$13</f>
        <v>11567.167135892589</v>
      </c>
      <c r="X17" s="54">
        <f t="shared" ref="X17:X18" si="22">(Q17*$X$13)-$B$13</f>
        <v>13692.167135892589</v>
      </c>
      <c r="Y17" s="54">
        <f t="shared" ref="Y17:Y18" si="23">(Q17*$Y$13)-$B$13</f>
        <v>15817.167135892589</v>
      </c>
      <c r="Z17" s="54">
        <f t="shared" ref="Z17:Z18" si="24">(Q17*$Z$13)-$B$13</f>
        <v>17942.167135892589</v>
      </c>
      <c r="AE17" s="240"/>
      <c r="AF17" s="47">
        <f>AF16+0.5</f>
        <v>8.5</v>
      </c>
      <c r="AG17" s="48">
        <f>AG$13-($B$11/$E17)</f>
        <v>324.69378069324557</v>
      </c>
      <c r="AH17" s="48">
        <f t="shared" si="15"/>
        <v>574.69378069324557</v>
      </c>
      <c r="AI17" s="48">
        <f t="shared" si="15"/>
        <v>824.69378069324557</v>
      </c>
      <c r="AJ17" s="48">
        <f t="shared" si="15"/>
        <v>1074.6937806932456</v>
      </c>
      <c r="AK17" s="48">
        <f t="shared" si="15"/>
        <v>1324.6937806932456</v>
      </c>
      <c r="AL17" s="48">
        <f t="shared" si="15"/>
        <v>1574.6937806932456</v>
      </c>
      <c r="AM17" s="48">
        <f t="shared" si="15"/>
        <v>1824.6937806932456</v>
      </c>
      <c r="AN17" s="48">
        <f t="shared" si="15"/>
        <v>2074.6937806932456</v>
      </c>
      <c r="AO17" s="48">
        <f t="shared" si="15"/>
        <v>2324.6937806932456</v>
      </c>
    </row>
    <row r="18" spans="1:41" ht="13.5" customHeight="1" thickBot="1" x14ac:dyDescent="0.3">
      <c r="A18" s="161" t="s">
        <v>11</v>
      </c>
      <c r="B18" s="171">
        <f>'W-Roundup R mielies '!$F$33</f>
        <v>442</v>
      </c>
      <c r="C18" s="146"/>
      <c r="D18" s="241"/>
      <c r="E18" s="47">
        <f>E17+0.5</f>
        <v>9</v>
      </c>
      <c r="F18" s="57">
        <f t="shared" si="5"/>
        <v>257.90745954362092</v>
      </c>
      <c r="G18" s="58">
        <f>G$13-($B$13/$E18)</f>
        <v>507.90745954362092</v>
      </c>
      <c r="H18" s="59">
        <f t="shared" si="5"/>
        <v>757.90745954362092</v>
      </c>
      <c r="I18" s="59">
        <f t="shared" si="5"/>
        <v>1007.9074595436209</v>
      </c>
      <c r="J18" s="59">
        <f>J$13-($B$13/$E18)</f>
        <v>1257.9074595436209</v>
      </c>
      <c r="K18" s="59">
        <f t="shared" si="5"/>
        <v>1507.9074595436209</v>
      </c>
      <c r="L18" s="59">
        <f t="shared" si="5"/>
        <v>1757.9074595436209</v>
      </c>
      <c r="M18" s="59">
        <f t="shared" si="5"/>
        <v>2007.9074595436209</v>
      </c>
      <c r="N18" s="60">
        <f>N$13-($B$13/$E18)</f>
        <v>2257.9074595436209</v>
      </c>
      <c r="P18" s="241"/>
      <c r="Q18" s="47">
        <f t="shared" si="16"/>
        <v>9</v>
      </c>
      <c r="R18" s="54">
        <f t="shared" si="17"/>
        <v>2321.1671358925887</v>
      </c>
      <c r="S18" s="54">
        <f t="shared" si="18"/>
        <v>4571.1671358925887</v>
      </c>
      <c r="T18" s="54">
        <f t="shared" si="19"/>
        <v>6821.1671358925887</v>
      </c>
      <c r="U18" s="54">
        <f t="shared" si="20"/>
        <v>9071.1671358925887</v>
      </c>
      <c r="V18" s="54">
        <f t="shared" si="10"/>
        <v>11321.167135892589</v>
      </c>
      <c r="W18" s="54">
        <f t="shared" si="21"/>
        <v>13571.167135892589</v>
      </c>
      <c r="X18" s="54">
        <f t="shared" si="22"/>
        <v>15821.167135892589</v>
      </c>
      <c r="Y18" s="54">
        <f t="shared" si="23"/>
        <v>18071.167135892589</v>
      </c>
      <c r="Z18" s="54">
        <f t="shared" si="24"/>
        <v>20321.167135892589</v>
      </c>
      <c r="AE18" s="241"/>
      <c r="AF18" s="47">
        <f>AF17+0.5</f>
        <v>9</v>
      </c>
      <c r="AG18" s="48">
        <f>AG$13-($B$11/$E18)</f>
        <v>459.87745954362072</v>
      </c>
      <c r="AH18" s="48">
        <f>AH$13-($B$11/$E18)</f>
        <v>709.87745954362072</v>
      </c>
      <c r="AI18" s="48">
        <f t="shared" si="15"/>
        <v>959.87745954362072</v>
      </c>
      <c r="AJ18" s="48">
        <f t="shared" si="15"/>
        <v>1209.8774595436207</v>
      </c>
      <c r="AK18" s="48">
        <f t="shared" si="15"/>
        <v>1459.8774595436207</v>
      </c>
      <c r="AL18" s="48">
        <f t="shared" si="15"/>
        <v>1709.8774595436207</v>
      </c>
      <c r="AM18" s="48">
        <f t="shared" si="15"/>
        <v>1959.8774595436207</v>
      </c>
      <c r="AN18" s="48">
        <f t="shared" si="15"/>
        <v>2209.8774595436207</v>
      </c>
      <c r="AO18" s="48">
        <f>AO$13-($B$11/$E18)</f>
        <v>2459.8774595436207</v>
      </c>
    </row>
    <row r="19" spans="1:41" ht="13.5" customHeight="1" x14ac:dyDescent="0.25">
      <c r="A19" s="148" t="s">
        <v>12</v>
      </c>
      <c r="B19" s="172">
        <f>B17-B18</f>
        <v>3758</v>
      </c>
      <c r="C19" s="146"/>
      <c r="D19" s="61"/>
      <c r="E19" s="62"/>
      <c r="F19" s="63"/>
      <c r="G19" s="63"/>
      <c r="H19" s="63"/>
      <c r="I19" s="63"/>
      <c r="J19" s="63"/>
      <c r="K19" s="63"/>
      <c r="L19" s="63"/>
      <c r="AE19" s="61"/>
      <c r="AF19" s="62"/>
      <c r="AG19" s="63"/>
      <c r="AH19" s="63"/>
      <c r="AI19" s="63"/>
      <c r="AJ19" s="63"/>
      <c r="AK19" s="63"/>
      <c r="AL19" s="63"/>
      <c r="AM19" s="63"/>
    </row>
    <row r="20" spans="1:41" ht="13.5" customHeight="1" x14ac:dyDescent="0.25">
      <c r="A20" s="148"/>
      <c r="B20" s="171"/>
      <c r="C20" s="146"/>
      <c r="D20" s="61"/>
      <c r="E20" s="62"/>
      <c r="F20" s="63"/>
      <c r="G20" s="63"/>
      <c r="H20" s="63"/>
      <c r="I20" s="63"/>
      <c r="J20" s="63"/>
      <c r="K20" s="63"/>
      <c r="L20" s="63"/>
      <c r="AE20" s="61"/>
      <c r="AF20" s="62"/>
      <c r="AG20" s="63"/>
      <c r="AH20" s="63"/>
      <c r="AI20" s="63"/>
      <c r="AJ20" s="63"/>
      <c r="AK20" s="63"/>
      <c r="AL20" s="63"/>
      <c r="AM20" s="63"/>
    </row>
    <row r="21" spans="1:41" ht="13.5" customHeight="1" x14ac:dyDescent="0.25">
      <c r="A21" s="148"/>
      <c r="B21" s="147"/>
      <c r="C21" s="146"/>
      <c r="D21" s="61"/>
      <c r="E21" s="62"/>
      <c r="F21" s="63"/>
      <c r="G21" s="63"/>
      <c r="H21" s="63"/>
      <c r="I21" s="63"/>
      <c r="J21" s="63"/>
      <c r="K21" s="63"/>
      <c r="L21" s="63"/>
      <c r="AE21" s="61"/>
      <c r="AF21" s="62"/>
      <c r="AG21" s="63"/>
      <c r="AH21" s="63"/>
      <c r="AI21" s="63"/>
      <c r="AJ21" s="63"/>
      <c r="AK21" s="63"/>
      <c r="AL21" s="63"/>
      <c r="AM21" s="63"/>
    </row>
    <row r="22" spans="1:41" s="36" customFormat="1" ht="33.75" customHeight="1" thickBot="1" x14ac:dyDescent="0.35">
      <c r="A22" s="238"/>
      <c r="B22" s="238"/>
      <c r="C22" s="134"/>
      <c r="D22" s="35"/>
      <c r="E22" s="35"/>
      <c r="F22" s="35"/>
      <c r="G22" s="35"/>
      <c r="H22" s="35"/>
      <c r="I22" s="35"/>
      <c r="J22" s="35"/>
      <c r="K22" s="35"/>
      <c r="L22" s="35"/>
      <c r="M22" s="35"/>
      <c r="N22" s="35"/>
    </row>
    <row r="23" spans="1:41" ht="20.25" customHeight="1" thickBot="1" x14ac:dyDescent="0.3">
      <c r="A23" s="169" t="s">
        <v>56</v>
      </c>
      <c r="B23" s="170"/>
      <c r="C23" s="145"/>
      <c r="D23" s="242" t="s">
        <v>72</v>
      </c>
      <c r="E23" s="243"/>
      <c r="F23" s="243"/>
      <c r="G23" s="243"/>
      <c r="H23" s="243"/>
      <c r="I23" s="243"/>
      <c r="J23" s="243"/>
      <c r="K23" s="243"/>
      <c r="L23" s="243"/>
      <c r="M23" s="243"/>
      <c r="N23" s="244"/>
      <c r="AE23" s="242" t="s">
        <v>73</v>
      </c>
      <c r="AF23" s="243"/>
      <c r="AG23" s="243"/>
      <c r="AH23" s="243"/>
      <c r="AI23" s="243"/>
      <c r="AJ23" s="243"/>
      <c r="AK23" s="243"/>
      <c r="AL23" s="243"/>
      <c r="AM23" s="243"/>
      <c r="AN23" s="243"/>
      <c r="AO23" s="244"/>
    </row>
    <row r="24" spans="1:41" ht="13.5" customHeight="1" thickBot="1" x14ac:dyDescent="0.3">
      <c r="A24" s="158" t="s">
        <v>3</v>
      </c>
      <c r="B24" s="171">
        <f>'Mielie Vermin Bewerk'!G25</f>
        <v>17321.953330418644</v>
      </c>
      <c r="C24" s="146"/>
      <c r="D24" s="37"/>
      <c r="E24" s="38"/>
      <c r="F24" s="39"/>
      <c r="G24" s="40"/>
      <c r="H24" s="39"/>
      <c r="I24" s="39"/>
      <c r="J24" s="39" t="s">
        <v>4</v>
      </c>
      <c r="K24" s="41"/>
      <c r="L24" s="39"/>
      <c r="M24" s="41"/>
      <c r="N24" s="39"/>
      <c r="AE24" s="37"/>
      <c r="AF24" s="38"/>
      <c r="AG24" s="39"/>
      <c r="AH24" s="40"/>
      <c r="AI24" s="39"/>
      <c r="AJ24" s="39"/>
      <c r="AK24" s="39" t="s">
        <v>4</v>
      </c>
      <c r="AL24" s="41"/>
      <c r="AM24" s="39"/>
      <c r="AN24" s="41"/>
      <c r="AO24" s="39"/>
    </row>
    <row r="25" spans="1:41" ht="13.5" customHeight="1" thickBot="1" x14ac:dyDescent="0.3">
      <c r="A25" s="158" t="s">
        <v>5</v>
      </c>
      <c r="B25" s="171">
        <f>'Mielie Vermin Bewerk'!G27</f>
        <v>2217.0700000000002</v>
      </c>
      <c r="C25" s="146"/>
      <c r="D25" s="242" t="s">
        <v>6</v>
      </c>
      <c r="E25" s="244"/>
      <c r="F25" s="42">
        <f>G25-250</f>
        <v>3200</v>
      </c>
      <c r="G25" s="42">
        <f>H25-250</f>
        <v>3450</v>
      </c>
      <c r="H25" s="42">
        <f>I25-250</f>
        <v>3700</v>
      </c>
      <c r="I25" s="42">
        <f>J25-250</f>
        <v>3950</v>
      </c>
      <c r="J25" s="43">
        <f>B30</f>
        <v>4200</v>
      </c>
      <c r="K25" s="42">
        <f>J25+250</f>
        <v>4450</v>
      </c>
      <c r="L25" s="42">
        <f>K25+250</f>
        <v>4700</v>
      </c>
      <c r="M25" s="42">
        <f>L25+250</f>
        <v>4950</v>
      </c>
      <c r="N25" s="42">
        <f>M25+250</f>
        <v>5200</v>
      </c>
      <c r="AE25" s="242" t="s">
        <v>6</v>
      </c>
      <c r="AF25" s="244"/>
      <c r="AG25" s="42">
        <f>AH25-250</f>
        <v>3200</v>
      </c>
      <c r="AH25" s="42">
        <f>AI25-250</f>
        <v>3450</v>
      </c>
      <c r="AI25" s="42">
        <f>AJ25-250</f>
        <v>3700</v>
      </c>
      <c r="AJ25" s="42">
        <f>AK25-250</f>
        <v>3950</v>
      </c>
      <c r="AK25" s="39">
        <f>J25</f>
        <v>4200</v>
      </c>
      <c r="AL25" s="42">
        <f>AK25+250</f>
        <v>4450</v>
      </c>
      <c r="AM25" s="42">
        <f>AL25+250</f>
        <v>4700</v>
      </c>
      <c r="AN25" s="42">
        <f>AM25+250</f>
        <v>4950</v>
      </c>
      <c r="AO25" s="42">
        <f>AN25+250</f>
        <v>5200</v>
      </c>
    </row>
    <row r="26" spans="1:41" ht="13.5" customHeight="1" thickBot="1" x14ac:dyDescent="0.3">
      <c r="A26" s="159" t="s">
        <v>7</v>
      </c>
      <c r="B26" s="172">
        <f>B25+B24</f>
        <v>19539.023330418644</v>
      </c>
      <c r="C26" s="147"/>
      <c r="D26" s="245" t="s">
        <v>8</v>
      </c>
      <c r="E26" s="246"/>
      <c r="F26" s="44">
        <f t="shared" ref="F26:N26" si="25">F25-$B$18</f>
        <v>2758</v>
      </c>
      <c r="G26" s="44">
        <f t="shared" si="25"/>
        <v>3008</v>
      </c>
      <c r="H26" s="44">
        <f t="shared" si="25"/>
        <v>3258</v>
      </c>
      <c r="I26" s="44">
        <f t="shared" si="25"/>
        <v>3508</v>
      </c>
      <c r="J26" s="45">
        <f t="shared" si="25"/>
        <v>3758</v>
      </c>
      <c r="K26" s="44">
        <f t="shared" si="25"/>
        <v>4008</v>
      </c>
      <c r="L26" s="44">
        <f t="shared" si="25"/>
        <v>4258</v>
      </c>
      <c r="M26" s="44">
        <f t="shared" si="25"/>
        <v>4508</v>
      </c>
      <c r="N26" s="44">
        <f t="shared" si="25"/>
        <v>4758</v>
      </c>
      <c r="AE26" s="245" t="s">
        <v>8</v>
      </c>
      <c r="AF26" s="246"/>
      <c r="AG26" s="44">
        <f t="shared" ref="AG26:AO26" si="26">AG25-$B$18</f>
        <v>2758</v>
      </c>
      <c r="AH26" s="44">
        <f t="shared" si="26"/>
        <v>3008</v>
      </c>
      <c r="AI26" s="44">
        <f t="shared" si="26"/>
        <v>3258</v>
      </c>
      <c r="AJ26" s="44">
        <f t="shared" si="26"/>
        <v>3508</v>
      </c>
      <c r="AK26" s="46">
        <f t="shared" si="26"/>
        <v>3758</v>
      </c>
      <c r="AL26" s="44">
        <f t="shared" si="26"/>
        <v>4008</v>
      </c>
      <c r="AM26" s="44">
        <f t="shared" si="26"/>
        <v>4258</v>
      </c>
      <c r="AN26" s="44">
        <f t="shared" si="26"/>
        <v>4508</v>
      </c>
      <c r="AO26" s="44">
        <f t="shared" si="26"/>
        <v>4758</v>
      </c>
    </row>
    <row r="27" spans="1:41" ht="13.5" customHeight="1" thickBot="1" x14ac:dyDescent="0.3">
      <c r="A27" s="158"/>
      <c r="B27" s="146"/>
      <c r="C27" s="146"/>
      <c r="D27" s="239" t="s">
        <v>9</v>
      </c>
      <c r="E27" s="47">
        <f>E28-0.5</f>
        <v>5</v>
      </c>
      <c r="F27" s="48">
        <f>F$13-($B$26/$E27)</f>
        <v>-1149.804666083729</v>
      </c>
      <c r="G27" s="48">
        <f t="shared" ref="G27:N31" si="27">G$13-($B$26/$E27)</f>
        <v>-899.80466608372899</v>
      </c>
      <c r="H27" s="48">
        <f t="shared" si="27"/>
        <v>-649.80466608372899</v>
      </c>
      <c r="I27" s="48">
        <f t="shared" si="27"/>
        <v>-399.80466608372899</v>
      </c>
      <c r="J27" s="48">
        <f t="shared" si="27"/>
        <v>-149.80466608372899</v>
      </c>
      <c r="K27" s="48">
        <f t="shared" si="27"/>
        <v>100.19533391627101</v>
      </c>
      <c r="L27" s="48">
        <f t="shared" si="27"/>
        <v>350.19533391627101</v>
      </c>
      <c r="M27" s="48">
        <f t="shared" si="27"/>
        <v>600.19533391627101</v>
      </c>
      <c r="N27" s="48">
        <f t="shared" si="27"/>
        <v>850.19533391627101</v>
      </c>
      <c r="AE27" s="239" t="s">
        <v>9</v>
      </c>
      <c r="AF27" s="47">
        <f>AF28-0.5</f>
        <v>5</v>
      </c>
      <c r="AG27" s="48">
        <f>AG$13-($B$24/$E27)</f>
        <v>-706.39066608372877</v>
      </c>
      <c r="AH27" s="48">
        <f t="shared" ref="AH27:AO31" si="28">AH$13-($B$24/$E27)</f>
        <v>-456.39066608372877</v>
      </c>
      <c r="AI27" s="48">
        <f t="shared" si="28"/>
        <v>-206.39066608372877</v>
      </c>
      <c r="AJ27" s="48">
        <f t="shared" si="28"/>
        <v>43.609333916271225</v>
      </c>
      <c r="AK27" s="48">
        <f t="shared" si="28"/>
        <v>293.60933391627123</v>
      </c>
      <c r="AL27" s="48">
        <f t="shared" si="28"/>
        <v>543.60933391627123</v>
      </c>
      <c r="AM27" s="48">
        <f t="shared" si="28"/>
        <v>793.60933391627123</v>
      </c>
      <c r="AN27" s="48">
        <f t="shared" si="28"/>
        <v>1043.6093339162712</v>
      </c>
      <c r="AO27" s="48">
        <f t="shared" si="28"/>
        <v>1293.6093339162712</v>
      </c>
    </row>
    <row r="28" spans="1:41" ht="13.5" customHeight="1" thickBot="1" x14ac:dyDescent="0.3">
      <c r="A28" s="158" t="s">
        <v>10</v>
      </c>
      <c r="B28" s="160">
        <v>6</v>
      </c>
      <c r="C28" s="146"/>
      <c r="D28" s="240"/>
      <c r="E28" s="47">
        <f>E29-0.5</f>
        <v>5.5</v>
      </c>
      <c r="F28" s="48">
        <f>F$13-($B$26/$E28)</f>
        <v>-794.54969643975346</v>
      </c>
      <c r="G28" s="48">
        <f t="shared" si="27"/>
        <v>-544.54969643975346</v>
      </c>
      <c r="H28" s="48">
        <f t="shared" si="27"/>
        <v>-294.54969643975346</v>
      </c>
      <c r="I28" s="48">
        <f t="shared" si="27"/>
        <v>-44.549696439753461</v>
      </c>
      <c r="J28" s="48">
        <f t="shared" si="27"/>
        <v>205.45030356024654</v>
      </c>
      <c r="K28" s="48">
        <f t="shared" si="27"/>
        <v>455.45030356024654</v>
      </c>
      <c r="L28" s="48">
        <f t="shared" si="27"/>
        <v>705.45030356024654</v>
      </c>
      <c r="M28" s="48">
        <f t="shared" si="27"/>
        <v>955.45030356024654</v>
      </c>
      <c r="N28" s="48">
        <f t="shared" si="27"/>
        <v>1205.4503035602465</v>
      </c>
      <c r="AE28" s="240"/>
      <c r="AF28" s="47">
        <f>AF29-0.5</f>
        <v>5.5</v>
      </c>
      <c r="AG28" s="48">
        <f>AG$13-($B$24/$E28)</f>
        <v>-391.44606007611719</v>
      </c>
      <c r="AH28" s="48">
        <f t="shared" si="28"/>
        <v>-141.44606007611719</v>
      </c>
      <c r="AI28" s="48">
        <f t="shared" si="28"/>
        <v>108.55393992388281</v>
      </c>
      <c r="AJ28" s="48">
        <f t="shared" si="28"/>
        <v>358.55393992388281</v>
      </c>
      <c r="AK28" s="48">
        <f t="shared" si="28"/>
        <v>608.55393992388281</v>
      </c>
      <c r="AL28" s="48">
        <f t="shared" si="28"/>
        <v>858.55393992388281</v>
      </c>
      <c r="AM28" s="48">
        <f t="shared" si="28"/>
        <v>1108.5539399238828</v>
      </c>
      <c r="AN28" s="48">
        <f t="shared" si="28"/>
        <v>1358.5539399238828</v>
      </c>
      <c r="AO28" s="48">
        <f t="shared" si="28"/>
        <v>1608.5539399238828</v>
      </c>
    </row>
    <row r="29" spans="1:41" ht="13.5" customHeight="1" thickBot="1" x14ac:dyDescent="0.3">
      <c r="A29" s="158"/>
      <c r="B29" s="146"/>
      <c r="C29" s="146"/>
      <c r="D29" s="240"/>
      <c r="E29" s="56">
        <f>B28</f>
        <v>6</v>
      </c>
      <c r="F29" s="48">
        <f>F$13-($B$26/$E29)</f>
        <v>-498.50388840310734</v>
      </c>
      <c r="G29" s="48">
        <f t="shared" si="27"/>
        <v>-248.50388840310734</v>
      </c>
      <c r="H29" s="48">
        <f t="shared" si="27"/>
        <v>1.4961115968926606</v>
      </c>
      <c r="I29" s="48">
        <f t="shared" si="27"/>
        <v>251.49611159689266</v>
      </c>
      <c r="J29" s="48">
        <f t="shared" si="27"/>
        <v>501.49611159689266</v>
      </c>
      <c r="K29" s="48">
        <f t="shared" si="27"/>
        <v>751.49611159689266</v>
      </c>
      <c r="L29" s="48">
        <f t="shared" si="27"/>
        <v>1001.4961115968927</v>
      </c>
      <c r="M29" s="48">
        <f t="shared" si="27"/>
        <v>1251.4961115968927</v>
      </c>
      <c r="N29" s="48">
        <f t="shared" si="27"/>
        <v>1501.4961115968927</v>
      </c>
      <c r="AE29" s="240"/>
      <c r="AF29" s="56">
        <f>E29</f>
        <v>6</v>
      </c>
      <c r="AG29" s="48">
        <f>AG$13-($B$24/$E29)</f>
        <v>-128.99222173644057</v>
      </c>
      <c r="AH29" s="48">
        <f t="shared" si="28"/>
        <v>121.00777826355943</v>
      </c>
      <c r="AI29" s="48">
        <f t="shared" si="28"/>
        <v>371.00777826355943</v>
      </c>
      <c r="AJ29" s="48">
        <f t="shared" si="28"/>
        <v>621.00777826355943</v>
      </c>
      <c r="AK29" s="48">
        <f t="shared" si="28"/>
        <v>871.00777826355943</v>
      </c>
      <c r="AL29" s="48">
        <f t="shared" si="28"/>
        <v>1121.0077782635594</v>
      </c>
      <c r="AM29" s="48">
        <f t="shared" si="28"/>
        <v>1371.0077782635594</v>
      </c>
      <c r="AN29" s="48">
        <f t="shared" si="28"/>
        <v>1621.0077782635594</v>
      </c>
      <c r="AO29" s="48">
        <f t="shared" si="28"/>
        <v>1871.0077782635594</v>
      </c>
    </row>
    <row r="30" spans="1:41" ht="13.5" customHeight="1" thickBot="1" x14ac:dyDescent="0.3">
      <c r="A30" s="158" t="s">
        <v>113</v>
      </c>
      <c r="B30" s="171">
        <f>$B$4</f>
        <v>4200</v>
      </c>
      <c r="C30" s="146"/>
      <c r="D30" s="240"/>
      <c r="E30" s="47">
        <f>E29+0.5</f>
        <v>6.5</v>
      </c>
      <c r="F30" s="48">
        <f>F$13-($B$26/$E30)</f>
        <v>-248.00358929517597</v>
      </c>
      <c r="G30" s="48">
        <f t="shared" si="27"/>
        <v>1.9964107048240294</v>
      </c>
      <c r="H30" s="48">
        <f t="shared" si="27"/>
        <v>251.99641070482403</v>
      </c>
      <c r="I30" s="48">
        <f t="shared" si="27"/>
        <v>501.99641070482403</v>
      </c>
      <c r="J30" s="48">
        <f t="shared" si="27"/>
        <v>751.99641070482403</v>
      </c>
      <c r="K30" s="48">
        <f t="shared" si="27"/>
        <v>1001.996410704824</v>
      </c>
      <c r="L30" s="48">
        <f t="shared" si="27"/>
        <v>1251.996410704824</v>
      </c>
      <c r="M30" s="48">
        <f t="shared" si="27"/>
        <v>1501.996410704824</v>
      </c>
      <c r="N30" s="48">
        <f t="shared" si="27"/>
        <v>1751.996410704824</v>
      </c>
      <c r="AE30" s="240"/>
      <c r="AF30" s="47">
        <f>AF29+0.5</f>
        <v>6.5</v>
      </c>
      <c r="AG30" s="48">
        <f>AG$13-($B$24/$E30)</f>
        <v>93.084103012516152</v>
      </c>
      <c r="AH30" s="48">
        <f t="shared" si="28"/>
        <v>343.08410301251615</v>
      </c>
      <c r="AI30" s="48">
        <f t="shared" si="28"/>
        <v>593.08410301251615</v>
      </c>
      <c r="AJ30" s="48">
        <f t="shared" si="28"/>
        <v>843.08410301251615</v>
      </c>
      <c r="AK30" s="48">
        <f t="shared" si="28"/>
        <v>1093.0841030125162</v>
      </c>
      <c r="AL30" s="48">
        <f t="shared" si="28"/>
        <v>1343.0841030125162</v>
      </c>
      <c r="AM30" s="48">
        <f t="shared" si="28"/>
        <v>1593.0841030125162</v>
      </c>
      <c r="AN30" s="48">
        <f t="shared" si="28"/>
        <v>1843.0841030125162</v>
      </c>
      <c r="AO30" s="48">
        <f t="shared" si="28"/>
        <v>2093.0841030125162</v>
      </c>
    </row>
    <row r="31" spans="1:41" ht="13.5" customHeight="1" thickBot="1" x14ac:dyDescent="0.3">
      <c r="A31" s="161" t="s">
        <v>11</v>
      </c>
      <c r="B31" s="171">
        <f>'W-BT Mielies vermin till'!F33</f>
        <v>442</v>
      </c>
      <c r="C31" s="146"/>
      <c r="D31" s="241"/>
      <c r="E31" s="47">
        <f>E30+0.5</f>
        <v>7</v>
      </c>
      <c r="F31" s="48">
        <f>F$13-($B$26/$E31)</f>
        <v>-33.289047202663369</v>
      </c>
      <c r="G31" s="48">
        <f>G$13-($B$26/$E31)</f>
        <v>216.71095279733663</v>
      </c>
      <c r="H31" s="48">
        <f t="shared" si="27"/>
        <v>466.71095279733663</v>
      </c>
      <c r="I31" s="48">
        <f t="shared" si="27"/>
        <v>716.71095279733663</v>
      </c>
      <c r="J31" s="48">
        <f t="shared" si="27"/>
        <v>966.71095279733663</v>
      </c>
      <c r="K31" s="48">
        <f t="shared" si="27"/>
        <v>1216.7109527973366</v>
      </c>
      <c r="L31" s="48">
        <f t="shared" si="27"/>
        <v>1466.7109527973366</v>
      </c>
      <c r="M31" s="48">
        <f t="shared" si="27"/>
        <v>1716.7109527973366</v>
      </c>
      <c r="N31" s="48">
        <f>N$13-($B$26/$E31)</f>
        <v>1966.7109527973366</v>
      </c>
      <c r="AE31" s="241"/>
      <c r="AF31" s="47">
        <f>AF30+0.5</f>
        <v>7</v>
      </c>
      <c r="AG31" s="48">
        <f>AG$13-($B$24/$E31)</f>
        <v>283.43523851162217</v>
      </c>
      <c r="AH31" s="48">
        <f>AH$13-($B$24/$E31)</f>
        <v>533.43523851162217</v>
      </c>
      <c r="AI31" s="48">
        <f t="shared" si="28"/>
        <v>783.43523851162217</v>
      </c>
      <c r="AJ31" s="48">
        <f t="shared" si="28"/>
        <v>1033.4352385116222</v>
      </c>
      <c r="AK31" s="48">
        <f t="shared" si="28"/>
        <v>1283.4352385116222</v>
      </c>
      <c r="AL31" s="48">
        <f t="shared" si="28"/>
        <v>1533.4352385116222</v>
      </c>
      <c r="AM31" s="48">
        <f t="shared" si="28"/>
        <v>1783.4352385116222</v>
      </c>
      <c r="AN31" s="48">
        <f t="shared" si="28"/>
        <v>2033.4352385116222</v>
      </c>
      <c r="AO31" s="48">
        <f t="shared" si="28"/>
        <v>2283.4352385116222</v>
      </c>
    </row>
    <row r="32" spans="1:41" ht="13.5" customHeight="1" x14ac:dyDescent="0.25">
      <c r="A32" s="148" t="s">
        <v>12</v>
      </c>
      <c r="B32" s="172">
        <f>B30-B31</f>
        <v>3758</v>
      </c>
      <c r="C32" s="146"/>
      <c r="D32" s="61"/>
      <c r="E32" s="62"/>
      <c r="F32" s="63"/>
      <c r="G32" s="63"/>
      <c r="H32" s="63"/>
      <c r="I32" s="63"/>
      <c r="J32" s="63"/>
      <c r="K32" s="63"/>
      <c r="L32" s="63"/>
      <c r="AE32" s="61"/>
      <c r="AF32" s="62"/>
      <c r="AG32" s="63"/>
      <c r="AH32" s="63"/>
      <c r="AI32" s="63"/>
      <c r="AJ32" s="63"/>
      <c r="AK32" s="63"/>
      <c r="AL32" s="63"/>
      <c r="AM32" s="63"/>
    </row>
    <row r="33" spans="1:41" ht="13.5" customHeight="1" x14ac:dyDescent="0.25">
      <c r="A33" s="148"/>
      <c r="B33" s="147"/>
      <c r="C33" s="146"/>
      <c r="D33" s="61"/>
      <c r="E33" s="62"/>
      <c r="F33" s="63"/>
      <c r="G33" s="63"/>
      <c r="H33" s="63"/>
      <c r="I33" s="63"/>
      <c r="J33" s="63"/>
      <c r="K33" s="63"/>
      <c r="L33" s="63"/>
      <c r="AE33" s="61"/>
      <c r="AF33" s="62"/>
      <c r="AG33" s="63"/>
      <c r="AH33" s="63"/>
      <c r="AI33" s="63"/>
      <c r="AJ33" s="63"/>
      <c r="AK33" s="63"/>
      <c r="AL33" s="63"/>
      <c r="AM33" s="63"/>
    </row>
    <row r="34" spans="1:41" ht="13.5" customHeight="1" x14ac:dyDescent="0.25">
      <c r="D34" s="61"/>
      <c r="E34" s="62"/>
      <c r="F34" s="63"/>
      <c r="G34" s="63"/>
      <c r="H34" s="63"/>
      <c r="I34" s="63"/>
      <c r="J34" s="63"/>
      <c r="K34" s="63"/>
      <c r="L34" s="63"/>
      <c r="AE34" s="61"/>
      <c r="AF34" s="62"/>
      <c r="AG34" s="63"/>
      <c r="AH34" s="63"/>
      <c r="AI34" s="63"/>
      <c r="AJ34" s="63"/>
      <c r="AK34" s="63"/>
      <c r="AL34" s="63"/>
      <c r="AM34" s="63"/>
    </row>
    <row r="35" spans="1:41" ht="13.5" customHeight="1" thickBot="1" x14ac:dyDescent="0.3">
      <c r="A35" s="248"/>
      <c r="B35" s="248"/>
    </row>
    <row r="36" spans="1:41" ht="19.5" customHeight="1" thickBot="1" x14ac:dyDescent="0.3">
      <c r="A36" s="169" t="s">
        <v>57</v>
      </c>
      <c r="B36" s="170"/>
      <c r="C36" s="145"/>
      <c r="D36" s="242" t="s">
        <v>74</v>
      </c>
      <c r="E36" s="243"/>
      <c r="F36" s="243"/>
      <c r="G36" s="243"/>
      <c r="H36" s="243"/>
      <c r="I36" s="243"/>
      <c r="J36" s="243"/>
      <c r="K36" s="243"/>
      <c r="L36" s="243"/>
      <c r="M36" s="243"/>
      <c r="N36" s="244"/>
      <c r="AE36" s="242" t="s">
        <v>75</v>
      </c>
      <c r="AF36" s="243"/>
      <c r="AG36" s="243"/>
      <c r="AH36" s="243"/>
      <c r="AI36" s="243"/>
      <c r="AJ36" s="243"/>
      <c r="AK36" s="243"/>
      <c r="AL36" s="243"/>
      <c r="AM36" s="243"/>
      <c r="AN36" s="243"/>
      <c r="AO36" s="244"/>
    </row>
    <row r="37" spans="1:41" ht="13.5" customHeight="1" thickBot="1" x14ac:dyDescent="0.3">
      <c r="A37" s="158" t="s">
        <v>3</v>
      </c>
      <c r="B37" s="171">
        <f>'Crop Comparison'!D28</f>
        <v>13066.688872609793</v>
      </c>
      <c r="C37" s="149"/>
      <c r="D37" s="37"/>
      <c r="E37" s="38"/>
      <c r="F37" s="39"/>
      <c r="G37" s="40"/>
      <c r="H37" s="39"/>
      <c r="I37" s="39"/>
      <c r="J37" s="39" t="s">
        <v>13</v>
      </c>
      <c r="K37" s="41"/>
      <c r="L37" s="39"/>
      <c r="M37" s="41"/>
      <c r="N37" s="39"/>
      <c r="AE37" s="37"/>
      <c r="AF37" s="38"/>
      <c r="AG37" s="39"/>
      <c r="AH37" s="40"/>
      <c r="AI37" s="39"/>
      <c r="AJ37" s="39"/>
      <c r="AK37" s="39" t="s">
        <v>13</v>
      </c>
      <c r="AL37" s="41"/>
      <c r="AM37" s="39"/>
      <c r="AN37" s="41"/>
      <c r="AO37" s="39"/>
    </row>
    <row r="38" spans="1:41" ht="13.5" customHeight="1" thickBot="1" x14ac:dyDescent="0.3">
      <c r="A38" s="158" t="s">
        <v>5</v>
      </c>
      <c r="B38" s="171">
        <f>'Crop Comparison'!D30</f>
        <v>2149.16</v>
      </c>
      <c r="C38" s="149"/>
      <c r="D38" s="242" t="s">
        <v>6</v>
      </c>
      <c r="E38" s="244"/>
      <c r="F38" s="42">
        <f>G38-200</f>
        <v>6600</v>
      </c>
      <c r="G38" s="42">
        <f>H38-200</f>
        <v>6800</v>
      </c>
      <c r="H38" s="42">
        <f>I38-200</f>
        <v>7000</v>
      </c>
      <c r="I38" s="42">
        <f>J38-200</f>
        <v>7200</v>
      </c>
      <c r="J38" s="43">
        <f>B43</f>
        <v>7400</v>
      </c>
      <c r="K38" s="42">
        <f>J38+200</f>
        <v>7600</v>
      </c>
      <c r="L38" s="42">
        <f>K38+200</f>
        <v>7800</v>
      </c>
      <c r="M38" s="42">
        <f>L38+200</f>
        <v>8000</v>
      </c>
      <c r="N38" s="42">
        <f>M38+200</f>
        <v>8200</v>
      </c>
      <c r="AE38" s="242" t="s">
        <v>6</v>
      </c>
      <c r="AF38" s="244"/>
      <c r="AG38" s="42">
        <f>AH38-200</f>
        <v>6600</v>
      </c>
      <c r="AH38" s="42">
        <f>AI38-200</f>
        <v>6800</v>
      </c>
      <c r="AI38" s="42">
        <f>AJ38-200</f>
        <v>7000</v>
      </c>
      <c r="AJ38" s="42">
        <f>AK38-200</f>
        <v>7200</v>
      </c>
      <c r="AK38" s="39">
        <f>J38</f>
        <v>7400</v>
      </c>
      <c r="AL38" s="42">
        <f>AK38+200</f>
        <v>7600</v>
      </c>
      <c r="AM38" s="42">
        <f>AL38+200</f>
        <v>7800</v>
      </c>
      <c r="AN38" s="42">
        <f>AM38+200</f>
        <v>8000</v>
      </c>
      <c r="AO38" s="42">
        <f>AN38+200</f>
        <v>8200</v>
      </c>
    </row>
    <row r="39" spans="1:41" ht="13.5" customHeight="1" thickBot="1" x14ac:dyDescent="0.3">
      <c r="A39" s="159" t="s">
        <v>7</v>
      </c>
      <c r="B39" s="172">
        <f>B38+B37</f>
        <v>15215.848872609793</v>
      </c>
      <c r="C39" s="150"/>
      <c r="D39" s="245" t="s">
        <v>8</v>
      </c>
      <c r="E39" s="246"/>
      <c r="F39" s="64">
        <f t="shared" ref="F39:N39" si="29">F38-$B$44</f>
        <v>6388</v>
      </c>
      <c r="G39" s="44">
        <f t="shared" si="29"/>
        <v>6588</v>
      </c>
      <c r="H39" s="44">
        <f t="shared" si="29"/>
        <v>6788</v>
      </c>
      <c r="I39" s="44">
        <f t="shared" si="29"/>
        <v>6988</v>
      </c>
      <c r="J39" s="46">
        <f t="shared" si="29"/>
        <v>7188</v>
      </c>
      <c r="K39" s="44">
        <f t="shared" si="29"/>
        <v>7388</v>
      </c>
      <c r="L39" s="44">
        <f t="shared" si="29"/>
        <v>7588</v>
      </c>
      <c r="M39" s="44">
        <f t="shared" si="29"/>
        <v>7788</v>
      </c>
      <c r="N39" s="44">
        <f t="shared" si="29"/>
        <v>7988</v>
      </c>
      <c r="AE39" s="245" t="s">
        <v>8</v>
      </c>
      <c r="AF39" s="246"/>
      <c r="AG39" s="44">
        <f t="shared" ref="AG39:AO39" si="30">AG38-$B$44</f>
        <v>6388</v>
      </c>
      <c r="AH39" s="44">
        <f t="shared" si="30"/>
        <v>6588</v>
      </c>
      <c r="AI39" s="44">
        <f t="shared" si="30"/>
        <v>6788</v>
      </c>
      <c r="AJ39" s="44">
        <f t="shared" si="30"/>
        <v>6988</v>
      </c>
      <c r="AK39" s="46">
        <f t="shared" si="30"/>
        <v>7188</v>
      </c>
      <c r="AL39" s="44">
        <f t="shared" si="30"/>
        <v>7388</v>
      </c>
      <c r="AM39" s="44">
        <f t="shared" si="30"/>
        <v>7588</v>
      </c>
      <c r="AN39" s="44">
        <f t="shared" si="30"/>
        <v>7788</v>
      </c>
      <c r="AO39" s="44">
        <f t="shared" si="30"/>
        <v>7988</v>
      </c>
    </row>
    <row r="40" spans="1:41" ht="13.5" customHeight="1" thickBot="1" x14ac:dyDescent="0.3">
      <c r="A40" s="158"/>
      <c r="B40" s="146"/>
      <c r="C40" s="151"/>
      <c r="D40" s="239" t="s">
        <v>9</v>
      </c>
      <c r="E40" s="47">
        <f>E41-0.25</f>
        <v>1.25</v>
      </c>
      <c r="F40" s="48">
        <f>F$39-($B$39/$E40)</f>
        <v>-5784.6790980878341</v>
      </c>
      <c r="G40" s="49">
        <f t="shared" ref="F40:N44" si="31">G$39-($B$39/$E40)</f>
        <v>-5584.6790980878341</v>
      </c>
      <c r="H40" s="49">
        <f t="shared" si="31"/>
        <v>-5384.6790980878341</v>
      </c>
      <c r="I40" s="49">
        <f t="shared" si="31"/>
        <v>-5184.6790980878341</v>
      </c>
      <c r="J40" s="49">
        <f t="shared" si="31"/>
        <v>-4984.6790980878341</v>
      </c>
      <c r="K40" s="49">
        <f t="shared" si="31"/>
        <v>-4784.6790980878341</v>
      </c>
      <c r="L40" s="49">
        <f t="shared" si="31"/>
        <v>-4584.6790980878341</v>
      </c>
      <c r="M40" s="50">
        <f t="shared" si="31"/>
        <v>-4384.6790980878341</v>
      </c>
      <c r="N40" s="51">
        <f t="shared" si="31"/>
        <v>-4184.6790980878341</v>
      </c>
      <c r="AE40" s="239" t="s">
        <v>9</v>
      </c>
      <c r="AF40" s="47">
        <f>AF41-0.25</f>
        <v>1.25</v>
      </c>
      <c r="AG40" s="48">
        <f>AG$39-($B$37/$E40)</f>
        <v>-4065.3510980878345</v>
      </c>
      <c r="AH40" s="48">
        <f t="shared" ref="AH40:AO40" si="32">AH$39-($B$37/$E40)</f>
        <v>-3865.3510980878345</v>
      </c>
      <c r="AI40" s="48">
        <f t="shared" si="32"/>
        <v>-3665.3510980878345</v>
      </c>
      <c r="AJ40" s="48">
        <f t="shared" si="32"/>
        <v>-3465.3510980878345</v>
      </c>
      <c r="AK40" s="48">
        <f t="shared" si="32"/>
        <v>-3265.3510980878345</v>
      </c>
      <c r="AL40" s="48">
        <f t="shared" si="32"/>
        <v>-3065.3510980878345</v>
      </c>
      <c r="AM40" s="48">
        <f t="shared" si="32"/>
        <v>-2865.3510980878345</v>
      </c>
      <c r="AN40" s="48">
        <f t="shared" si="32"/>
        <v>-2665.3510980878345</v>
      </c>
      <c r="AO40" s="48">
        <f t="shared" si="32"/>
        <v>-2465.3510980878345</v>
      </c>
    </row>
    <row r="41" spans="1:41" ht="13.5" customHeight="1" thickBot="1" x14ac:dyDescent="0.3">
      <c r="A41" s="158" t="s">
        <v>10</v>
      </c>
      <c r="B41" s="160">
        <v>1.75</v>
      </c>
      <c r="C41" s="152"/>
      <c r="D41" s="240"/>
      <c r="E41" s="47">
        <f>E42-0.25</f>
        <v>1.5</v>
      </c>
      <c r="F41" s="52">
        <f t="shared" si="31"/>
        <v>-3755.8992484065293</v>
      </c>
      <c r="G41" s="53">
        <f t="shared" si="31"/>
        <v>-3555.8992484065293</v>
      </c>
      <c r="H41" s="53">
        <f t="shared" si="31"/>
        <v>-3355.8992484065293</v>
      </c>
      <c r="I41" s="53">
        <f t="shared" si="31"/>
        <v>-3155.8992484065293</v>
      </c>
      <c r="J41" s="53">
        <f t="shared" si="31"/>
        <v>-2955.8992484065293</v>
      </c>
      <c r="K41" s="54">
        <f t="shared" si="31"/>
        <v>-2755.8992484065293</v>
      </c>
      <c r="L41" s="54">
        <f t="shared" si="31"/>
        <v>-2555.8992484065293</v>
      </c>
      <c r="M41" s="54">
        <f t="shared" si="31"/>
        <v>-2355.8992484065293</v>
      </c>
      <c r="N41" s="55">
        <f t="shared" si="31"/>
        <v>-2155.8992484065293</v>
      </c>
      <c r="AE41" s="240"/>
      <c r="AF41" s="47">
        <f>AF42-0.25</f>
        <v>1.5</v>
      </c>
      <c r="AG41" s="48">
        <f t="shared" ref="AG41:AO44" si="33">AG$39-($B$37/$E41)</f>
        <v>-2323.1259150731948</v>
      </c>
      <c r="AH41" s="48">
        <f t="shared" si="33"/>
        <v>-2123.1259150731948</v>
      </c>
      <c r="AI41" s="48">
        <f t="shared" si="33"/>
        <v>-1923.1259150731948</v>
      </c>
      <c r="AJ41" s="48">
        <f t="shared" si="33"/>
        <v>-1723.1259150731948</v>
      </c>
      <c r="AK41" s="48">
        <f t="shared" si="33"/>
        <v>-1523.1259150731948</v>
      </c>
      <c r="AL41" s="48">
        <f t="shared" si="33"/>
        <v>-1323.1259150731948</v>
      </c>
      <c r="AM41" s="48">
        <f t="shared" si="33"/>
        <v>-1123.1259150731948</v>
      </c>
      <c r="AN41" s="48">
        <f t="shared" si="33"/>
        <v>-923.12591507319485</v>
      </c>
      <c r="AO41" s="48">
        <f t="shared" si="33"/>
        <v>-723.12591507319485</v>
      </c>
    </row>
    <row r="42" spans="1:41" ht="13.5" customHeight="1" thickBot="1" x14ac:dyDescent="0.3">
      <c r="A42" s="158"/>
      <c r="B42" s="146"/>
      <c r="C42" s="151"/>
      <c r="D42" s="240"/>
      <c r="E42" s="225">
        <f>B41</f>
        <v>1.75</v>
      </c>
      <c r="F42" s="52">
        <f t="shared" si="31"/>
        <v>-2306.7707843484532</v>
      </c>
      <c r="G42" s="53">
        <f t="shared" si="31"/>
        <v>-2106.7707843484532</v>
      </c>
      <c r="H42" s="53">
        <f t="shared" si="31"/>
        <v>-1906.7707843484532</v>
      </c>
      <c r="I42" s="53">
        <f t="shared" si="31"/>
        <v>-1706.7707843484532</v>
      </c>
      <c r="J42" s="54">
        <f t="shared" si="31"/>
        <v>-1506.7707843484532</v>
      </c>
      <c r="K42" s="54">
        <f t="shared" si="31"/>
        <v>-1306.7707843484532</v>
      </c>
      <c r="L42" s="54">
        <f t="shared" si="31"/>
        <v>-1106.7707843484532</v>
      </c>
      <c r="M42" s="54">
        <f t="shared" si="31"/>
        <v>-906.77078434845316</v>
      </c>
      <c r="N42" s="55">
        <f t="shared" si="31"/>
        <v>-706.77078434845316</v>
      </c>
      <c r="AE42" s="240"/>
      <c r="AF42" s="56">
        <f>E42</f>
        <v>1.75</v>
      </c>
      <c r="AG42" s="48">
        <f>AG$39-($B$37/$E42)</f>
        <v>-1078.6793557770243</v>
      </c>
      <c r="AH42" s="48">
        <f t="shared" si="33"/>
        <v>-878.67935577702428</v>
      </c>
      <c r="AI42" s="48">
        <f t="shared" si="33"/>
        <v>-678.67935577702428</v>
      </c>
      <c r="AJ42" s="48">
        <f t="shared" si="33"/>
        <v>-478.67935577702428</v>
      </c>
      <c r="AK42" s="48">
        <f t="shared" si="33"/>
        <v>-278.67935577702428</v>
      </c>
      <c r="AL42" s="48">
        <f t="shared" si="33"/>
        <v>-78.679355777024284</v>
      </c>
      <c r="AM42" s="48">
        <f t="shared" si="33"/>
        <v>121.32064422297572</v>
      </c>
      <c r="AN42" s="48">
        <f t="shared" si="33"/>
        <v>321.32064422297572</v>
      </c>
      <c r="AO42" s="48">
        <f t="shared" si="33"/>
        <v>521.32064422297572</v>
      </c>
    </row>
    <row r="43" spans="1:41" ht="13.5" customHeight="1" thickBot="1" x14ac:dyDescent="0.3">
      <c r="A43" s="158" t="s">
        <v>114</v>
      </c>
      <c r="B43" s="171">
        <f>B5</f>
        <v>7400</v>
      </c>
      <c r="C43" s="151"/>
      <c r="D43" s="240"/>
      <c r="E43" s="47">
        <f>E42+0.25</f>
        <v>2</v>
      </c>
      <c r="F43" s="52">
        <f t="shared" si="31"/>
        <v>-1219.9244363048965</v>
      </c>
      <c r="G43" s="53">
        <f t="shared" si="31"/>
        <v>-1019.9244363048965</v>
      </c>
      <c r="H43" s="53">
        <f t="shared" si="31"/>
        <v>-819.92443630489652</v>
      </c>
      <c r="I43" s="54">
        <f t="shared" si="31"/>
        <v>-619.92443630489652</v>
      </c>
      <c r="J43" s="54">
        <f t="shared" si="31"/>
        <v>-419.92443630489652</v>
      </c>
      <c r="K43" s="54">
        <f t="shared" si="31"/>
        <v>-219.92443630489652</v>
      </c>
      <c r="L43" s="54">
        <f t="shared" si="31"/>
        <v>-19.924436304896517</v>
      </c>
      <c r="M43" s="54">
        <f t="shared" si="31"/>
        <v>180.07556369510348</v>
      </c>
      <c r="N43" s="55">
        <f t="shared" si="31"/>
        <v>380.07556369510348</v>
      </c>
      <c r="AE43" s="240"/>
      <c r="AF43" s="47">
        <f>AF42+0.25</f>
        <v>2</v>
      </c>
      <c r="AG43" s="48">
        <f t="shared" si="33"/>
        <v>-145.34443630489659</v>
      </c>
      <c r="AH43" s="48">
        <f t="shared" si="33"/>
        <v>54.65556369510341</v>
      </c>
      <c r="AI43" s="48">
        <f t="shared" si="33"/>
        <v>254.65556369510341</v>
      </c>
      <c r="AJ43" s="48">
        <f t="shared" si="33"/>
        <v>454.65556369510341</v>
      </c>
      <c r="AK43" s="48">
        <f t="shared" si="33"/>
        <v>654.65556369510341</v>
      </c>
      <c r="AL43" s="48">
        <f t="shared" si="33"/>
        <v>854.65556369510341</v>
      </c>
      <c r="AM43" s="48">
        <f t="shared" si="33"/>
        <v>1054.6555636951034</v>
      </c>
      <c r="AN43" s="48">
        <f t="shared" si="33"/>
        <v>1254.6555636951034</v>
      </c>
      <c r="AO43" s="48">
        <f t="shared" si="33"/>
        <v>1454.6555636951034</v>
      </c>
    </row>
    <row r="44" spans="1:41" ht="13.5" customHeight="1" thickBot="1" x14ac:dyDescent="0.3">
      <c r="A44" s="161" t="s">
        <v>11</v>
      </c>
      <c r="B44" s="171">
        <f>Sojabone!F33</f>
        <v>212</v>
      </c>
      <c r="C44" s="153"/>
      <c r="D44" s="241"/>
      <c r="E44" s="47">
        <f>E43+0.25</f>
        <v>2.25</v>
      </c>
      <c r="F44" s="57">
        <f t="shared" si="31"/>
        <v>-374.59949893768589</v>
      </c>
      <c r="G44" s="58">
        <f>G$39-($B$39/$E44)</f>
        <v>-174.59949893768589</v>
      </c>
      <c r="H44" s="59">
        <f t="shared" si="31"/>
        <v>25.400501062314106</v>
      </c>
      <c r="I44" s="59">
        <f t="shared" si="31"/>
        <v>225.40050106231411</v>
      </c>
      <c r="J44" s="59">
        <f t="shared" si="31"/>
        <v>425.40050106231411</v>
      </c>
      <c r="K44" s="59">
        <f t="shared" si="31"/>
        <v>625.40050106231411</v>
      </c>
      <c r="L44" s="59">
        <f t="shared" si="31"/>
        <v>825.40050106231411</v>
      </c>
      <c r="M44" s="59">
        <f>M$39-($B$39/$E44)</f>
        <v>1025.4005010623141</v>
      </c>
      <c r="N44" s="60">
        <f>N$39-($B$39/$E44)</f>
        <v>1225.4005010623141</v>
      </c>
      <c r="AE44" s="241"/>
      <c r="AF44" s="47">
        <f>AF43+0.25</f>
        <v>2.25</v>
      </c>
      <c r="AG44" s="48">
        <f t="shared" si="33"/>
        <v>580.58272328453677</v>
      </c>
      <c r="AH44" s="48">
        <f>AH$39-($B$37/$E44)</f>
        <v>780.58272328453677</v>
      </c>
      <c r="AI44" s="48">
        <f t="shared" si="33"/>
        <v>980.58272328453677</v>
      </c>
      <c r="AJ44" s="48">
        <f t="shared" si="33"/>
        <v>1180.5827232845368</v>
      </c>
      <c r="AK44" s="48">
        <f t="shared" si="33"/>
        <v>1380.5827232845368</v>
      </c>
      <c r="AL44" s="48">
        <f t="shared" si="33"/>
        <v>1580.5827232845368</v>
      </c>
      <c r="AM44" s="48">
        <f t="shared" si="33"/>
        <v>1780.5827232845368</v>
      </c>
      <c r="AN44" s="48">
        <f t="shared" si="33"/>
        <v>1980.5827232845368</v>
      </c>
      <c r="AO44" s="48">
        <f t="shared" si="33"/>
        <v>2180.5827232845368</v>
      </c>
    </row>
    <row r="45" spans="1:41" ht="13.5" customHeight="1" x14ac:dyDescent="0.25">
      <c r="A45" s="148" t="s">
        <v>12</v>
      </c>
      <c r="B45" s="172">
        <f>B43-B44</f>
        <v>7188</v>
      </c>
      <c r="C45" s="153"/>
    </row>
    <row r="46" spans="1:41" ht="13.5" customHeight="1" x14ac:dyDescent="0.25"/>
    <row r="47" spans="1:41" ht="13.5" customHeight="1" x14ac:dyDescent="0.25"/>
    <row r="48" spans="1:41" ht="31.5" customHeight="1" thickBot="1" x14ac:dyDescent="0.3">
      <c r="A48" s="238"/>
      <c r="B48" s="238"/>
    </row>
    <row r="49" spans="1:41" ht="19.5" customHeight="1" thickBot="1" x14ac:dyDescent="0.3">
      <c r="A49" s="169" t="s">
        <v>58</v>
      </c>
      <c r="B49" s="170"/>
      <c r="C49" s="145"/>
      <c r="D49" s="242" t="s">
        <v>74</v>
      </c>
      <c r="E49" s="243"/>
      <c r="F49" s="243"/>
      <c r="G49" s="243"/>
      <c r="H49" s="243"/>
      <c r="I49" s="243"/>
      <c r="J49" s="243"/>
      <c r="K49" s="243"/>
      <c r="L49" s="243"/>
      <c r="M49" s="243"/>
      <c r="N49" s="244"/>
      <c r="AE49" s="242" t="s">
        <v>75</v>
      </c>
      <c r="AF49" s="243"/>
      <c r="AG49" s="243"/>
      <c r="AH49" s="243"/>
      <c r="AI49" s="243"/>
      <c r="AJ49" s="243"/>
      <c r="AK49" s="243"/>
      <c r="AL49" s="243"/>
      <c r="AM49" s="243"/>
      <c r="AN49" s="243"/>
      <c r="AO49" s="244"/>
    </row>
    <row r="50" spans="1:41" ht="13.5" customHeight="1" thickBot="1" x14ac:dyDescent="0.3">
      <c r="A50" s="158" t="s">
        <v>3</v>
      </c>
      <c r="B50" s="171">
        <f>'Sojabone Vermin bewerk'!F25</f>
        <v>11143.227522175379</v>
      </c>
      <c r="C50" s="149"/>
      <c r="D50" s="37"/>
      <c r="E50" s="38"/>
      <c r="F50" s="39"/>
      <c r="G50" s="40"/>
      <c r="H50" s="39"/>
      <c r="I50" s="39"/>
      <c r="J50" s="39" t="s">
        <v>13</v>
      </c>
      <c r="K50" s="41"/>
      <c r="L50" s="39"/>
      <c r="M50" s="41"/>
      <c r="N50" s="39"/>
      <c r="AE50" s="37"/>
      <c r="AF50" s="38"/>
      <c r="AG50" s="39"/>
      <c r="AH50" s="40"/>
      <c r="AI50" s="39"/>
      <c r="AJ50" s="39"/>
      <c r="AK50" s="39" t="s">
        <v>13</v>
      </c>
      <c r="AL50" s="41"/>
      <c r="AM50" s="39"/>
      <c r="AN50" s="41"/>
      <c r="AO50" s="39"/>
    </row>
    <row r="51" spans="1:41" ht="13.5" customHeight="1" thickBot="1" x14ac:dyDescent="0.3">
      <c r="A51" s="158" t="s">
        <v>5</v>
      </c>
      <c r="B51" s="171">
        <f>'Sojabone Vermin bewerk'!F27</f>
        <v>1696.3100000000002</v>
      </c>
      <c r="C51" s="149"/>
      <c r="D51" s="242" t="s">
        <v>6</v>
      </c>
      <c r="E51" s="244"/>
      <c r="F51" s="42">
        <f>G51-200</f>
        <v>6600</v>
      </c>
      <c r="G51" s="42">
        <f>H51-200</f>
        <v>6800</v>
      </c>
      <c r="H51" s="42">
        <f>I51-200</f>
        <v>7000</v>
      </c>
      <c r="I51" s="42">
        <f>J51-200</f>
        <v>7200</v>
      </c>
      <c r="J51" s="43">
        <f>B56</f>
        <v>7400</v>
      </c>
      <c r="K51" s="42">
        <f>J51+200</f>
        <v>7600</v>
      </c>
      <c r="L51" s="42">
        <f>K51+200</f>
        <v>7800</v>
      </c>
      <c r="M51" s="42">
        <f>L51+200</f>
        <v>8000</v>
      </c>
      <c r="N51" s="42">
        <f>M51+200</f>
        <v>8200</v>
      </c>
      <c r="AE51" s="242" t="s">
        <v>6</v>
      </c>
      <c r="AF51" s="244"/>
      <c r="AG51" s="42">
        <f>AH51-200</f>
        <v>6600</v>
      </c>
      <c r="AH51" s="42">
        <f>AI51-200</f>
        <v>6800</v>
      </c>
      <c r="AI51" s="42">
        <f>AJ51-200</f>
        <v>7000</v>
      </c>
      <c r="AJ51" s="42">
        <f>AK51-200</f>
        <v>7200</v>
      </c>
      <c r="AK51" s="43">
        <f>J51</f>
        <v>7400</v>
      </c>
      <c r="AL51" s="42">
        <f>AK51+200</f>
        <v>7600</v>
      </c>
      <c r="AM51" s="42">
        <f>AL51+200</f>
        <v>7800</v>
      </c>
      <c r="AN51" s="42">
        <f>AM51+200</f>
        <v>8000</v>
      </c>
      <c r="AO51" s="42">
        <f>AN51+200</f>
        <v>8200</v>
      </c>
    </row>
    <row r="52" spans="1:41" ht="13.5" customHeight="1" thickBot="1" x14ac:dyDescent="0.3">
      <c r="A52" s="159" t="s">
        <v>7</v>
      </c>
      <c r="B52" s="172">
        <f>B51+B50</f>
        <v>12839.537522175378</v>
      </c>
      <c r="C52" s="150"/>
      <c r="D52" s="245" t="s">
        <v>8</v>
      </c>
      <c r="E52" s="246"/>
      <c r="F52" s="64">
        <f>F51-$B$44</f>
        <v>6388</v>
      </c>
      <c r="G52" s="44">
        <f t="shared" ref="G52:N52" si="34">G51-$B$44</f>
        <v>6588</v>
      </c>
      <c r="H52" s="44">
        <f t="shared" si="34"/>
        <v>6788</v>
      </c>
      <c r="I52" s="44">
        <f t="shared" si="34"/>
        <v>6988</v>
      </c>
      <c r="J52" s="46">
        <f t="shared" si="34"/>
        <v>7188</v>
      </c>
      <c r="K52" s="44">
        <f t="shared" si="34"/>
        <v>7388</v>
      </c>
      <c r="L52" s="44">
        <f t="shared" si="34"/>
        <v>7588</v>
      </c>
      <c r="M52" s="44">
        <f t="shared" si="34"/>
        <v>7788</v>
      </c>
      <c r="N52" s="44">
        <f t="shared" si="34"/>
        <v>7988</v>
      </c>
      <c r="AE52" s="245" t="s">
        <v>8</v>
      </c>
      <c r="AF52" s="246"/>
      <c r="AG52" s="44">
        <f t="shared" ref="AG52:AO52" si="35">AG51-$B$44</f>
        <v>6388</v>
      </c>
      <c r="AH52" s="44">
        <f t="shared" si="35"/>
        <v>6588</v>
      </c>
      <c r="AI52" s="44">
        <f t="shared" si="35"/>
        <v>6788</v>
      </c>
      <c r="AJ52" s="44">
        <f t="shared" si="35"/>
        <v>6988</v>
      </c>
      <c r="AK52" s="91">
        <f>AK51-$B$44</f>
        <v>7188</v>
      </c>
      <c r="AL52" s="44">
        <f t="shared" si="35"/>
        <v>7388</v>
      </c>
      <c r="AM52" s="44">
        <f t="shared" si="35"/>
        <v>7588</v>
      </c>
      <c r="AN52" s="44">
        <f t="shared" si="35"/>
        <v>7788</v>
      </c>
      <c r="AO52" s="44">
        <f t="shared" si="35"/>
        <v>7988</v>
      </c>
    </row>
    <row r="53" spans="1:41" ht="13.5" customHeight="1" thickBot="1" x14ac:dyDescent="0.3">
      <c r="A53" s="158"/>
      <c r="B53" s="146"/>
      <c r="C53" s="151"/>
      <c r="D53" s="239" t="s">
        <v>9</v>
      </c>
      <c r="E53" s="47">
        <f>E54-0.25</f>
        <v>1.5</v>
      </c>
      <c r="F53" s="48">
        <f>F$39-($B$52/$E53)</f>
        <v>-2171.6916814502529</v>
      </c>
      <c r="G53" s="48">
        <f t="shared" ref="G53:N57" si="36">G$39-($B$52/$E53)</f>
        <v>-1971.6916814502529</v>
      </c>
      <c r="H53" s="48">
        <f t="shared" si="36"/>
        <v>-1771.6916814502529</v>
      </c>
      <c r="I53" s="48">
        <f t="shared" si="36"/>
        <v>-1571.6916814502529</v>
      </c>
      <c r="J53" s="48">
        <f t="shared" si="36"/>
        <v>-1371.6916814502529</v>
      </c>
      <c r="K53" s="48">
        <f t="shared" si="36"/>
        <v>-1171.6916814502529</v>
      </c>
      <c r="L53" s="48">
        <f t="shared" si="36"/>
        <v>-971.69168145025287</v>
      </c>
      <c r="M53" s="48">
        <f t="shared" si="36"/>
        <v>-771.69168145025287</v>
      </c>
      <c r="N53" s="48">
        <f t="shared" si="36"/>
        <v>-571.69168145025287</v>
      </c>
      <c r="AE53" s="239" t="s">
        <v>9</v>
      </c>
      <c r="AF53" s="47">
        <f>AF54-0.25</f>
        <v>1.5</v>
      </c>
      <c r="AG53" s="48">
        <f>AG$39-($B$50/$E53)</f>
        <v>-1040.818348116919</v>
      </c>
      <c r="AH53" s="48">
        <f t="shared" ref="AH53:AO57" si="37">AH$39-($B$50/$E53)</f>
        <v>-840.81834811691897</v>
      </c>
      <c r="AI53" s="48">
        <f t="shared" si="37"/>
        <v>-640.81834811691897</v>
      </c>
      <c r="AJ53" s="48">
        <f t="shared" si="37"/>
        <v>-440.81834811691897</v>
      </c>
      <c r="AK53" s="48">
        <f t="shared" si="37"/>
        <v>-240.81834811691897</v>
      </c>
      <c r="AL53" s="48">
        <f t="shared" si="37"/>
        <v>-40.818348116918969</v>
      </c>
      <c r="AM53" s="48">
        <f t="shared" si="37"/>
        <v>159.18165188308103</v>
      </c>
      <c r="AN53" s="48">
        <f t="shared" si="37"/>
        <v>359.18165188308103</v>
      </c>
      <c r="AO53" s="48">
        <f t="shared" si="37"/>
        <v>559.18165188308103</v>
      </c>
    </row>
    <row r="54" spans="1:41" ht="13.5" customHeight="1" thickBot="1" x14ac:dyDescent="0.3">
      <c r="A54" s="158" t="s">
        <v>10</v>
      </c>
      <c r="B54" s="160">
        <f>'Sojabone verminderde bewerking'!F5</f>
        <v>2</v>
      </c>
      <c r="C54" s="152"/>
      <c r="D54" s="240"/>
      <c r="E54" s="47">
        <f>E55-0.25</f>
        <v>1.75</v>
      </c>
      <c r="F54" s="48">
        <f>F$39-($B$52/$E54)</f>
        <v>-948.87858410021636</v>
      </c>
      <c r="G54" s="48">
        <f t="shared" si="36"/>
        <v>-748.87858410021636</v>
      </c>
      <c r="H54" s="48">
        <f t="shared" si="36"/>
        <v>-548.87858410021636</v>
      </c>
      <c r="I54" s="48">
        <f t="shared" si="36"/>
        <v>-348.87858410021636</v>
      </c>
      <c r="J54" s="48">
        <f t="shared" si="36"/>
        <v>-148.87858410021636</v>
      </c>
      <c r="K54" s="48">
        <f t="shared" si="36"/>
        <v>51.121415899783642</v>
      </c>
      <c r="L54" s="48">
        <f t="shared" si="36"/>
        <v>251.12141589978364</v>
      </c>
      <c r="M54" s="48">
        <f t="shared" si="36"/>
        <v>451.12141589978364</v>
      </c>
      <c r="N54" s="48">
        <f t="shared" si="36"/>
        <v>651.12141589978364</v>
      </c>
      <c r="AE54" s="240"/>
      <c r="AF54" s="47">
        <f>AF55-0.25</f>
        <v>1.75</v>
      </c>
      <c r="AG54" s="48">
        <f>AG$39-($B$50/$E54)</f>
        <v>20.441415899783351</v>
      </c>
      <c r="AH54" s="48">
        <f t="shared" si="37"/>
        <v>220.44141589978335</v>
      </c>
      <c r="AI54" s="48">
        <f t="shared" si="37"/>
        <v>420.44141589978335</v>
      </c>
      <c r="AJ54" s="48">
        <f t="shared" si="37"/>
        <v>620.44141589978335</v>
      </c>
      <c r="AK54" s="48">
        <f t="shared" si="37"/>
        <v>820.44141589978335</v>
      </c>
      <c r="AL54" s="48">
        <f t="shared" si="37"/>
        <v>1020.4414158997834</v>
      </c>
      <c r="AM54" s="48">
        <f t="shared" si="37"/>
        <v>1220.4414158997834</v>
      </c>
      <c r="AN54" s="48">
        <f t="shared" si="37"/>
        <v>1420.4414158997834</v>
      </c>
      <c r="AO54" s="48">
        <f t="shared" si="37"/>
        <v>1620.4414158997834</v>
      </c>
    </row>
    <row r="55" spans="1:41" ht="13.5" customHeight="1" thickBot="1" x14ac:dyDescent="0.3">
      <c r="A55" s="158"/>
      <c r="B55" s="146"/>
      <c r="C55" s="151"/>
      <c r="D55" s="240"/>
      <c r="E55" s="56">
        <f>B54</f>
        <v>2</v>
      </c>
      <c r="F55" s="48">
        <f>F$39-($B$52/$E55)</f>
        <v>-31.768761087689199</v>
      </c>
      <c r="G55" s="48">
        <f t="shared" si="36"/>
        <v>168.2312389123108</v>
      </c>
      <c r="H55" s="48">
        <f t="shared" si="36"/>
        <v>368.2312389123108</v>
      </c>
      <c r="I55" s="48">
        <f t="shared" si="36"/>
        <v>568.2312389123108</v>
      </c>
      <c r="J55" s="48">
        <f t="shared" si="36"/>
        <v>768.2312389123108</v>
      </c>
      <c r="K55" s="48">
        <f t="shared" si="36"/>
        <v>968.2312389123108</v>
      </c>
      <c r="L55" s="48">
        <f t="shared" si="36"/>
        <v>1168.2312389123108</v>
      </c>
      <c r="M55" s="48">
        <f t="shared" si="36"/>
        <v>1368.2312389123108</v>
      </c>
      <c r="N55" s="48">
        <f t="shared" si="36"/>
        <v>1568.2312389123108</v>
      </c>
      <c r="AE55" s="240"/>
      <c r="AF55" s="56">
        <f>E55</f>
        <v>2</v>
      </c>
      <c r="AG55" s="48">
        <f>AG$39-($B$50/$E55)</f>
        <v>816.38623891231055</v>
      </c>
      <c r="AH55" s="48">
        <f t="shared" si="37"/>
        <v>1016.3862389123105</v>
      </c>
      <c r="AI55" s="48">
        <f t="shared" si="37"/>
        <v>1216.3862389123105</v>
      </c>
      <c r="AJ55" s="48">
        <f t="shared" si="37"/>
        <v>1416.3862389123105</v>
      </c>
      <c r="AK55" s="48">
        <f t="shared" si="37"/>
        <v>1616.3862389123105</v>
      </c>
      <c r="AL55" s="48">
        <f t="shared" si="37"/>
        <v>1816.3862389123105</v>
      </c>
      <c r="AM55" s="48">
        <f t="shared" si="37"/>
        <v>2016.3862389123105</v>
      </c>
      <c r="AN55" s="48">
        <f t="shared" si="37"/>
        <v>2216.3862389123105</v>
      </c>
      <c r="AO55" s="48">
        <f t="shared" si="37"/>
        <v>2416.3862389123105</v>
      </c>
    </row>
    <row r="56" spans="1:41" ht="13.5" customHeight="1" thickBot="1" x14ac:dyDescent="0.3">
      <c r="A56" s="158" t="s">
        <v>115</v>
      </c>
      <c r="B56" s="171">
        <f>B5</f>
        <v>7400</v>
      </c>
      <c r="C56" s="151"/>
      <c r="D56" s="240"/>
      <c r="E56" s="47">
        <f>E55+0.25</f>
        <v>2.25</v>
      </c>
      <c r="F56" s="48">
        <f>F$39-($B$52/$E56)</f>
        <v>681.53887903316536</v>
      </c>
      <c r="G56" s="48">
        <f t="shared" si="36"/>
        <v>881.53887903316536</v>
      </c>
      <c r="H56" s="48">
        <f t="shared" si="36"/>
        <v>1081.5388790331654</v>
      </c>
      <c r="I56" s="48">
        <f t="shared" si="36"/>
        <v>1281.5388790331654</v>
      </c>
      <c r="J56" s="48">
        <f t="shared" si="36"/>
        <v>1481.5388790331654</v>
      </c>
      <c r="K56" s="48">
        <f t="shared" si="36"/>
        <v>1681.5388790331654</v>
      </c>
      <c r="L56" s="48">
        <f t="shared" si="36"/>
        <v>1881.5388790331654</v>
      </c>
      <c r="M56" s="48">
        <f t="shared" si="36"/>
        <v>2081.5388790331654</v>
      </c>
      <c r="N56" s="48">
        <f t="shared" si="36"/>
        <v>2281.5388790331654</v>
      </c>
      <c r="AE56" s="240"/>
      <c r="AF56" s="47">
        <f>AF55+0.25</f>
        <v>2.25</v>
      </c>
      <c r="AG56" s="48">
        <f>AG$39-($B$50/$E56)</f>
        <v>1435.4544345887207</v>
      </c>
      <c r="AH56" s="48">
        <f t="shared" si="37"/>
        <v>1635.4544345887207</v>
      </c>
      <c r="AI56" s="48">
        <f t="shared" si="37"/>
        <v>1835.4544345887207</v>
      </c>
      <c r="AJ56" s="48">
        <f t="shared" si="37"/>
        <v>2035.4544345887207</v>
      </c>
      <c r="AK56" s="48">
        <f t="shared" si="37"/>
        <v>2235.4544345887207</v>
      </c>
      <c r="AL56" s="48">
        <f t="shared" si="37"/>
        <v>2435.4544345887207</v>
      </c>
      <c r="AM56" s="48">
        <f t="shared" si="37"/>
        <v>2635.4544345887207</v>
      </c>
      <c r="AN56" s="48">
        <f t="shared" si="37"/>
        <v>2835.4544345887207</v>
      </c>
      <c r="AO56" s="48">
        <f t="shared" si="37"/>
        <v>3035.4544345887207</v>
      </c>
    </row>
    <row r="57" spans="1:41" ht="13.5" customHeight="1" thickBot="1" x14ac:dyDescent="0.3">
      <c r="A57" s="161" t="s">
        <v>11</v>
      </c>
      <c r="B57" s="171">
        <f>'Sojabone verminderde bewerking'!F33</f>
        <v>212</v>
      </c>
      <c r="C57" s="153"/>
      <c r="D57" s="241"/>
      <c r="E57" s="47">
        <f>E56+0.25</f>
        <v>2.5</v>
      </c>
      <c r="F57" s="48">
        <f>F$39-($B$52/$E57)</f>
        <v>1252.1849911298486</v>
      </c>
      <c r="G57" s="48">
        <f>G$39-($B$52/$E57)</f>
        <v>1452.1849911298486</v>
      </c>
      <c r="H57" s="48">
        <f t="shared" si="36"/>
        <v>1652.1849911298486</v>
      </c>
      <c r="I57" s="48">
        <f t="shared" si="36"/>
        <v>1852.1849911298486</v>
      </c>
      <c r="J57" s="48">
        <f t="shared" si="36"/>
        <v>2052.1849911298486</v>
      </c>
      <c r="K57" s="48">
        <f t="shared" si="36"/>
        <v>2252.1849911298486</v>
      </c>
      <c r="L57" s="48">
        <f t="shared" si="36"/>
        <v>2452.1849911298486</v>
      </c>
      <c r="M57" s="48">
        <f t="shared" si="36"/>
        <v>2652.1849911298486</v>
      </c>
      <c r="N57" s="48">
        <f>N$39-($B$52/$E57)</f>
        <v>2852.1849911298486</v>
      </c>
      <c r="AE57" s="241"/>
      <c r="AF57" s="47">
        <f>AF56+0.25</f>
        <v>2.5</v>
      </c>
      <c r="AG57" s="48">
        <f>AG$39-($B$50/$E57)</f>
        <v>1930.7089911298481</v>
      </c>
      <c r="AH57" s="48">
        <f>AH$39-($B$50/$E57)</f>
        <v>2130.7089911298481</v>
      </c>
      <c r="AI57" s="48">
        <f t="shared" si="37"/>
        <v>2330.7089911298481</v>
      </c>
      <c r="AJ57" s="48">
        <f t="shared" si="37"/>
        <v>2530.7089911298481</v>
      </c>
      <c r="AK57" s="48">
        <f t="shared" si="37"/>
        <v>2730.7089911298481</v>
      </c>
      <c r="AL57" s="48">
        <f t="shared" si="37"/>
        <v>2930.7089911298481</v>
      </c>
      <c r="AM57" s="48">
        <f t="shared" si="37"/>
        <v>3130.7089911298481</v>
      </c>
      <c r="AN57" s="48">
        <f t="shared" si="37"/>
        <v>3330.7089911298481</v>
      </c>
      <c r="AO57" s="48">
        <f t="shared" si="37"/>
        <v>3530.7089911298481</v>
      </c>
    </row>
    <row r="58" spans="1:41" ht="13.5" customHeight="1" x14ac:dyDescent="0.25">
      <c r="A58" s="148" t="s">
        <v>12</v>
      </c>
      <c r="B58" s="172">
        <f>B56-B57</f>
        <v>7188</v>
      </c>
      <c r="C58" s="153"/>
    </row>
    <row r="61" spans="1:41" ht="13.5" customHeight="1" thickBot="1" x14ac:dyDescent="0.3">
      <c r="A61" s="162"/>
    </row>
    <row r="62" spans="1:41" ht="19.5" customHeight="1" thickBot="1" x14ac:dyDescent="0.3">
      <c r="A62" s="169" t="s">
        <v>50</v>
      </c>
      <c r="B62" s="170"/>
      <c r="C62" s="145"/>
      <c r="D62" s="242" t="s">
        <v>76</v>
      </c>
      <c r="E62" s="243"/>
      <c r="F62" s="243"/>
      <c r="G62" s="243"/>
      <c r="H62" s="243"/>
      <c r="I62" s="243"/>
      <c r="J62" s="243"/>
      <c r="K62" s="243"/>
      <c r="L62" s="243"/>
      <c r="M62" s="243"/>
      <c r="N62" s="244"/>
      <c r="AE62" s="242" t="s">
        <v>77</v>
      </c>
      <c r="AF62" s="243"/>
      <c r="AG62" s="243"/>
      <c r="AH62" s="243"/>
      <c r="AI62" s="243"/>
      <c r="AJ62" s="243"/>
      <c r="AK62" s="243"/>
      <c r="AL62" s="243"/>
      <c r="AM62" s="243"/>
      <c r="AN62" s="243"/>
      <c r="AO62" s="244"/>
    </row>
    <row r="63" spans="1:41" ht="13.5" customHeight="1" thickBot="1" x14ac:dyDescent="0.3">
      <c r="A63" s="158" t="s">
        <v>3</v>
      </c>
      <c r="B63" s="171">
        <f>Graansorghum!E25</f>
        <v>13292.779519165859</v>
      </c>
      <c r="C63" s="149"/>
      <c r="D63" s="37"/>
      <c r="E63" s="38"/>
      <c r="F63" s="39"/>
      <c r="G63" s="40"/>
      <c r="H63" s="39"/>
      <c r="I63" s="39"/>
      <c r="J63" s="39" t="s">
        <v>13</v>
      </c>
      <c r="K63" s="41"/>
      <c r="L63" s="39"/>
      <c r="M63" s="41"/>
      <c r="N63" s="39"/>
      <c r="AE63" s="37"/>
      <c r="AF63" s="38"/>
      <c r="AG63" s="39"/>
      <c r="AH63" s="40"/>
      <c r="AI63" s="39"/>
      <c r="AJ63" s="39"/>
      <c r="AK63" s="39" t="s">
        <v>13</v>
      </c>
      <c r="AL63" s="41"/>
      <c r="AM63" s="39"/>
      <c r="AN63" s="41"/>
      <c r="AO63" s="39"/>
    </row>
    <row r="64" spans="1:41" ht="13.5" customHeight="1" thickBot="1" x14ac:dyDescent="0.3">
      <c r="A64" s="158" t="s">
        <v>5</v>
      </c>
      <c r="B64" s="171">
        <f>Graansorghum!E27</f>
        <v>2526</v>
      </c>
      <c r="C64" s="149"/>
      <c r="D64" s="242" t="s">
        <v>6</v>
      </c>
      <c r="E64" s="244"/>
      <c r="F64" s="42">
        <f>G64-200</f>
        <v>4193</v>
      </c>
      <c r="G64" s="42">
        <f>H64-200</f>
        <v>4393</v>
      </c>
      <c r="H64" s="42">
        <f>I64-200</f>
        <v>4593</v>
      </c>
      <c r="I64" s="42">
        <f>J64-200</f>
        <v>4793</v>
      </c>
      <c r="J64" s="43">
        <f>B69</f>
        <v>4993</v>
      </c>
      <c r="K64" s="42">
        <f>J64+200</f>
        <v>5193</v>
      </c>
      <c r="L64" s="42">
        <f>K64+200</f>
        <v>5393</v>
      </c>
      <c r="M64" s="42">
        <f>L64+200</f>
        <v>5593</v>
      </c>
      <c r="N64" s="42">
        <f>M64+200</f>
        <v>5793</v>
      </c>
      <c r="AE64" s="242" t="s">
        <v>6</v>
      </c>
      <c r="AF64" s="244"/>
      <c r="AG64" s="42">
        <f>AH64-200</f>
        <v>4193</v>
      </c>
      <c r="AH64" s="42">
        <f>AI64-200</f>
        <v>4393</v>
      </c>
      <c r="AI64" s="42">
        <f>AJ64-200</f>
        <v>4593</v>
      </c>
      <c r="AJ64" s="42">
        <f>AK64-200</f>
        <v>4793</v>
      </c>
      <c r="AK64" s="43">
        <f>J64</f>
        <v>4993</v>
      </c>
      <c r="AL64" s="42">
        <f>AK64+200</f>
        <v>5193</v>
      </c>
      <c r="AM64" s="42">
        <f>AL64+200</f>
        <v>5393</v>
      </c>
      <c r="AN64" s="42">
        <f>AM64+200</f>
        <v>5593</v>
      </c>
      <c r="AO64" s="42">
        <f>AN64+200</f>
        <v>5793</v>
      </c>
    </row>
    <row r="65" spans="1:41" ht="13.5" customHeight="1" thickBot="1" x14ac:dyDescent="0.3">
      <c r="A65" s="159" t="s">
        <v>7</v>
      </c>
      <c r="B65" s="172">
        <f>B64+B63</f>
        <v>15818.779519165859</v>
      </c>
      <c r="C65" s="150"/>
      <c r="D65" s="245" t="s">
        <v>8</v>
      </c>
      <c r="E65" s="246"/>
      <c r="F65" s="64">
        <f>F64-$B$70</f>
        <v>4130</v>
      </c>
      <c r="G65" s="64">
        <f t="shared" ref="G65:N65" si="38">G64-$B$70</f>
        <v>4330</v>
      </c>
      <c r="H65" s="64">
        <f t="shared" si="38"/>
        <v>4530</v>
      </c>
      <c r="I65" s="64">
        <f t="shared" si="38"/>
        <v>4730</v>
      </c>
      <c r="J65" s="64">
        <f>J64-$B$70</f>
        <v>4930</v>
      </c>
      <c r="K65" s="64">
        <f t="shared" si="38"/>
        <v>5130</v>
      </c>
      <c r="L65" s="64">
        <f t="shared" si="38"/>
        <v>5330</v>
      </c>
      <c r="M65" s="64">
        <f t="shared" si="38"/>
        <v>5530</v>
      </c>
      <c r="N65" s="64">
        <f t="shared" si="38"/>
        <v>5730</v>
      </c>
      <c r="AE65" s="245" t="s">
        <v>8</v>
      </c>
      <c r="AF65" s="246"/>
      <c r="AG65" s="64">
        <f t="shared" ref="AG65:AO65" si="39">AG64-$B$70</f>
        <v>4130</v>
      </c>
      <c r="AH65" s="64">
        <f t="shared" si="39"/>
        <v>4330</v>
      </c>
      <c r="AI65" s="64">
        <f t="shared" si="39"/>
        <v>4530</v>
      </c>
      <c r="AJ65" s="64">
        <f t="shared" si="39"/>
        <v>4730</v>
      </c>
      <c r="AK65" s="64">
        <f t="shared" si="39"/>
        <v>4930</v>
      </c>
      <c r="AL65" s="64">
        <f t="shared" si="39"/>
        <v>5130</v>
      </c>
      <c r="AM65" s="64">
        <f t="shared" si="39"/>
        <v>5330</v>
      </c>
      <c r="AN65" s="64">
        <f t="shared" si="39"/>
        <v>5530</v>
      </c>
      <c r="AO65" s="64">
        <f t="shared" si="39"/>
        <v>5730</v>
      </c>
    </row>
    <row r="66" spans="1:41" ht="13.5" customHeight="1" thickBot="1" x14ac:dyDescent="0.3">
      <c r="A66" s="158"/>
      <c r="B66" s="146"/>
      <c r="C66" s="151"/>
      <c r="D66" s="239" t="s">
        <v>9</v>
      </c>
      <c r="E66" s="47">
        <f>E67-0.5</f>
        <v>3.5</v>
      </c>
      <c r="F66" s="48">
        <f t="shared" ref="F66:N70" si="40">F$65-($B$65/$E66)</f>
        <v>-389.6512911902455</v>
      </c>
      <c r="G66" s="48">
        <f t="shared" si="40"/>
        <v>-189.6512911902455</v>
      </c>
      <c r="H66" s="48">
        <f t="shared" si="40"/>
        <v>10.348708809754498</v>
      </c>
      <c r="I66" s="48">
        <f t="shared" si="40"/>
        <v>210.3487088097545</v>
      </c>
      <c r="J66" s="48">
        <f t="shared" si="40"/>
        <v>410.3487088097545</v>
      </c>
      <c r="K66" s="48">
        <f t="shared" si="40"/>
        <v>610.3487088097545</v>
      </c>
      <c r="L66" s="48">
        <f t="shared" si="40"/>
        <v>810.3487088097545</v>
      </c>
      <c r="M66" s="48">
        <f t="shared" si="40"/>
        <v>1010.3487088097545</v>
      </c>
      <c r="N66" s="48">
        <f t="shared" si="40"/>
        <v>1210.3487088097545</v>
      </c>
      <c r="AE66" s="239" t="s">
        <v>9</v>
      </c>
      <c r="AF66" s="47">
        <f>AF67-0.5</f>
        <v>3.5</v>
      </c>
      <c r="AG66" s="48">
        <f t="shared" ref="AG66:AO70" si="41">AG$65-($B$63/$E66)</f>
        <v>332.06299452404028</v>
      </c>
      <c r="AH66" s="48">
        <f t="shared" si="41"/>
        <v>532.06299452404028</v>
      </c>
      <c r="AI66" s="48">
        <f t="shared" si="41"/>
        <v>732.06299452404028</v>
      </c>
      <c r="AJ66" s="48">
        <f t="shared" si="41"/>
        <v>932.06299452404028</v>
      </c>
      <c r="AK66" s="48">
        <f t="shared" si="41"/>
        <v>1132.0629945240403</v>
      </c>
      <c r="AL66" s="48">
        <f t="shared" si="41"/>
        <v>1332.0629945240403</v>
      </c>
      <c r="AM66" s="48">
        <f t="shared" si="41"/>
        <v>1532.0629945240403</v>
      </c>
      <c r="AN66" s="48">
        <f t="shared" si="41"/>
        <v>1732.0629945240403</v>
      </c>
      <c r="AO66" s="48">
        <f t="shared" si="41"/>
        <v>1932.0629945240403</v>
      </c>
    </row>
    <row r="67" spans="1:41" ht="13.5" customHeight="1" thickBot="1" x14ac:dyDescent="0.3">
      <c r="A67" s="158" t="s">
        <v>10</v>
      </c>
      <c r="B67" s="160">
        <v>4.5</v>
      </c>
      <c r="C67" s="152"/>
      <c r="D67" s="240"/>
      <c r="E67" s="47">
        <f>E68-0.5</f>
        <v>4</v>
      </c>
      <c r="F67" s="48">
        <f t="shared" si="40"/>
        <v>175.3051202085353</v>
      </c>
      <c r="G67" s="48">
        <f t="shared" si="40"/>
        <v>375.3051202085353</v>
      </c>
      <c r="H67" s="48">
        <f t="shared" si="40"/>
        <v>575.3051202085353</v>
      </c>
      <c r="I67" s="48">
        <f t="shared" si="40"/>
        <v>775.3051202085353</v>
      </c>
      <c r="J67" s="48">
        <f t="shared" si="40"/>
        <v>975.3051202085353</v>
      </c>
      <c r="K67" s="48">
        <f t="shared" si="40"/>
        <v>1175.3051202085353</v>
      </c>
      <c r="L67" s="48">
        <f t="shared" si="40"/>
        <v>1375.3051202085353</v>
      </c>
      <c r="M67" s="48">
        <f t="shared" si="40"/>
        <v>1575.3051202085353</v>
      </c>
      <c r="N67" s="48">
        <f t="shared" si="40"/>
        <v>1775.3051202085353</v>
      </c>
      <c r="AE67" s="240"/>
      <c r="AF67" s="47">
        <f>AF68-0.5</f>
        <v>4</v>
      </c>
      <c r="AG67" s="48">
        <f t="shared" si="41"/>
        <v>806.8051202085353</v>
      </c>
      <c r="AH67" s="48">
        <f t="shared" si="41"/>
        <v>1006.8051202085353</v>
      </c>
      <c r="AI67" s="48">
        <f t="shared" si="41"/>
        <v>1206.8051202085353</v>
      </c>
      <c r="AJ67" s="48">
        <f t="shared" si="41"/>
        <v>1406.8051202085353</v>
      </c>
      <c r="AK67" s="48">
        <f t="shared" si="41"/>
        <v>1606.8051202085353</v>
      </c>
      <c r="AL67" s="48">
        <f t="shared" si="41"/>
        <v>1806.8051202085353</v>
      </c>
      <c r="AM67" s="48">
        <f t="shared" si="41"/>
        <v>2006.8051202085353</v>
      </c>
      <c r="AN67" s="48">
        <f t="shared" si="41"/>
        <v>2206.8051202085353</v>
      </c>
      <c r="AO67" s="48">
        <f t="shared" si="41"/>
        <v>2406.8051202085353</v>
      </c>
    </row>
    <row r="68" spans="1:41" ht="13.5" customHeight="1" thickBot="1" x14ac:dyDescent="0.3">
      <c r="A68" s="158"/>
      <c r="B68" s="146"/>
      <c r="C68" s="151"/>
      <c r="D68" s="240"/>
      <c r="E68" s="56">
        <f>B67</f>
        <v>4.5</v>
      </c>
      <c r="F68" s="48">
        <f t="shared" si="40"/>
        <v>614.71566240758693</v>
      </c>
      <c r="G68" s="48">
        <f t="shared" si="40"/>
        <v>814.71566240758693</v>
      </c>
      <c r="H68" s="48">
        <f t="shared" si="40"/>
        <v>1014.7156624075869</v>
      </c>
      <c r="I68" s="48">
        <f t="shared" si="40"/>
        <v>1214.7156624075869</v>
      </c>
      <c r="J68" s="48">
        <f t="shared" si="40"/>
        <v>1414.7156624075869</v>
      </c>
      <c r="K68" s="48">
        <f t="shared" si="40"/>
        <v>1614.7156624075869</v>
      </c>
      <c r="L68" s="48">
        <f t="shared" si="40"/>
        <v>1814.7156624075869</v>
      </c>
      <c r="M68" s="48">
        <f t="shared" si="40"/>
        <v>2014.7156624075869</v>
      </c>
      <c r="N68" s="48">
        <f t="shared" si="40"/>
        <v>2214.7156624075869</v>
      </c>
      <c r="AE68" s="240"/>
      <c r="AF68" s="56">
        <f>E68</f>
        <v>4.5</v>
      </c>
      <c r="AG68" s="48">
        <f t="shared" si="41"/>
        <v>1176.0489957409204</v>
      </c>
      <c r="AH68" s="48">
        <f t="shared" si="41"/>
        <v>1376.0489957409204</v>
      </c>
      <c r="AI68" s="48">
        <f t="shared" si="41"/>
        <v>1576.0489957409204</v>
      </c>
      <c r="AJ68" s="48">
        <f t="shared" si="41"/>
        <v>1776.0489957409204</v>
      </c>
      <c r="AK68" s="48">
        <f t="shared" si="41"/>
        <v>1976.0489957409204</v>
      </c>
      <c r="AL68" s="48">
        <f t="shared" si="41"/>
        <v>2176.0489957409204</v>
      </c>
      <c r="AM68" s="48">
        <f t="shared" si="41"/>
        <v>2376.0489957409204</v>
      </c>
      <c r="AN68" s="48">
        <f t="shared" si="41"/>
        <v>2576.0489957409204</v>
      </c>
      <c r="AO68" s="48">
        <f t="shared" si="41"/>
        <v>2776.0489957409204</v>
      </c>
    </row>
    <row r="69" spans="1:41" ht="13.5" customHeight="1" thickBot="1" x14ac:dyDescent="0.3">
      <c r="A69" s="158" t="s">
        <v>67</v>
      </c>
      <c r="B69" s="171">
        <f>B6</f>
        <v>4993</v>
      </c>
      <c r="C69" s="151"/>
      <c r="D69" s="240"/>
      <c r="E69" s="47">
        <f>E68+0.5</f>
        <v>5</v>
      </c>
      <c r="F69" s="48">
        <f t="shared" si="40"/>
        <v>966.24409616682806</v>
      </c>
      <c r="G69" s="48">
        <f t="shared" si="40"/>
        <v>1166.2440961668281</v>
      </c>
      <c r="H69" s="48">
        <f t="shared" si="40"/>
        <v>1366.2440961668281</v>
      </c>
      <c r="I69" s="48">
        <f t="shared" si="40"/>
        <v>1566.2440961668281</v>
      </c>
      <c r="J69" s="48">
        <f t="shared" si="40"/>
        <v>1766.2440961668281</v>
      </c>
      <c r="K69" s="48">
        <f t="shared" si="40"/>
        <v>1966.2440961668281</v>
      </c>
      <c r="L69" s="48">
        <f t="shared" si="40"/>
        <v>2166.2440961668281</v>
      </c>
      <c r="M69" s="48">
        <f t="shared" si="40"/>
        <v>2366.2440961668281</v>
      </c>
      <c r="N69" s="48">
        <f t="shared" si="40"/>
        <v>2566.2440961668281</v>
      </c>
      <c r="AE69" s="240"/>
      <c r="AF69" s="47">
        <f>AF68+0.5</f>
        <v>5</v>
      </c>
      <c r="AG69" s="48">
        <f t="shared" si="41"/>
        <v>1471.4440961668283</v>
      </c>
      <c r="AH69" s="48">
        <f t="shared" si="41"/>
        <v>1671.4440961668283</v>
      </c>
      <c r="AI69" s="48">
        <f t="shared" si="41"/>
        <v>1871.4440961668283</v>
      </c>
      <c r="AJ69" s="48">
        <f t="shared" si="41"/>
        <v>2071.4440961668283</v>
      </c>
      <c r="AK69" s="48">
        <f t="shared" si="41"/>
        <v>2271.4440961668283</v>
      </c>
      <c r="AL69" s="48">
        <f t="shared" si="41"/>
        <v>2471.4440961668283</v>
      </c>
      <c r="AM69" s="48">
        <f t="shared" si="41"/>
        <v>2671.4440961668283</v>
      </c>
      <c r="AN69" s="48">
        <f t="shared" si="41"/>
        <v>2871.4440961668283</v>
      </c>
      <c r="AO69" s="48">
        <f t="shared" si="41"/>
        <v>3071.4440961668283</v>
      </c>
    </row>
    <row r="70" spans="1:41" ht="13.5" customHeight="1" thickBot="1" x14ac:dyDescent="0.3">
      <c r="A70" s="161" t="s">
        <v>11</v>
      </c>
      <c r="B70" s="171">
        <f>D6</f>
        <v>63</v>
      </c>
      <c r="C70" s="153"/>
      <c r="D70" s="241"/>
      <c r="E70" s="47">
        <f>E69+0.5</f>
        <v>5.5</v>
      </c>
      <c r="F70" s="48">
        <f>F$65-($B$65/$E70)</f>
        <v>1253.8582692425712</v>
      </c>
      <c r="G70" s="48">
        <f t="shared" si="40"/>
        <v>1453.8582692425712</v>
      </c>
      <c r="H70" s="48">
        <f t="shared" si="40"/>
        <v>1653.8582692425712</v>
      </c>
      <c r="I70" s="48">
        <f t="shared" si="40"/>
        <v>1853.8582692425712</v>
      </c>
      <c r="J70" s="48">
        <f t="shared" si="40"/>
        <v>2053.8582692425712</v>
      </c>
      <c r="K70" s="48">
        <f t="shared" si="40"/>
        <v>2253.8582692425712</v>
      </c>
      <c r="L70" s="48">
        <f t="shared" si="40"/>
        <v>2453.8582692425712</v>
      </c>
      <c r="M70" s="48">
        <f t="shared" si="40"/>
        <v>2653.8582692425712</v>
      </c>
      <c r="N70" s="48">
        <f>N$65-($B$65/$E70)</f>
        <v>2853.8582692425712</v>
      </c>
      <c r="AE70" s="241"/>
      <c r="AF70" s="47">
        <f>AF69+0.5</f>
        <v>5.5</v>
      </c>
      <c r="AG70" s="48">
        <f>AG$65-($B$63/$E70)</f>
        <v>1713.1309965152982</v>
      </c>
      <c r="AH70" s="48">
        <f t="shared" si="41"/>
        <v>1913.1309965152982</v>
      </c>
      <c r="AI70" s="48">
        <f t="shared" si="41"/>
        <v>2113.1309965152982</v>
      </c>
      <c r="AJ70" s="48">
        <f t="shared" si="41"/>
        <v>2313.1309965152982</v>
      </c>
      <c r="AK70" s="48">
        <f t="shared" si="41"/>
        <v>2513.1309965152982</v>
      </c>
      <c r="AL70" s="48">
        <f t="shared" si="41"/>
        <v>2713.1309965152982</v>
      </c>
      <c r="AM70" s="48">
        <f t="shared" si="41"/>
        <v>2913.1309965152982</v>
      </c>
      <c r="AN70" s="48">
        <f t="shared" si="41"/>
        <v>3113.1309965152982</v>
      </c>
      <c r="AO70" s="48">
        <f t="shared" si="41"/>
        <v>3313.1309965152982</v>
      </c>
    </row>
    <row r="71" spans="1:41" ht="13.5" customHeight="1" x14ac:dyDescent="0.25">
      <c r="A71" s="148" t="s">
        <v>12</v>
      </c>
      <c r="B71" s="172">
        <f>B69-B70</f>
        <v>4930</v>
      </c>
      <c r="C71" s="153"/>
    </row>
  </sheetData>
  <sheetProtection selectLockedCells="1"/>
  <mergeCells count="48">
    <mergeCell ref="AE36:AO36"/>
    <mergeCell ref="D38:E38"/>
    <mergeCell ref="AE38:AF38"/>
    <mergeCell ref="D40:D44"/>
    <mergeCell ref="AE40:AE44"/>
    <mergeCell ref="AE49:AO49"/>
    <mergeCell ref="D51:E51"/>
    <mergeCell ref="AE51:AF51"/>
    <mergeCell ref="D52:E52"/>
    <mergeCell ref="AE52:AF52"/>
    <mergeCell ref="AE25:AF25"/>
    <mergeCell ref="D26:E26"/>
    <mergeCell ref="P12:Q12"/>
    <mergeCell ref="P13:Q13"/>
    <mergeCell ref="P14:P18"/>
    <mergeCell ref="AE26:AF26"/>
    <mergeCell ref="P10:Z10"/>
    <mergeCell ref="A9:B9"/>
    <mergeCell ref="A22:B22"/>
    <mergeCell ref="A35:B35"/>
    <mergeCell ref="AE27:AE31"/>
    <mergeCell ref="D10:N10"/>
    <mergeCell ref="AE10:AO10"/>
    <mergeCell ref="D12:E12"/>
    <mergeCell ref="AE12:AF12"/>
    <mergeCell ref="D13:E13"/>
    <mergeCell ref="AE13:AF13"/>
    <mergeCell ref="D23:N23"/>
    <mergeCell ref="AE23:AO23"/>
    <mergeCell ref="D14:D18"/>
    <mergeCell ref="AE14:AE18"/>
    <mergeCell ref="D25:E25"/>
    <mergeCell ref="A48:B48"/>
    <mergeCell ref="D27:D31"/>
    <mergeCell ref="D36:N36"/>
    <mergeCell ref="D66:D70"/>
    <mergeCell ref="AE66:AE70"/>
    <mergeCell ref="D62:N62"/>
    <mergeCell ref="AE62:AO62"/>
    <mergeCell ref="D64:E64"/>
    <mergeCell ref="AE64:AF64"/>
    <mergeCell ref="D65:E65"/>
    <mergeCell ref="AE65:AF65"/>
    <mergeCell ref="D39:E39"/>
    <mergeCell ref="AE39:AF39"/>
    <mergeCell ref="D53:D57"/>
    <mergeCell ref="AE53:AE57"/>
    <mergeCell ref="D49:N49"/>
  </mergeCells>
  <conditionalFormatting sqref="F14:N18">
    <cfRule type="cellIs" dxfId="43" priority="54" stopIfTrue="1" operator="greaterThan">
      <formula>1</formula>
    </cfRule>
    <cfRule type="cellIs" dxfId="42" priority="53" stopIfTrue="1" operator="lessThan">
      <formula>1</formula>
    </cfRule>
    <cfRule type="cellIs" dxfId="41" priority="56" stopIfTrue="1" operator="greaterThan">
      <formula>1</formula>
    </cfRule>
    <cfRule type="cellIs" dxfId="40" priority="55" stopIfTrue="1" operator="lessThan">
      <formula>1</formula>
    </cfRule>
  </conditionalFormatting>
  <conditionalFormatting sqref="F27:N31">
    <cfRule type="cellIs" dxfId="39" priority="21" stopIfTrue="1" operator="lessThan">
      <formula>1</formula>
    </cfRule>
    <cfRule type="cellIs" dxfId="38" priority="22" stopIfTrue="1" operator="greaterThan">
      <formula>1</formula>
    </cfRule>
    <cfRule type="cellIs" dxfId="37" priority="23" stopIfTrue="1" operator="lessThan">
      <formula>1</formula>
    </cfRule>
    <cfRule type="cellIs" dxfId="36" priority="24" stopIfTrue="1" operator="greaterThan">
      <formula>1</formula>
    </cfRule>
  </conditionalFormatting>
  <conditionalFormatting sqref="F40:N44">
    <cfRule type="cellIs" dxfId="35" priority="52" stopIfTrue="1" operator="greaterThan">
      <formula>1</formula>
    </cfRule>
    <cfRule type="cellIs" dxfId="34" priority="50" stopIfTrue="1" operator="greaterThan">
      <formula>1</formula>
    </cfRule>
    <cfRule type="cellIs" dxfId="33" priority="51" stopIfTrue="1" operator="lessThan">
      <formula>1</formula>
    </cfRule>
    <cfRule type="cellIs" dxfId="32" priority="49" stopIfTrue="1" operator="lessThan">
      <formula>1</formula>
    </cfRule>
  </conditionalFormatting>
  <conditionalFormatting sqref="F53:N57">
    <cfRule type="cellIs" dxfId="31" priority="30" stopIfTrue="1" operator="greaterThan">
      <formula>1</formula>
    </cfRule>
    <cfRule type="cellIs" dxfId="30" priority="31" stopIfTrue="1" operator="lessThan">
      <formula>1</formula>
    </cfRule>
    <cfRule type="cellIs" dxfId="29" priority="32" stopIfTrue="1" operator="greaterThan">
      <formula>1</formula>
    </cfRule>
    <cfRule type="cellIs" dxfId="28" priority="29" stopIfTrue="1" operator="lessThan">
      <formula>1</formula>
    </cfRule>
  </conditionalFormatting>
  <conditionalFormatting sqref="F66:N70">
    <cfRule type="cellIs" dxfId="27" priority="15" stopIfTrue="1" operator="lessThan">
      <formula>1</formula>
    </cfRule>
    <cfRule type="cellIs" dxfId="26" priority="13" stopIfTrue="1" operator="lessThan">
      <formula>1</formula>
    </cfRule>
    <cfRule type="cellIs" dxfId="25" priority="14" stopIfTrue="1" operator="greaterThan">
      <formula>1</formula>
    </cfRule>
    <cfRule type="cellIs" dxfId="24" priority="16" stopIfTrue="1" operator="greaterThan">
      <formula>1</formula>
    </cfRule>
  </conditionalFormatting>
  <conditionalFormatting sqref="R14:Z18">
    <cfRule type="cellIs" dxfId="23" priority="2" stopIfTrue="1" operator="greaterThan">
      <formula>1</formula>
    </cfRule>
    <cfRule type="cellIs" dxfId="22" priority="3" stopIfTrue="1" operator="lessThan">
      <formula>1</formula>
    </cfRule>
    <cfRule type="cellIs" dxfId="21" priority="4" stopIfTrue="1" operator="greaterThan">
      <formula>1</formula>
    </cfRule>
    <cfRule type="cellIs" dxfId="20" priority="1" stopIfTrue="1" operator="lessThan">
      <formula>1</formula>
    </cfRule>
  </conditionalFormatting>
  <conditionalFormatting sqref="AG14:AO18">
    <cfRule type="cellIs" dxfId="19" priority="45" stopIfTrue="1" operator="lessThan">
      <formula>1</formula>
    </cfRule>
    <cfRule type="cellIs" dxfId="18" priority="47" stopIfTrue="1" operator="lessThan">
      <formula>1</formula>
    </cfRule>
    <cfRule type="cellIs" dxfId="17" priority="48" stopIfTrue="1" operator="greaterThan">
      <formula>1</formula>
    </cfRule>
    <cfRule type="cellIs" dxfId="16" priority="46" stopIfTrue="1" operator="greaterThan">
      <formula>1</formula>
    </cfRule>
  </conditionalFormatting>
  <conditionalFormatting sqref="AG27:AO31">
    <cfRule type="cellIs" dxfId="15" priority="20" stopIfTrue="1" operator="greaterThan">
      <formula>1</formula>
    </cfRule>
    <cfRule type="cellIs" dxfId="14" priority="19" stopIfTrue="1" operator="lessThan">
      <formula>1</formula>
    </cfRule>
    <cfRule type="cellIs" dxfId="13" priority="18" stopIfTrue="1" operator="greaterThan">
      <formula>1</formula>
    </cfRule>
    <cfRule type="cellIs" dxfId="12" priority="17" stopIfTrue="1" operator="lessThan">
      <formula>1</formula>
    </cfRule>
  </conditionalFormatting>
  <conditionalFormatting sqref="AG40:AO44">
    <cfRule type="cellIs" dxfId="11" priority="41" stopIfTrue="1" operator="lessThan">
      <formula>1</formula>
    </cfRule>
    <cfRule type="cellIs" dxfId="10" priority="42" stopIfTrue="1" operator="greaterThan">
      <formula>1</formula>
    </cfRule>
    <cfRule type="cellIs" dxfId="9" priority="43" stopIfTrue="1" operator="lessThan">
      <formula>1</formula>
    </cfRule>
    <cfRule type="cellIs" dxfId="8" priority="44" stopIfTrue="1" operator="greaterThan">
      <formula>1</formula>
    </cfRule>
  </conditionalFormatting>
  <conditionalFormatting sqref="AG53:AO57">
    <cfRule type="cellIs" dxfId="7" priority="28" stopIfTrue="1" operator="greaterThan">
      <formula>1</formula>
    </cfRule>
    <cfRule type="cellIs" dxfId="6" priority="27" stopIfTrue="1" operator="lessThan">
      <formula>1</formula>
    </cfRule>
    <cfRule type="cellIs" dxfId="5" priority="26" stopIfTrue="1" operator="greaterThan">
      <formula>1</formula>
    </cfRule>
    <cfRule type="cellIs" dxfId="4" priority="25" stopIfTrue="1" operator="lessThan">
      <formula>1</formula>
    </cfRule>
  </conditionalFormatting>
  <conditionalFormatting sqref="AG66:AO70">
    <cfRule type="cellIs" dxfId="3" priority="5" stopIfTrue="1" operator="lessThan">
      <formula>1</formula>
    </cfRule>
    <cfRule type="cellIs" dxfId="2" priority="7" stopIfTrue="1" operator="lessThan">
      <formula>1</formula>
    </cfRule>
    <cfRule type="cellIs" dxfId="1" priority="8" stopIfTrue="1" operator="greaterThan">
      <formula>1</formula>
    </cfRule>
    <cfRule type="cellIs" dxfId="0" priority="6" stopIfTrue="1" operator="greaterThan">
      <formula>1</formula>
    </cfRule>
  </conditionalFormatting>
  <dataValidations count="5">
    <dataValidation type="list" allowBlank="1" showInputMessage="1" showErrorMessage="1" sqref="B67" xr:uid="{00000000-0002-0000-0000-000000000000}">
      <formula1>Sorgopbrengspeil</formula1>
    </dataValidation>
    <dataValidation type="list" allowBlank="1" showInputMessage="1" showErrorMessage="1" sqref="B54" xr:uid="{00000000-0002-0000-0000-000001000000}">
      <formula1>Sojaverminopbrengspeil</formula1>
    </dataValidation>
    <dataValidation type="list" allowBlank="1" showInputMessage="1" showErrorMessage="1" sqref="B41" xr:uid="{00000000-0002-0000-0000-000002000000}">
      <formula1>Sojaopbrengspeil</formula1>
    </dataValidation>
    <dataValidation type="list" allowBlank="1" showInputMessage="1" showErrorMessage="1" sqref="B28" xr:uid="{00000000-0002-0000-0000-000003000000}">
      <formula1>Verminopbrengspeil</formula1>
    </dataValidation>
    <dataValidation type="list" allowBlank="1" showInputMessage="1" showErrorMessage="1" sqref="B15" xr:uid="{00000000-0002-0000-0000-000004000000}">
      <formula1>Opbrengspeil</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87"/>
  <sheetViews>
    <sheetView zoomScale="85" zoomScaleNormal="85" workbookViewId="0">
      <pane xSplit="1" topLeftCell="B1" activePane="topRight" state="frozen"/>
      <selection pane="topRight" activeCell="P11" sqref="P11"/>
    </sheetView>
  </sheetViews>
  <sheetFormatPr defaultColWidth="9.109375" defaultRowHeight="13.2" x14ac:dyDescent="0.25"/>
  <cols>
    <col min="1" max="1" width="51.6640625" customWidth="1"/>
    <col min="2" max="7" width="14.33203125" customWidth="1"/>
    <col min="9" max="9" width="10.88671875" bestFit="1" customWidth="1"/>
  </cols>
  <sheetData>
    <row r="1" spans="1:10" ht="14.4" x14ac:dyDescent="0.3">
      <c r="A1" s="174" t="s">
        <v>142</v>
      </c>
      <c r="B1" s="94"/>
      <c r="C1" s="94"/>
      <c r="D1" s="94"/>
      <c r="E1" s="94"/>
      <c r="F1" s="94"/>
      <c r="G1" s="94"/>
      <c r="H1" s="95"/>
    </row>
    <row r="2" spans="1:10" ht="27.6" customHeight="1" x14ac:dyDescent="0.3">
      <c r="A2" s="229" t="s">
        <v>78</v>
      </c>
      <c r="B2" s="230" t="str">
        <f>'[6]Rent calculations'!C2</f>
        <v>Maize (RR)</v>
      </c>
      <c r="C2" s="230" t="str">
        <f>'[6]Rent calculations'!D2</f>
        <v>Maize (min tillage)</v>
      </c>
      <c r="D2" s="230" t="str">
        <f>'[6]Rent calculations'!E2</f>
        <v>Soy bean (conventional)</v>
      </c>
      <c r="E2" s="230" t="str">
        <f>'[6]Rent calculations'!F2</f>
        <v>Soy bean (min tillage)</v>
      </c>
      <c r="F2" s="230" t="str">
        <f>'[6]Rent calculations'!G2</f>
        <v>Grain Sorghum</v>
      </c>
      <c r="G2" s="230" t="str">
        <f>'[6]Rent calculations'!H2</f>
        <v>Irr-Maize</v>
      </c>
      <c r="H2" s="95"/>
      <c r="J2" s="231" t="s">
        <v>139</v>
      </c>
    </row>
    <row r="3" spans="1:10" ht="14.4" x14ac:dyDescent="0.3">
      <c r="A3" s="208" t="s">
        <v>79</v>
      </c>
      <c r="B3" s="209"/>
      <c r="C3" s="209"/>
      <c r="D3" s="209"/>
      <c r="E3" s="209"/>
      <c r="F3" s="209"/>
      <c r="G3" s="209"/>
      <c r="H3" s="95"/>
      <c r="J3" s="231" t="s">
        <v>140</v>
      </c>
    </row>
    <row r="4" spans="1:10" ht="14.4" x14ac:dyDescent="0.3">
      <c r="A4" s="97" t="s">
        <v>80</v>
      </c>
      <c r="B4" s="98">
        <v>6.5</v>
      </c>
      <c r="C4" s="98">
        <f>'Mielie Vermin Bewerk'!G5</f>
        <v>6</v>
      </c>
      <c r="D4" s="98">
        <f>Sojabone!F5</f>
        <v>2</v>
      </c>
      <c r="E4" s="98">
        <f>'Sojabone Vermin bewerk'!E5</f>
        <v>1.75</v>
      </c>
      <c r="F4" s="98">
        <f>Graansorghum!D5</f>
        <v>4</v>
      </c>
      <c r="G4" s="98">
        <f>'Bes-mielies'!F5</f>
        <v>12</v>
      </c>
      <c r="H4" s="95"/>
    </row>
    <row r="5" spans="1:10" s="101" customFormat="1" ht="14.4" x14ac:dyDescent="0.3">
      <c r="A5" s="97" t="s">
        <v>81</v>
      </c>
      <c r="B5" s="99">
        <f>'Pryse + Sensatiwiteitsanalise'!B4</f>
        <v>4200</v>
      </c>
      <c r="C5" s="99">
        <f>B5</f>
        <v>4200</v>
      </c>
      <c r="D5" s="99">
        <f>'Pryse + Sensatiwiteitsanalise'!B5</f>
        <v>7400</v>
      </c>
      <c r="E5" s="99">
        <f>D5</f>
        <v>7400</v>
      </c>
      <c r="F5" s="99">
        <f>'Pryse + Sensatiwiteitsanalise'!B6</f>
        <v>4993</v>
      </c>
      <c r="G5" s="99">
        <f>B5</f>
        <v>4200</v>
      </c>
      <c r="H5" s="100"/>
    </row>
    <row r="6" spans="1:10" s="101" customFormat="1" ht="14.4" x14ac:dyDescent="0.3">
      <c r="A6" s="97" t="s">
        <v>82</v>
      </c>
      <c r="B6" s="99">
        <f>'Pryse + Sensatiwiteitsanalise'!D4</f>
        <v>442</v>
      </c>
      <c r="C6" s="99">
        <f>B6</f>
        <v>442</v>
      </c>
      <c r="D6" s="99">
        <f>'Pryse + Sensatiwiteitsanalise'!D5</f>
        <v>212</v>
      </c>
      <c r="E6" s="99">
        <f>D6</f>
        <v>212</v>
      </c>
      <c r="F6" s="99">
        <f>'Pryse + Sensatiwiteitsanalise'!D6</f>
        <v>63</v>
      </c>
      <c r="G6" s="99">
        <f>B6</f>
        <v>442</v>
      </c>
      <c r="H6" s="100"/>
    </row>
    <row r="7" spans="1:10" s="101" customFormat="1" ht="15" thickBot="1" x14ac:dyDescent="0.35">
      <c r="A7" s="97" t="s">
        <v>83</v>
      </c>
      <c r="B7" s="102">
        <f t="shared" ref="B7:G7" si="0">B5-B6</f>
        <v>3758</v>
      </c>
      <c r="C7" s="102">
        <f t="shared" si="0"/>
        <v>3758</v>
      </c>
      <c r="D7" s="102">
        <f t="shared" si="0"/>
        <v>7188</v>
      </c>
      <c r="E7" s="102">
        <f t="shared" si="0"/>
        <v>7188</v>
      </c>
      <c r="F7" s="102">
        <f t="shared" si="0"/>
        <v>4930</v>
      </c>
      <c r="G7" s="102">
        <f t="shared" si="0"/>
        <v>3758</v>
      </c>
      <c r="H7" s="100"/>
    </row>
    <row r="8" spans="1:10" ht="15" thickTop="1" x14ac:dyDescent="0.3">
      <c r="A8" s="103" t="s">
        <v>84</v>
      </c>
      <c r="B8" s="104">
        <f>B4*B7</f>
        <v>24427</v>
      </c>
      <c r="C8" s="104">
        <f>C4*C7</f>
        <v>22548</v>
      </c>
      <c r="D8" s="104">
        <f t="shared" ref="D8:G8" si="1">D4*D7</f>
        <v>14376</v>
      </c>
      <c r="E8" s="104">
        <f t="shared" si="1"/>
        <v>12579</v>
      </c>
      <c r="F8" s="104">
        <f t="shared" si="1"/>
        <v>19720</v>
      </c>
      <c r="G8" s="104">
        <f t="shared" si="1"/>
        <v>45096</v>
      </c>
      <c r="H8" s="95"/>
    </row>
    <row r="9" spans="1:10" ht="14.4" x14ac:dyDescent="0.3">
      <c r="A9" s="97"/>
      <c r="B9" s="105"/>
      <c r="C9" s="105"/>
      <c r="D9" s="105"/>
      <c r="E9" s="105"/>
      <c r="F9" s="105"/>
      <c r="G9" s="105"/>
      <c r="H9" s="95"/>
    </row>
    <row r="10" spans="1:10" ht="14.4" x14ac:dyDescent="0.3">
      <c r="A10" s="208" t="s">
        <v>85</v>
      </c>
      <c r="B10" s="210"/>
      <c r="C10" s="210"/>
      <c r="D10" s="210"/>
      <c r="E10" s="210"/>
      <c r="F10" s="210"/>
      <c r="G10" s="210"/>
      <c r="H10" s="95"/>
    </row>
    <row r="11" spans="1:10" ht="14.4" x14ac:dyDescent="0.3">
      <c r="A11" s="175" t="s">
        <v>20</v>
      </c>
      <c r="B11" s="106">
        <f>'W-Roundup R mielies '!H9</f>
        <v>4389</v>
      </c>
      <c r="C11" s="106">
        <f>'Mielie Vermin Bewerk'!G9</f>
        <v>3761.4100000000003</v>
      </c>
      <c r="D11" s="106">
        <f>Sojabone!F9</f>
        <v>2113.7759999999998</v>
      </c>
      <c r="E11" s="106">
        <f>'Sojabone Vermin bewerk'!E9</f>
        <v>1693.152</v>
      </c>
      <c r="F11" s="106">
        <f>Graansorghum!D9</f>
        <v>1058.3999999999999</v>
      </c>
      <c r="G11" s="106">
        <f>'Bes-mielies'!F9</f>
        <v>6231.7500000000009</v>
      </c>
      <c r="H11" s="95"/>
    </row>
    <row r="12" spans="1:10" ht="14.4" x14ac:dyDescent="0.3">
      <c r="A12" s="175" t="s">
        <v>21</v>
      </c>
      <c r="B12" s="106">
        <f>'W-Roundup R mielies '!H10</f>
        <v>7238.4</v>
      </c>
      <c r="C12" s="106">
        <f>'Mielie Vermin Bewerk'!G10</f>
        <v>6426.9</v>
      </c>
      <c r="D12" s="106">
        <f>Sojabone!F10</f>
        <v>4165.6900000000005</v>
      </c>
      <c r="E12" s="106">
        <f>'Sojabone Vermin bewerk'!E10</f>
        <v>3576.19</v>
      </c>
      <c r="F12" s="106">
        <f>Graansorghum!D10</f>
        <v>3672.6000000000004</v>
      </c>
      <c r="G12" s="106">
        <f>'Bes-mielies'!F10</f>
        <v>10370</v>
      </c>
      <c r="H12" s="95"/>
    </row>
    <row r="13" spans="1:10" ht="14.4" x14ac:dyDescent="0.3">
      <c r="A13" s="175" t="s">
        <v>22</v>
      </c>
      <c r="B13" s="106">
        <f>'W-Roundup R mielies '!H11</f>
        <v>759</v>
      </c>
      <c r="C13" s="106">
        <f>'Mielie Vermin Bewerk'!G11</f>
        <v>252.74700000000001</v>
      </c>
      <c r="D13" s="106">
        <f>Sojabone!F11</f>
        <v>759</v>
      </c>
      <c r="E13" s="106">
        <f>'Sojabone Vermin bewerk'!E11</f>
        <v>0</v>
      </c>
      <c r="F13" s="106">
        <f>Graansorghum!D11</f>
        <v>252.74700000000001</v>
      </c>
      <c r="G13" s="106">
        <f>'Bes-mielies'!F11</f>
        <v>252.74700000000001</v>
      </c>
      <c r="H13" s="95"/>
      <c r="I13" s="237"/>
    </row>
    <row r="14" spans="1:10" ht="14.4" x14ac:dyDescent="0.3">
      <c r="A14" s="175" t="s">
        <v>23</v>
      </c>
      <c r="B14" s="106">
        <f>'W-Roundup R mielies '!H12</f>
        <v>961.9735300000001</v>
      </c>
      <c r="C14" s="106">
        <f>'Mielie Vermin Bewerk'!G12</f>
        <v>1273.2794000000001</v>
      </c>
      <c r="D14" s="106">
        <f>Sojabone!F12</f>
        <v>1153.22588</v>
      </c>
      <c r="E14" s="106">
        <f>'Sojabone Vermin bewerk'!E12</f>
        <v>834.74575000000004</v>
      </c>
      <c r="F14" s="106">
        <f>Graansorghum!D12</f>
        <v>1524.3458700000001</v>
      </c>
      <c r="G14" s="106">
        <f>'Bes-mielies'!F12</f>
        <v>2136.0542000000005</v>
      </c>
      <c r="H14" s="95"/>
    </row>
    <row r="15" spans="1:10" ht="14.4" x14ac:dyDescent="0.3">
      <c r="A15" s="175" t="s">
        <v>24</v>
      </c>
      <c r="B15" s="106">
        <f>'W-Roundup R mielies '!H13</f>
        <v>1222.1937</v>
      </c>
      <c r="C15" s="106">
        <f>'Mielie Vermin Bewerk'!G13</f>
        <v>695.87974259999999</v>
      </c>
      <c r="D15" s="106">
        <f>Sojabone!F13</f>
        <v>1400.20362</v>
      </c>
      <c r="E15" s="106">
        <f>'Sojabone Vermin bewerk'!E13</f>
        <v>958.88249999999994</v>
      </c>
      <c r="F15" s="106">
        <f>Graansorghum!D13</f>
        <v>719.43575759999999</v>
      </c>
      <c r="G15" s="106">
        <f>'Bes-mielies'!F13</f>
        <v>857.90363860000002</v>
      </c>
      <c r="H15" s="95"/>
    </row>
    <row r="16" spans="1:10" ht="14.4" x14ac:dyDescent="0.3">
      <c r="A16" s="175" t="s">
        <v>141</v>
      </c>
      <c r="B16" s="106">
        <f>'W-Roundup R mielies '!H14</f>
        <v>1996.1289999999999</v>
      </c>
      <c r="C16" s="106">
        <f>'Mielie Vermin Bewerk'!G14+703.14</f>
        <v>1392.7159999999999</v>
      </c>
      <c r="D16" s="106">
        <f>Sojabone!F14</f>
        <v>1226.0519999999999</v>
      </c>
      <c r="E16" s="106">
        <f>'Sojabone Vermin bewerk'!E14+824.16</f>
        <v>1848.7350000000001</v>
      </c>
      <c r="F16" s="106">
        <f>Graansorghum!D14</f>
        <v>1807.8</v>
      </c>
      <c r="G16" s="106">
        <f>'Bes-mielies'!F14</f>
        <v>594.15</v>
      </c>
      <c r="H16" s="95"/>
    </row>
    <row r="17" spans="1:14" ht="14.4" hidden="1" x14ac:dyDescent="0.3">
      <c r="A17" s="175" t="s">
        <v>26</v>
      </c>
      <c r="B17" s="106">
        <f>'W-Roundup R mielies '!H15</f>
        <v>0</v>
      </c>
      <c r="C17" s="106"/>
      <c r="D17" s="106">
        <f>Sojabone!F15</f>
        <v>0</v>
      </c>
      <c r="E17" s="106"/>
      <c r="F17" s="106">
        <f>Graansorghum!D15</f>
        <v>1704.9387818659839</v>
      </c>
      <c r="G17" s="106">
        <f>'Bes-mielies'!F15</f>
        <v>703.17</v>
      </c>
      <c r="H17" s="95"/>
    </row>
    <row r="18" spans="1:14" ht="14.4" x14ac:dyDescent="0.3">
      <c r="A18" s="175" t="s">
        <v>27</v>
      </c>
      <c r="B18" s="106">
        <f>'W-Roundup R mielies '!H16</f>
        <v>512.96699999999998</v>
      </c>
      <c r="C18" s="106">
        <f>'Mielie Vermin Bewerk'!G16</f>
        <v>438.16499999999996</v>
      </c>
      <c r="D18" s="106">
        <f>Sojabone!F16</f>
        <v>280.33199999999999</v>
      </c>
      <c r="E18" s="106">
        <f>'Sojabone Vermin bewerk'!E16</f>
        <v>245.29050000000004</v>
      </c>
      <c r="F18" s="106">
        <f>Graansorghum!D16</f>
        <v>447.48599999999999</v>
      </c>
      <c r="G18" s="106">
        <f>'Bes-mielies'!F16</f>
        <v>0</v>
      </c>
      <c r="H18" s="95"/>
    </row>
    <row r="19" spans="1:14" ht="14.4" hidden="1" x14ac:dyDescent="0.3">
      <c r="A19" s="175" t="s">
        <v>28</v>
      </c>
      <c r="B19" s="106"/>
      <c r="C19" s="106"/>
      <c r="D19" s="106"/>
      <c r="E19" s="106"/>
      <c r="F19" s="106"/>
      <c r="G19" s="106">
        <f>'Bes-mielies'!F17</f>
        <v>7130.6504780800014</v>
      </c>
      <c r="H19" s="95"/>
    </row>
    <row r="20" spans="1:14" ht="14.4" x14ac:dyDescent="0.3">
      <c r="A20" s="175" t="s">
        <v>29</v>
      </c>
      <c r="B20" s="106">
        <f>'W-Roundup R mielies '!H17</f>
        <v>1365.7467303829962</v>
      </c>
      <c r="C20" s="106">
        <f>'Mielie Vermin Bewerk'!G17</f>
        <v>1147.4939773000178</v>
      </c>
      <c r="D20" s="106">
        <f>Sojabone!F17</f>
        <v>179.00931091402339</v>
      </c>
      <c r="E20" s="106">
        <f>'Sojabone Vermin bewerk'!E17</f>
        <v>148.44031541805788</v>
      </c>
      <c r="F20" s="106">
        <f>Graansorghum!D17</f>
        <v>0</v>
      </c>
      <c r="G20" s="106">
        <f>'Bes-mielies'!F18</f>
        <v>3501.9089306345754</v>
      </c>
      <c r="H20" s="95"/>
    </row>
    <row r="21" spans="1:14" ht="14.4" hidden="1" x14ac:dyDescent="0.3">
      <c r="A21" s="175" t="s">
        <v>30</v>
      </c>
      <c r="B21" s="106">
        <f>'W-Roundup R mielies '!F18</f>
        <v>0</v>
      </c>
      <c r="C21" s="106">
        <f>'Mielie Vermin Bewerk'!F18</f>
        <v>0</v>
      </c>
      <c r="D21" s="106">
        <f>Sojabone!F18</f>
        <v>0</v>
      </c>
      <c r="E21" s="106">
        <f>'Sojabone Vermin bewerk'!F18</f>
        <v>0</v>
      </c>
      <c r="F21" s="106">
        <f>Graansorghum!E18</f>
        <v>0</v>
      </c>
      <c r="G21" s="106">
        <f>'Bes-mielies'!F19</f>
        <v>0</v>
      </c>
      <c r="H21" s="95"/>
    </row>
    <row r="22" spans="1:14" ht="14.4" x14ac:dyDescent="0.3">
      <c r="A22" s="175" t="s">
        <v>31</v>
      </c>
      <c r="B22" s="106">
        <f>'W-Roundup R mielies '!H19</f>
        <v>998.16500000000008</v>
      </c>
      <c r="C22" s="106">
        <f>'Mielie Vermin Bewerk'!G19</f>
        <v>895.23630000000003</v>
      </c>
      <c r="D22" s="106">
        <f>Sojabone!F19</f>
        <v>1006.32</v>
      </c>
      <c r="E22" s="106">
        <f>'Sojabone Vermin bewerk'!E19</f>
        <v>880.53000000000009</v>
      </c>
      <c r="F22" s="106">
        <f>Graansorghum!D19</f>
        <v>686.45999999999992</v>
      </c>
      <c r="G22" s="106">
        <f>'Bes-mielies'!F20</f>
        <v>1551.0840000000001</v>
      </c>
      <c r="H22" s="95"/>
    </row>
    <row r="23" spans="1:14" ht="14.4" hidden="1" x14ac:dyDescent="0.3">
      <c r="A23" s="175" t="s">
        <v>32</v>
      </c>
      <c r="B23" s="106">
        <f>'W-Roundup R mielies '!F20</f>
        <v>0</v>
      </c>
      <c r="C23" s="106">
        <f>'Mielie Vermin Bewerk'!F20</f>
        <v>0</v>
      </c>
      <c r="D23" s="106">
        <f>Sojabone!F20</f>
        <v>0</v>
      </c>
      <c r="E23" s="106">
        <f>'Sojabone Vermin bewerk'!F20</f>
        <v>0</v>
      </c>
      <c r="F23" s="106">
        <f>Graansorghum!E20</f>
        <v>0</v>
      </c>
      <c r="G23" s="106">
        <f>'Bes-mielies'!F21</f>
        <v>0</v>
      </c>
      <c r="H23" s="95"/>
    </row>
    <row r="24" spans="1:14" ht="14.4" hidden="1" x14ac:dyDescent="0.3">
      <c r="A24" s="175" t="s">
        <v>33</v>
      </c>
      <c r="B24" s="106">
        <f>'W-Roundup R mielies '!H21</f>
        <v>0</v>
      </c>
      <c r="C24" s="106">
        <f>'Mielie Vermin Bewerk'!G21</f>
        <v>0</v>
      </c>
      <c r="D24" s="106">
        <f>Sojabone!F21</f>
        <v>0</v>
      </c>
      <c r="E24" s="106">
        <f>'Sojabone Vermin bewerk'!E21</f>
        <v>0</v>
      </c>
      <c r="F24" s="106">
        <f>Graansorghum!D21</f>
        <v>0</v>
      </c>
      <c r="G24" s="106">
        <f>'Bes-mielies'!F22</f>
        <v>0</v>
      </c>
      <c r="H24" s="95"/>
    </row>
    <row r="25" spans="1:14" ht="14.4" hidden="1" x14ac:dyDescent="0.3">
      <c r="A25" s="175" t="s">
        <v>34</v>
      </c>
      <c r="B25" s="106">
        <f>'W-Roundup R mielies '!F22</f>
        <v>0</v>
      </c>
      <c r="C25" s="106">
        <f>'Mielie Vermin Bewerk'!F22</f>
        <v>0</v>
      </c>
      <c r="D25" s="106">
        <f>Sojabone!F22</f>
        <v>0</v>
      </c>
      <c r="E25" s="106">
        <f>'Sojabone Vermin bewerk'!F22</f>
        <v>0</v>
      </c>
      <c r="F25" s="106">
        <f>Graansorghum!E22</f>
        <v>0</v>
      </c>
      <c r="G25" s="106">
        <f>'Bes-mielies'!F23</f>
        <v>0</v>
      </c>
      <c r="H25" s="95"/>
    </row>
    <row r="26" spans="1:14" ht="28.8" hidden="1" x14ac:dyDescent="0.3">
      <c r="A26" s="176" t="s">
        <v>35</v>
      </c>
      <c r="B26" s="106">
        <f>'W-Roundup R mielies '!F23</f>
        <v>0</v>
      </c>
      <c r="C26" s="106">
        <f>'Mielie Vermin Bewerk'!F23</f>
        <v>0</v>
      </c>
      <c r="D26" s="106">
        <f>Sojabone!F23</f>
        <v>0</v>
      </c>
      <c r="E26" s="106">
        <f>'Sojabone Vermin bewerk'!F23</f>
        <v>0</v>
      </c>
      <c r="F26" s="106">
        <f>Graansorghum!E23</f>
        <v>0</v>
      </c>
      <c r="G26" s="106">
        <f>'Bes-mielies'!F24</f>
        <v>0</v>
      </c>
      <c r="H26" s="95"/>
    </row>
    <row r="27" spans="1:14" ht="15" thickBot="1" x14ac:dyDescent="0.35">
      <c r="A27" s="175" t="s">
        <v>36</v>
      </c>
      <c r="B27" s="133">
        <f>'W-Roundup R mielies '!H24</f>
        <v>1239.5279037244161</v>
      </c>
      <c r="C27" s="133">
        <f>'Mielie Vermin Bewerk'!G24</f>
        <v>1038.0959105186262</v>
      </c>
      <c r="D27" s="133">
        <f>Sojabone!F24</f>
        <v>783.08006169576902</v>
      </c>
      <c r="E27" s="133">
        <f>'Sojabone Vermin bewerk'!E24</f>
        <v>649.35533667040124</v>
      </c>
      <c r="F27" s="133">
        <f>Graansorghum!D24</f>
        <v>697.61003780612646</v>
      </c>
      <c r="G27" s="133">
        <f>'Bes-mielies'!F25</f>
        <v>1958.1033220297313</v>
      </c>
      <c r="H27" s="95"/>
      <c r="M27" s="233"/>
    </row>
    <row r="28" spans="1:14" ht="15" thickTop="1" x14ac:dyDescent="0.3">
      <c r="A28" s="211" t="s">
        <v>86</v>
      </c>
      <c r="B28" s="212">
        <f>SUM(B11:B27)</f>
        <v>20683.102864107412</v>
      </c>
      <c r="C28" s="212">
        <f t="shared" ref="C28:G28" si="2">SUM(C11:C27)</f>
        <v>17321.923330418645</v>
      </c>
      <c r="D28" s="212">
        <f t="shared" si="2"/>
        <v>13066.688872609793</v>
      </c>
      <c r="E28" s="212">
        <f t="shared" si="2"/>
        <v>10835.321402088461</v>
      </c>
      <c r="F28" s="212">
        <f t="shared" si="2"/>
        <v>12571.823447272109</v>
      </c>
      <c r="G28" s="212">
        <f t="shared" si="2"/>
        <v>35287.52156934431</v>
      </c>
      <c r="H28" s="232"/>
      <c r="I28" s="234"/>
      <c r="J28" s="234"/>
      <c r="K28" s="234"/>
      <c r="L28" s="234"/>
      <c r="M28" s="235"/>
    </row>
    <row r="29" spans="1:14" ht="8.4" customHeight="1" thickBot="1" x14ac:dyDescent="0.35">
      <c r="A29" s="103"/>
      <c r="B29" s="108"/>
      <c r="C29" s="108"/>
      <c r="D29" s="108"/>
      <c r="E29" s="108"/>
      <c r="F29" s="108"/>
      <c r="G29" s="108"/>
      <c r="H29" s="95"/>
    </row>
    <row r="30" spans="1:14" ht="15" thickTop="1" x14ac:dyDescent="0.3">
      <c r="A30" s="211" t="s">
        <v>87</v>
      </c>
      <c r="B30" s="212">
        <f>'W-Roundup R mielies '!D27</f>
        <v>1817.7300000000002</v>
      </c>
      <c r="C30" s="212">
        <f>'[5]Crop Comparison'!$D$30</f>
        <v>2217.0700000000002</v>
      </c>
      <c r="D30" s="212">
        <f>'[5]Crop Comparison'!$E$30</f>
        <v>2149.16</v>
      </c>
      <c r="E30" s="212">
        <f>'[5]Crop Comparison'!$F$30</f>
        <v>1523.8600000000001</v>
      </c>
      <c r="F30" s="212">
        <f>'[5]Crop Comparison'!$G$30</f>
        <v>2526.7399999999998</v>
      </c>
      <c r="G30" s="212">
        <f>'[5]Crop Comparison'!$H$30</f>
        <v>3994.8299999999995</v>
      </c>
      <c r="H30" s="95"/>
      <c r="I30" s="236"/>
      <c r="J30" s="236"/>
      <c r="K30" s="236"/>
      <c r="L30" s="236"/>
      <c r="M30" s="236"/>
      <c r="N30" s="236"/>
    </row>
    <row r="31" spans="1:14" ht="9" customHeight="1" x14ac:dyDescent="0.3">
      <c r="A31" s="103"/>
      <c r="B31" s="107"/>
      <c r="C31" s="107"/>
      <c r="D31" s="107"/>
      <c r="E31" s="107"/>
      <c r="F31" s="107"/>
      <c r="G31" s="107"/>
      <c r="H31" s="95"/>
    </row>
    <row r="32" spans="1:14" ht="15" thickBot="1" x14ac:dyDescent="0.35">
      <c r="A32" s="211" t="s">
        <v>88</v>
      </c>
      <c r="B32" s="213">
        <f t="shared" ref="B32:G32" si="3">B28+B30</f>
        <v>22500.832864107411</v>
      </c>
      <c r="C32" s="213">
        <f t="shared" si="3"/>
        <v>19538.993330418645</v>
      </c>
      <c r="D32" s="213">
        <f>D28+D30</f>
        <v>15215.848872609793</v>
      </c>
      <c r="E32" s="213">
        <f t="shared" si="3"/>
        <v>12359.181402088461</v>
      </c>
      <c r="F32" s="213">
        <f t="shared" si="3"/>
        <v>15098.563447272109</v>
      </c>
      <c r="G32" s="213">
        <f t="shared" si="3"/>
        <v>39282.351569344311</v>
      </c>
      <c r="H32" s="95"/>
    </row>
    <row r="33" spans="1:8" ht="15.6" thickTop="1" thickBot="1" x14ac:dyDescent="0.35">
      <c r="A33" s="96"/>
      <c r="B33" s="108"/>
      <c r="C33" s="108"/>
      <c r="D33" s="108"/>
      <c r="E33" s="178"/>
      <c r="F33" s="108"/>
      <c r="G33" s="108"/>
      <c r="H33" s="95"/>
    </row>
    <row r="34" spans="1:8" ht="15" thickTop="1" x14ac:dyDescent="0.3">
      <c r="A34" s="109" t="s">
        <v>89</v>
      </c>
      <c r="B34" s="110">
        <f>B8-B28</f>
        <v>3743.8971358925883</v>
      </c>
      <c r="C34" s="110">
        <f t="shared" ref="C34:G34" si="4">C8-C28</f>
        <v>5226.0766695813545</v>
      </c>
      <c r="D34" s="110">
        <f t="shared" si="4"/>
        <v>1309.3111273902068</v>
      </c>
      <c r="E34" s="110">
        <f t="shared" si="4"/>
        <v>1743.6785979115393</v>
      </c>
      <c r="F34" s="110">
        <f t="shared" si="4"/>
        <v>7148.1765527278912</v>
      </c>
      <c r="G34" s="110">
        <f t="shared" si="4"/>
        <v>9808.4784306556903</v>
      </c>
      <c r="H34" s="95"/>
    </row>
    <row r="35" spans="1:8" ht="14.4" x14ac:dyDescent="0.3">
      <c r="A35" s="109" t="s">
        <v>90</v>
      </c>
      <c r="B35" s="224">
        <f>B8-B32</f>
        <v>1926.1671358925887</v>
      </c>
      <c r="C35" s="110">
        <f t="shared" ref="C35:G35" si="5">C8-C32</f>
        <v>3009.0066695813548</v>
      </c>
      <c r="D35" s="110">
        <f>D8-D32</f>
        <v>-839.84887260979303</v>
      </c>
      <c r="E35" s="177">
        <f t="shared" si="5"/>
        <v>219.81859791153875</v>
      </c>
      <c r="F35" s="110">
        <f t="shared" si="5"/>
        <v>4621.4365527278915</v>
      </c>
      <c r="G35" s="110">
        <f t="shared" si="5"/>
        <v>5813.6484306556886</v>
      </c>
      <c r="H35" s="95"/>
    </row>
    <row r="36" spans="1:8" ht="14.4" x14ac:dyDescent="0.3">
      <c r="A36" s="109"/>
      <c r="B36" s="110"/>
      <c r="C36" s="110"/>
      <c r="D36" s="110"/>
      <c r="E36" s="110"/>
      <c r="F36" s="110"/>
      <c r="G36" s="110"/>
      <c r="H36" s="95"/>
    </row>
    <row r="37" spans="1:8" ht="49.2" customHeight="1" x14ac:dyDescent="0.25">
      <c r="A37" s="299" t="s">
        <v>91</v>
      </c>
      <c r="B37" s="300"/>
      <c r="C37" s="300"/>
      <c r="D37" s="300"/>
      <c r="E37" s="301"/>
      <c r="F37" s="301"/>
      <c r="G37" s="301"/>
      <c r="H37" s="95"/>
    </row>
    <row r="38" spans="1:8" ht="9.75" customHeight="1" x14ac:dyDescent="0.25">
      <c r="A38" s="111"/>
      <c r="B38" s="111"/>
      <c r="C38" s="111"/>
      <c r="D38" s="111"/>
      <c r="E38" s="112"/>
      <c r="F38" s="112"/>
      <c r="G38" s="112"/>
      <c r="H38" s="95"/>
    </row>
    <row r="39" spans="1:8" x14ac:dyDescent="0.25">
      <c r="A39" s="113"/>
      <c r="B39" s="113"/>
      <c r="C39" s="113"/>
      <c r="D39" s="113"/>
      <c r="E39" s="113"/>
      <c r="F39" s="113"/>
      <c r="G39" s="113"/>
      <c r="H39" s="95"/>
    </row>
    <row r="40" spans="1:8" x14ac:dyDescent="0.25">
      <c r="A40" s="113"/>
      <c r="B40" s="113"/>
      <c r="C40" s="113"/>
      <c r="D40" s="113"/>
      <c r="E40" s="113"/>
      <c r="F40" s="113"/>
      <c r="G40" s="113"/>
      <c r="H40" s="95"/>
    </row>
    <row r="41" spans="1:8" x14ac:dyDescent="0.25">
      <c r="A41" s="113"/>
      <c r="B41" s="113"/>
      <c r="C41" s="113"/>
      <c r="D41" s="113"/>
      <c r="E41" s="113"/>
      <c r="F41" s="113"/>
      <c r="G41" s="113"/>
      <c r="H41" s="95"/>
    </row>
    <row r="42" spans="1:8" x14ac:dyDescent="0.25">
      <c r="A42" s="113"/>
      <c r="B42" s="113"/>
      <c r="C42" s="113"/>
      <c r="D42" s="113"/>
      <c r="E42" s="113"/>
      <c r="F42" s="113"/>
      <c r="G42" s="113"/>
      <c r="H42" s="95"/>
    </row>
    <row r="43" spans="1:8" x14ac:dyDescent="0.25">
      <c r="A43" s="113"/>
      <c r="B43" s="113"/>
      <c r="C43" s="113"/>
      <c r="D43" s="113"/>
      <c r="E43" s="113"/>
      <c r="F43" s="113"/>
      <c r="G43" s="113"/>
      <c r="H43" s="95"/>
    </row>
    <row r="44" spans="1:8" x14ac:dyDescent="0.25">
      <c r="A44" s="113"/>
      <c r="B44" s="113"/>
      <c r="C44" s="113"/>
      <c r="D44" s="113"/>
      <c r="E44" s="113"/>
      <c r="F44" s="113"/>
      <c r="G44" s="113"/>
      <c r="H44" s="95"/>
    </row>
    <row r="45" spans="1:8" x14ac:dyDescent="0.25">
      <c r="A45" s="113"/>
      <c r="B45" s="113"/>
      <c r="C45" s="113"/>
      <c r="D45" s="113"/>
      <c r="E45" s="113"/>
      <c r="F45" s="113"/>
      <c r="G45" s="113"/>
      <c r="H45" s="95"/>
    </row>
    <row r="46" spans="1:8" x14ac:dyDescent="0.25">
      <c r="A46" s="113"/>
      <c r="B46" s="113"/>
      <c r="C46" s="113"/>
      <c r="D46" s="113"/>
      <c r="E46" s="113"/>
      <c r="F46" s="113"/>
      <c r="G46" s="113"/>
      <c r="H46" s="95"/>
    </row>
    <row r="47" spans="1:8" x14ac:dyDescent="0.25">
      <c r="A47" s="113"/>
      <c r="B47" s="113"/>
      <c r="C47" s="113"/>
      <c r="D47" s="113"/>
      <c r="E47" s="113"/>
      <c r="F47" s="113"/>
      <c r="G47" s="113"/>
      <c r="H47" s="95"/>
    </row>
    <row r="48" spans="1:8" x14ac:dyDescent="0.25">
      <c r="A48" s="113"/>
      <c r="B48" s="113"/>
      <c r="C48" s="113"/>
      <c r="D48" s="113"/>
      <c r="E48" s="113"/>
      <c r="F48" s="113"/>
      <c r="G48" s="113"/>
      <c r="H48" s="95"/>
    </row>
    <row r="49" spans="1:8" x14ac:dyDescent="0.25">
      <c r="A49" s="113"/>
      <c r="B49" s="113"/>
      <c r="C49" s="113"/>
      <c r="D49" s="113"/>
      <c r="E49" s="113"/>
      <c r="F49" s="113"/>
      <c r="G49" s="113"/>
      <c r="H49" s="95"/>
    </row>
    <row r="50" spans="1:8" x14ac:dyDescent="0.25">
      <c r="A50" s="113"/>
      <c r="B50" s="113"/>
      <c r="C50" s="113"/>
      <c r="D50" s="113"/>
      <c r="E50" s="113"/>
      <c r="F50" s="113"/>
      <c r="G50" s="113"/>
      <c r="H50" s="95"/>
    </row>
    <row r="51" spans="1:8" x14ac:dyDescent="0.25">
      <c r="A51" s="113"/>
      <c r="B51" s="113"/>
      <c r="C51" s="113"/>
      <c r="D51" s="113"/>
      <c r="E51" s="113"/>
      <c r="F51" s="113"/>
      <c r="G51" s="113"/>
      <c r="H51" s="95"/>
    </row>
    <row r="52" spans="1:8" x14ac:dyDescent="0.25">
      <c r="A52" s="113"/>
      <c r="B52" s="113"/>
      <c r="C52" s="113"/>
      <c r="D52" s="113"/>
      <c r="E52" s="113"/>
      <c r="F52" s="113"/>
      <c r="G52" s="113"/>
      <c r="H52" s="95"/>
    </row>
    <row r="53" spans="1:8" x14ac:dyDescent="0.25">
      <c r="A53" s="113"/>
      <c r="B53" s="113"/>
      <c r="C53" s="113"/>
      <c r="D53" s="113"/>
      <c r="E53" s="113"/>
      <c r="F53" s="113"/>
      <c r="G53" s="113"/>
      <c r="H53" s="95"/>
    </row>
    <row r="54" spans="1:8" x14ac:dyDescent="0.25">
      <c r="A54" s="113"/>
      <c r="B54" s="113"/>
      <c r="C54" s="113"/>
      <c r="D54" s="113"/>
      <c r="E54" s="113"/>
      <c r="F54" s="113"/>
      <c r="G54" s="113"/>
      <c r="H54" s="95"/>
    </row>
    <row r="55" spans="1:8" x14ac:dyDescent="0.25">
      <c r="A55" s="113"/>
      <c r="B55" s="113"/>
      <c r="C55" s="113"/>
      <c r="D55" s="113"/>
      <c r="E55" s="113"/>
      <c r="F55" s="113"/>
      <c r="G55" s="113"/>
      <c r="H55" s="95"/>
    </row>
    <row r="56" spans="1:8" x14ac:dyDescent="0.25">
      <c r="A56" s="113"/>
      <c r="B56" s="113"/>
      <c r="C56" s="113"/>
      <c r="D56" s="113"/>
      <c r="E56" s="113"/>
      <c r="F56" s="113"/>
      <c r="G56" s="113"/>
      <c r="H56" s="95"/>
    </row>
    <row r="57" spans="1:8" x14ac:dyDescent="0.25">
      <c r="A57" s="113"/>
      <c r="B57" s="113"/>
      <c r="C57" s="113"/>
      <c r="D57" s="113"/>
      <c r="E57" s="113"/>
      <c r="F57" s="113"/>
      <c r="G57" s="113"/>
      <c r="H57" s="95"/>
    </row>
    <row r="58" spans="1:8" ht="14.4" x14ac:dyDescent="0.3">
      <c r="A58" s="114" t="s">
        <v>92</v>
      </c>
      <c r="B58" s="115"/>
      <c r="C58" s="115"/>
      <c r="D58" s="115"/>
      <c r="E58" s="115"/>
      <c r="F58" s="115"/>
      <c r="G58" s="115"/>
      <c r="H58" s="95"/>
    </row>
    <row r="59" spans="1:8" ht="29.4" thickBot="1" x14ac:dyDescent="0.35">
      <c r="A59" s="116"/>
      <c r="B59" s="117" t="str">
        <f t="shared" ref="B59:G59" si="6">B2</f>
        <v>Maize (RR)</v>
      </c>
      <c r="C59" s="117" t="str">
        <f t="shared" si="6"/>
        <v>Maize (min tillage)</v>
      </c>
      <c r="D59" s="117" t="str">
        <f t="shared" si="6"/>
        <v>Soy bean (conventional)</v>
      </c>
      <c r="E59" s="117" t="str">
        <f t="shared" si="6"/>
        <v>Soy bean (min tillage)</v>
      </c>
      <c r="F59" s="117" t="str">
        <f t="shared" si="6"/>
        <v>Grain Sorghum</v>
      </c>
      <c r="G59" s="117" t="str">
        <f t="shared" si="6"/>
        <v>Irr-Maize</v>
      </c>
      <c r="H59" s="95"/>
    </row>
    <row r="60" spans="1:8" ht="14.4" x14ac:dyDescent="0.3">
      <c r="A60" s="118" t="s">
        <v>81</v>
      </c>
      <c r="B60" s="119">
        <f t="shared" ref="B60:G60" si="7">B5</f>
        <v>4200</v>
      </c>
      <c r="C60" s="119">
        <f t="shared" si="7"/>
        <v>4200</v>
      </c>
      <c r="D60" s="119">
        <f t="shared" si="7"/>
        <v>7400</v>
      </c>
      <c r="E60" s="119">
        <f t="shared" si="7"/>
        <v>7400</v>
      </c>
      <c r="F60" s="119">
        <f t="shared" si="7"/>
        <v>4993</v>
      </c>
      <c r="G60" s="119">
        <f t="shared" si="7"/>
        <v>4200</v>
      </c>
      <c r="H60" s="95"/>
    </row>
    <row r="61" spans="1:8" x14ac:dyDescent="0.25">
      <c r="A61" s="120" t="s">
        <v>93</v>
      </c>
      <c r="B61" s="121">
        <f t="shared" ref="B61:G61" si="8">B4</f>
        <v>6.5</v>
      </c>
      <c r="C61" s="121">
        <f t="shared" si="8"/>
        <v>6</v>
      </c>
      <c r="D61" s="121">
        <f t="shared" si="8"/>
        <v>2</v>
      </c>
      <c r="E61" s="121">
        <f t="shared" si="8"/>
        <v>1.75</v>
      </c>
      <c r="F61" s="121">
        <f t="shared" si="8"/>
        <v>4</v>
      </c>
      <c r="G61" s="121">
        <f t="shared" si="8"/>
        <v>12</v>
      </c>
      <c r="H61" s="95"/>
    </row>
    <row r="62" spans="1:8" x14ac:dyDescent="0.25">
      <c r="A62" s="120"/>
      <c r="B62" s="121"/>
      <c r="C62" s="121"/>
      <c r="D62" s="121"/>
      <c r="E62" s="121"/>
      <c r="F62" s="121"/>
      <c r="G62" s="121"/>
      <c r="H62" s="95"/>
    </row>
    <row r="63" spans="1:8" ht="14.4" x14ac:dyDescent="0.3">
      <c r="A63" s="122" t="s">
        <v>79</v>
      </c>
      <c r="B63" s="123"/>
      <c r="C63" s="123"/>
      <c r="D63" s="123"/>
      <c r="E63" s="123"/>
      <c r="F63" s="123"/>
      <c r="G63" s="123"/>
      <c r="H63" s="95"/>
    </row>
    <row r="64" spans="1:8" x14ac:dyDescent="0.25">
      <c r="A64" s="120" t="s">
        <v>94</v>
      </c>
      <c r="B64" s="119">
        <f t="shared" ref="B64:G64" si="9">B7</f>
        <v>3758</v>
      </c>
      <c r="C64" s="119">
        <f t="shared" si="9"/>
        <v>3758</v>
      </c>
      <c r="D64" s="119">
        <f t="shared" si="9"/>
        <v>7188</v>
      </c>
      <c r="E64" s="119">
        <f t="shared" si="9"/>
        <v>7188</v>
      </c>
      <c r="F64" s="119">
        <f t="shared" si="9"/>
        <v>4930</v>
      </c>
      <c r="G64" s="119">
        <f t="shared" si="9"/>
        <v>3758</v>
      </c>
      <c r="H64" s="95"/>
    </row>
    <row r="65" spans="1:8" x14ac:dyDescent="0.25">
      <c r="A65" s="120" t="s">
        <v>95</v>
      </c>
      <c r="B65" s="119">
        <f t="shared" ref="B65:G65" si="10">B64/B61</f>
        <v>578.15384615384619</v>
      </c>
      <c r="C65" s="119">
        <f t="shared" si="10"/>
        <v>626.33333333333337</v>
      </c>
      <c r="D65" s="119">
        <f t="shared" si="10"/>
        <v>3594</v>
      </c>
      <c r="E65" s="119">
        <f t="shared" si="10"/>
        <v>4107.4285714285716</v>
      </c>
      <c r="F65" s="119">
        <f t="shared" si="10"/>
        <v>1232.5</v>
      </c>
      <c r="G65" s="119">
        <f t="shared" si="10"/>
        <v>313.16666666666669</v>
      </c>
      <c r="H65" s="95"/>
    </row>
    <row r="66" spans="1:8" x14ac:dyDescent="0.25">
      <c r="A66" s="120"/>
      <c r="B66" s="119"/>
      <c r="C66" s="119"/>
      <c r="D66" s="119"/>
      <c r="E66" s="119"/>
      <c r="F66" s="119"/>
      <c r="G66" s="119"/>
      <c r="H66" s="95"/>
    </row>
    <row r="67" spans="1:8" ht="14.4" x14ac:dyDescent="0.3">
      <c r="A67" s="126" t="s">
        <v>102</v>
      </c>
      <c r="B67" s="123"/>
      <c r="C67" s="123"/>
      <c r="D67" s="123"/>
      <c r="E67" s="123"/>
      <c r="F67" s="123"/>
      <c r="G67" s="123"/>
      <c r="H67" s="95"/>
    </row>
    <row r="68" spans="1:8" x14ac:dyDescent="0.25">
      <c r="A68" s="127" t="s">
        <v>103</v>
      </c>
      <c r="B68" s="119">
        <f t="shared" ref="B68:G68" si="11">B28</f>
        <v>20683.102864107412</v>
      </c>
      <c r="C68" s="119">
        <f t="shared" si="11"/>
        <v>17321.923330418645</v>
      </c>
      <c r="D68" s="119">
        <f t="shared" si="11"/>
        <v>13066.688872609793</v>
      </c>
      <c r="E68" s="119">
        <f t="shared" si="11"/>
        <v>10835.321402088461</v>
      </c>
      <c r="F68" s="119">
        <f t="shared" si="11"/>
        <v>12571.823447272109</v>
      </c>
      <c r="G68" s="119">
        <f t="shared" si="11"/>
        <v>35287.52156934431</v>
      </c>
      <c r="H68" s="95"/>
    </row>
    <row r="69" spans="1:8" x14ac:dyDescent="0.25">
      <c r="A69" s="127" t="s">
        <v>104</v>
      </c>
      <c r="B69" s="119">
        <f t="shared" ref="B69:G69" si="12">B68/B61</f>
        <v>3182.0158252472943</v>
      </c>
      <c r="C69" s="119">
        <f t="shared" si="12"/>
        <v>2886.9872217364409</v>
      </c>
      <c r="D69" s="119">
        <f t="shared" si="12"/>
        <v>6533.3444363048966</v>
      </c>
      <c r="E69" s="119">
        <f t="shared" si="12"/>
        <v>6191.6122297648344</v>
      </c>
      <c r="F69" s="119">
        <f t="shared" si="12"/>
        <v>3142.9558618180272</v>
      </c>
      <c r="G69" s="119">
        <f t="shared" si="12"/>
        <v>2940.626797445359</v>
      </c>
      <c r="H69" s="95"/>
    </row>
    <row r="70" spans="1:8" x14ac:dyDescent="0.25">
      <c r="A70" s="120"/>
      <c r="B70" s="119"/>
      <c r="C70" s="119"/>
      <c r="D70" s="119"/>
      <c r="E70" s="119"/>
      <c r="F70" s="119"/>
      <c r="G70" s="119"/>
      <c r="H70" s="95"/>
    </row>
    <row r="71" spans="1:8" x14ac:dyDescent="0.25">
      <c r="A71" s="120" t="s">
        <v>96</v>
      </c>
      <c r="B71" s="119">
        <f t="shared" ref="B71:G71" si="13">B32</f>
        <v>22500.832864107411</v>
      </c>
      <c r="C71" s="119">
        <f t="shared" si="13"/>
        <v>19538.993330418645</v>
      </c>
      <c r="D71" s="119">
        <f t="shared" si="13"/>
        <v>15215.848872609793</v>
      </c>
      <c r="E71" s="119">
        <f t="shared" si="13"/>
        <v>12359.181402088461</v>
      </c>
      <c r="F71" s="119">
        <f>F32</f>
        <v>15098.563447272109</v>
      </c>
      <c r="G71" s="119">
        <f t="shared" si="13"/>
        <v>39282.351569344311</v>
      </c>
      <c r="H71" s="95"/>
    </row>
    <row r="72" spans="1:8" x14ac:dyDescent="0.25">
      <c r="A72" s="120" t="s">
        <v>97</v>
      </c>
      <c r="B72" s="119">
        <f t="shared" ref="B72:G72" si="14">B71/B61</f>
        <v>3461.6665944780634</v>
      </c>
      <c r="C72" s="119">
        <f t="shared" si="14"/>
        <v>3256.4988884031077</v>
      </c>
      <c r="D72" s="119">
        <f t="shared" si="14"/>
        <v>7607.9244363048965</v>
      </c>
      <c r="E72" s="119">
        <f t="shared" si="14"/>
        <v>7062.3893726219776</v>
      </c>
      <c r="F72" s="119">
        <f t="shared" si="14"/>
        <v>3774.6408618180271</v>
      </c>
      <c r="G72" s="119">
        <f t="shared" si="14"/>
        <v>3273.5292974453591</v>
      </c>
      <c r="H72" s="95"/>
    </row>
    <row r="73" spans="1:8" x14ac:dyDescent="0.25">
      <c r="A73" s="120"/>
      <c r="B73" s="119"/>
      <c r="C73" s="119"/>
      <c r="D73" s="119"/>
      <c r="E73" s="119"/>
      <c r="F73" s="119"/>
      <c r="G73" s="119"/>
      <c r="H73" s="95"/>
    </row>
    <row r="74" spans="1:8" x14ac:dyDescent="0.25">
      <c r="A74" s="128" t="s">
        <v>105</v>
      </c>
      <c r="B74" s="124"/>
      <c r="C74" s="124"/>
      <c r="D74" s="124"/>
      <c r="E74" s="124"/>
      <c r="F74" s="124"/>
      <c r="G74" s="124"/>
      <c r="H74" s="95"/>
    </row>
    <row r="75" spans="1:8" x14ac:dyDescent="0.25">
      <c r="A75" s="127" t="s">
        <v>106</v>
      </c>
      <c r="B75" s="119">
        <f t="shared" ref="B75:G75" si="15">B34</f>
        <v>3743.8971358925883</v>
      </c>
      <c r="C75" s="119">
        <f t="shared" si="15"/>
        <v>5226.0766695813545</v>
      </c>
      <c r="D75" s="119">
        <f t="shared" si="15"/>
        <v>1309.3111273902068</v>
      </c>
      <c r="E75" s="119">
        <f t="shared" si="15"/>
        <v>1743.6785979115393</v>
      </c>
      <c r="F75" s="119">
        <f t="shared" si="15"/>
        <v>7148.1765527278912</v>
      </c>
      <c r="G75" s="119">
        <f t="shared" si="15"/>
        <v>9808.4784306556903</v>
      </c>
      <c r="H75" s="95"/>
    </row>
    <row r="76" spans="1:8" x14ac:dyDescent="0.25">
      <c r="A76" s="127" t="s">
        <v>107</v>
      </c>
      <c r="B76" s="119">
        <f t="shared" ref="B76:G76" si="16">B75/B61</f>
        <v>575.98417475270594</v>
      </c>
      <c r="C76" s="119">
        <f t="shared" si="16"/>
        <v>871.01277826355908</v>
      </c>
      <c r="D76" s="119">
        <f t="shared" si="16"/>
        <v>654.65556369510341</v>
      </c>
      <c r="E76" s="119">
        <f t="shared" si="16"/>
        <v>996.38777023516536</v>
      </c>
      <c r="F76" s="119">
        <f t="shared" si="16"/>
        <v>1787.0441381819728</v>
      </c>
      <c r="G76" s="119">
        <f t="shared" si="16"/>
        <v>817.3732025546409</v>
      </c>
      <c r="H76" s="95"/>
    </row>
    <row r="77" spans="1:8" x14ac:dyDescent="0.25">
      <c r="A77" s="120"/>
      <c r="B77" s="119"/>
      <c r="C77" s="119"/>
      <c r="D77" s="119"/>
      <c r="E77" s="119"/>
      <c r="F77" s="119"/>
      <c r="G77" s="119"/>
      <c r="H77" s="95"/>
    </row>
    <row r="78" spans="1:8" x14ac:dyDescent="0.25">
      <c r="A78" s="120" t="s">
        <v>98</v>
      </c>
      <c r="B78" s="119">
        <f t="shared" ref="B78:G78" si="17">B35</f>
        <v>1926.1671358925887</v>
      </c>
      <c r="C78" s="119">
        <f t="shared" si="17"/>
        <v>3009.0066695813548</v>
      </c>
      <c r="D78" s="119">
        <f t="shared" si="17"/>
        <v>-839.84887260979303</v>
      </c>
      <c r="E78" s="119">
        <f t="shared" si="17"/>
        <v>219.81859791153875</v>
      </c>
      <c r="F78" s="119">
        <f>F35</f>
        <v>4621.4365527278915</v>
      </c>
      <c r="G78" s="119">
        <f t="shared" si="17"/>
        <v>5813.6484306556886</v>
      </c>
      <c r="H78" s="95"/>
    </row>
    <row r="79" spans="1:8" x14ac:dyDescent="0.25">
      <c r="A79" s="120" t="s">
        <v>99</v>
      </c>
      <c r="B79" s="119">
        <f t="shared" ref="B79:G79" si="18">B78/B4</f>
        <v>296.3334055219367</v>
      </c>
      <c r="C79" s="119">
        <f t="shared" si="18"/>
        <v>501.50111159689249</v>
      </c>
      <c r="D79" s="119">
        <f t="shared" si="18"/>
        <v>-419.92443630489652</v>
      </c>
      <c r="E79" s="119">
        <f t="shared" si="18"/>
        <v>125.61062737802214</v>
      </c>
      <c r="F79" s="119">
        <f t="shared" si="18"/>
        <v>1155.3591381819729</v>
      </c>
      <c r="G79" s="119">
        <f t="shared" si="18"/>
        <v>484.4707025546407</v>
      </c>
      <c r="H79" s="95"/>
    </row>
    <row r="80" spans="1:8" x14ac:dyDescent="0.25">
      <c r="A80" s="120"/>
      <c r="B80" s="119"/>
      <c r="C80" s="119"/>
      <c r="D80" s="119"/>
      <c r="E80" s="119"/>
      <c r="F80" s="119"/>
      <c r="G80" s="119"/>
      <c r="H80" s="95"/>
    </row>
    <row r="81" spans="1:8" ht="14.4" x14ac:dyDescent="0.3">
      <c r="A81" s="130" t="s">
        <v>108</v>
      </c>
      <c r="B81" s="124"/>
      <c r="C81" s="124"/>
      <c r="D81" s="124"/>
      <c r="E81" s="124"/>
      <c r="F81" s="124"/>
      <c r="G81" s="124"/>
      <c r="H81" s="95"/>
    </row>
    <row r="82" spans="1:8" ht="13.8" thickBot="1" x14ac:dyDescent="0.3">
      <c r="A82" s="127" t="s">
        <v>100</v>
      </c>
      <c r="B82" s="125">
        <f t="shared" ref="B82:G82" si="19">B68/B64</f>
        <v>5.5037527578785026</v>
      </c>
      <c r="C82" s="125">
        <f>C68/C64</f>
        <v>4.6093462827085272</v>
      </c>
      <c r="D82" s="125">
        <f t="shared" si="19"/>
        <v>1.8178476450486636</v>
      </c>
      <c r="E82" s="125">
        <f t="shared" si="19"/>
        <v>1.5074181138130858</v>
      </c>
      <c r="F82" s="125">
        <f t="shared" si="19"/>
        <v>2.5500656079659452</v>
      </c>
      <c r="G82" s="125">
        <f t="shared" si="19"/>
        <v>9.3899738077020523</v>
      </c>
      <c r="H82" s="95"/>
    </row>
    <row r="83" spans="1:8" ht="14.4" thickTop="1" thickBot="1" x14ac:dyDescent="0.3">
      <c r="A83" s="127" t="s">
        <v>101</v>
      </c>
      <c r="B83" s="129">
        <f t="shared" ref="B83:G83" si="20">B69+B6</f>
        <v>3624.0158252472943</v>
      </c>
      <c r="C83" s="129">
        <f t="shared" si="20"/>
        <v>3328.9872217364409</v>
      </c>
      <c r="D83" s="129">
        <f t="shared" si="20"/>
        <v>6745.3444363048966</v>
      </c>
      <c r="E83" s="129">
        <f t="shared" si="20"/>
        <v>6403.6122297648344</v>
      </c>
      <c r="F83" s="129">
        <f t="shared" si="20"/>
        <v>3205.9558618180272</v>
      </c>
      <c r="G83" s="129">
        <f t="shared" si="20"/>
        <v>3382.626797445359</v>
      </c>
      <c r="H83" s="95"/>
    </row>
    <row r="84" spans="1:8" ht="15" thickTop="1" x14ac:dyDescent="0.3">
      <c r="A84" s="130" t="s">
        <v>109</v>
      </c>
      <c r="B84" s="124"/>
      <c r="C84" s="124"/>
      <c r="D84" s="124"/>
      <c r="E84" s="124"/>
      <c r="F84" s="124"/>
      <c r="G84" s="124"/>
      <c r="H84" s="95"/>
    </row>
    <row r="85" spans="1:8" ht="13.8" thickBot="1" x14ac:dyDescent="0.3">
      <c r="A85" s="120" t="s">
        <v>100</v>
      </c>
      <c r="B85" s="125">
        <f t="shared" ref="B85:G85" si="21">B71/B64</f>
        <v>5.9874488728332658</v>
      </c>
      <c r="C85" s="125">
        <f t="shared" si="21"/>
        <v>5.1993063678602036</v>
      </c>
      <c r="D85" s="125">
        <f t="shared" si="21"/>
        <v>2.1168404107693091</v>
      </c>
      <c r="E85" s="125">
        <f t="shared" si="21"/>
        <v>1.7194186702961132</v>
      </c>
      <c r="F85" s="125">
        <f t="shared" si="21"/>
        <v>3.0625889345379531</v>
      </c>
      <c r="G85" s="125">
        <f t="shared" si="21"/>
        <v>10.452994031225202</v>
      </c>
      <c r="H85" s="95"/>
    </row>
    <row r="86" spans="1:8" ht="14.4" thickTop="1" thickBot="1" x14ac:dyDescent="0.3">
      <c r="A86" s="120" t="s">
        <v>101</v>
      </c>
      <c r="B86" s="129">
        <f t="shared" ref="B86:G86" si="22">B72+B6</f>
        <v>3903.6665944780634</v>
      </c>
      <c r="C86" s="129">
        <f t="shared" si="22"/>
        <v>3698.4988884031077</v>
      </c>
      <c r="D86" s="129">
        <f t="shared" si="22"/>
        <v>7819.9244363048965</v>
      </c>
      <c r="E86" s="129">
        <f t="shared" si="22"/>
        <v>7274.3893726219776</v>
      </c>
      <c r="F86" s="129">
        <f t="shared" si="22"/>
        <v>3837.6408618180271</v>
      </c>
      <c r="G86" s="129">
        <f t="shared" si="22"/>
        <v>3715.5292974453591</v>
      </c>
      <c r="H86" s="95"/>
    </row>
    <row r="87" spans="1:8" ht="13.8" thickTop="1" x14ac:dyDescent="0.25"/>
  </sheetData>
  <mergeCells count="1">
    <mergeCell ref="A37:G37"/>
  </mergeCells>
  <conditionalFormatting sqref="B35:D36 E35 B34:E34 G34:G35">
    <cfRule type="colorScale" priority="4">
      <colorScale>
        <cfvo type="min"/>
        <cfvo type="percentile" val="50"/>
        <cfvo type="max"/>
        <color rgb="FFF8696B"/>
        <color rgb="FFFFEB84"/>
        <color rgb="FF63BE7B"/>
      </colorScale>
    </cfRule>
  </conditionalFormatting>
  <conditionalFormatting sqref="B36:G36 B34:E35 G34:G35">
    <cfRule type="colorScale" priority="57">
      <colorScale>
        <cfvo type="min"/>
        <cfvo type="percentile" val="50"/>
        <cfvo type="max"/>
        <color rgb="FFF8696B"/>
        <color rgb="FFFFEB84"/>
        <color rgb="FF63BE7B"/>
      </colorScale>
    </cfRule>
  </conditionalFormatting>
  <conditionalFormatting sqref="E36:G36 E34:E35 G34:G35">
    <cfRule type="colorScale" priority="5">
      <colorScale>
        <cfvo type="min"/>
        <cfvo type="percentile" val="50"/>
        <cfvo type="max"/>
        <color rgb="FFF8696B"/>
        <color rgb="FFFFEB84"/>
        <color rgb="FF63BE7B"/>
      </colorScale>
    </cfRule>
  </conditionalFormatting>
  <conditionalFormatting sqref="F34:F35">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onditionalFormatting>
  <pageMargins left="0.39370078740157483" right="0.31496062992125984" top="0.74803149606299213" bottom="0.74803149606299213" header="0.31496062992125984" footer="0.31496062992125984"/>
  <pageSetup paperSize="9" scale="6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94E9D-02AA-499B-B65F-30CC3991417D}">
  <dimension ref="A1:F57"/>
  <sheetViews>
    <sheetView zoomScale="64" zoomScaleNormal="100" workbookViewId="0">
      <selection activeCell="AD31" sqref="AD31"/>
    </sheetView>
  </sheetViews>
  <sheetFormatPr defaultRowHeight="14.4" x14ac:dyDescent="0.3"/>
  <cols>
    <col min="1" max="1" width="23.5546875" style="214" customWidth="1"/>
    <col min="2" max="2" width="17.6640625" style="214" customWidth="1"/>
    <col min="3" max="16384" width="8.88671875" style="214"/>
  </cols>
  <sheetData>
    <row r="1" spans="1:6" x14ac:dyDescent="0.3">
      <c r="A1" s="302" t="s">
        <v>120</v>
      </c>
      <c r="B1" s="303"/>
      <c r="C1" s="304"/>
      <c r="D1" s="302" t="s">
        <v>121</v>
      </c>
      <c r="E1" s="303"/>
      <c r="F1" s="304"/>
    </row>
    <row r="2" spans="1:6" x14ac:dyDescent="0.3">
      <c r="A2" s="215" t="s">
        <v>122</v>
      </c>
      <c r="B2" s="214">
        <v>0</v>
      </c>
      <c r="C2" s="216">
        <v>0</v>
      </c>
      <c r="D2" s="214" t="s">
        <v>123</v>
      </c>
      <c r="F2" s="217">
        <f>((B4+B3+F7)/B7)*100</f>
        <v>52.05226516795517</v>
      </c>
    </row>
    <row r="3" spans="1:6" x14ac:dyDescent="0.3">
      <c r="A3" s="215" t="s">
        <v>124</v>
      </c>
      <c r="B3" s="226">
        <f>'Crop Comparison'!B28</f>
        <v>20683.102864107412</v>
      </c>
      <c r="C3" s="217">
        <f>B3/$B$7*100</f>
        <v>44.074276611070204</v>
      </c>
      <c r="D3" s="214" t="s">
        <v>121</v>
      </c>
      <c r="F3" s="216">
        <v>1</v>
      </c>
    </row>
    <row r="4" spans="1:6" x14ac:dyDescent="0.3">
      <c r="A4" s="215" t="s">
        <v>125</v>
      </c>
      <c r="B4" s="218">
        <f>'Crop Comparison'!B30</f>
        <v>1817.7300000000002</v>
      </c>
      <c r="C4" s="217">
        <f>B4/$B$7*100</f>
        <v>3.8734582209746247</v>
      </c>
      <c r="D4" s="214" t="s">
        <v>126</v>
      </c>
      <c r="F4" s="217">
        <f>C7-F3-F2</f>
        <v>146.94773483204483</v>
      </c>
    </row>
    <row r="5" spans="1:6" x14ac:dyDescent="0.3">
      <c r="A5" s="215" t="s">
        <v>127</v>
      </c>
      <c r="B5" s="218">
        <f>'Crop Comparison'!B8</f>
        <v>24427</v>
      </c>
      <c r="C5" s="217">
        <f>B5/$B$7*100</f>
        <v>52.05226516795517</v>
      </c>
      <c r="D5" s="215"/>
      <c r="F5" s="216"/>
    </row>
    <row r="6" spans="1:6" x14ac:dyDescent="0.3">
      <c r="A6" s="215" t="s">
        <v>128</v>
      </c>
      <c r="C6" s="216">
        <v>100</v>
      </c>
      <c r="D6" s="215"/>
      <c r="F6" s="216"/>
    </row>
    <row r="7" spans="1:6" ht="15" thickBot="1" x14ac:dyDescent="0.35">
      <c r="A7" s="219" t="s">
        <v>129</v>
      </c>
      <c r="B7" s="220">
        <f>SUM(B3:B5)</f>
        <v>46927.832864107411</v>
      </c>
      <c r="C7" s="221">
        <f>SUM(C2:C6)</f>
        <v>200</v>
      </c>
      <c r="D7" s="219" t="s">
        <v>130</v>
      </c>
      <c r="E7" s="222"/>
      <c r="F7" s="223">
        <f>B5-(B3+B4)</f>
        <v>1926.1671358925887</v>
      </c>
    </row>
    <row r="18" spans="1:6" ht="15" thickBot="1" x14ac:dyDescent="0.35"/>
    <row r="19" spans="1:6" x14ac:dyDescent="0.3">
      <c r="A19" s="302" t="s">
        <v>131</v>
      </c>
      <c r="B19" s="303"/>
      <c r="C19" s="304"/>
      <c r="D19" s="302" t="s">
        <v>121</v>
      </c>
      <c r="E19" s="303"/>
      <c r="F19" s="304"/>
    </row>
    <row r="20" spans="1:6" x14ac:dyDescent="0.3">
      <c r="A20" s="215" t="s">
        <v>122</v>
      </c>
      <c r="B20" s="214">
        <v>0</v>
      </c>
      <c r="C20" s="216">
        <v>0</v>
      </c>
      <c r="D20" s="214" t="s">
        <v>123</v>
      </c>
      <c r="F20" s="217">
        <f>((B22+B21+F25)/B25)*100</f>
        <v>48.580945590413656</v>
      </c>
    </row>
    <row r="21" spans="1:6" x14ac:dyDescent="0.3">
      <c r="A21" s="215" t="s">
        <v>124</v>
      </c>
      <c r="B21" s="218">
        <f>'Crop Comparison'!D28</f>
        <v>13066.688872609793</v>
      </c>
      <c r="C21" s="217">
        <f>B21/$B$25*100</f>
        <v>44.156378767885357</v>
      </c>
      <c r="D21" s="214" t="s">
        <v>121</v>
      </c>
      <c r="F21" s="216">
        <v>1</v>
      </c>
    </row>
    <row r="22" spans="1:6" x14ac:dyDescent="0.3">
      <c r="A22" s="215" t="s">
        <v>125</v>
      </c>
      <c r="B22" s="218">
        <f>'Crop Comparison'!D30</f>
        <v>2149.16</v>
      </c>
      <c r="C22" s="217">
        <f>B22/$B$25*100</f>
        <v>7.262675641700989</v>
      </c>
      <c r="D22" s="214" t="s">
        <v>126</v>
      </c>
      <c r="F22" s="217">
        <f>C25-F21-F20</f>
        <v>150.41905440958635</v>
      </c>
    </row>
    <row r="23" spans="1:6" x14ac:dyDescent="0.3">
      <c r="A23" s="215" t="s">
        <v>127</v>
      </c>
      <c r="B23" s="218">
        <f>'Crop Comparison'!D8</f>
        <v>14376</v>
      </c>
      <c r="C23" s="217">
        <f>B23/$B$25*100</f>
        <v>48.580945590413656</v>
      </c>
      <c r="D23" s="215"/>
      <c r="F23" s="216"/>
    </row>
    <row r="24" spans="1:6" x14ac:dyDescent="0.3">
      <c r="A24" s="215" t="s">
        <v>128</v>
      </c>
      <c r="C24" s="216">
        <v>100</v>
      </c>
      <c r="D24" s="215"/>
      <c r="F24" s="216"/>
    </row>
    <row r="25" spans="1:6" ht="15" thickBot="1" x14ac:dyDescent="0.35">
      <c r="A25" s="219" t="s">
        <v>129</v>
      </c>
      <c r="B25" s="220">
        <f>SUM(B21:B23)</f>
        <v>29591.848872609793</v>
      </c>
      <c r="C25" s="221">
        <f>SUM(C20:C24)</f>
        <v>200</v>
      </c>
      <c r="D25" s="219" t="s">
        <v>130</v>
      </c>
      <c r="E25" s="222"/>
      <c r="F25" s="223">
        <f>B23-(B21+B22)</f>
        <v>-839.84887260979303</v>
      </c>
    </row>
    <row r="38" spans="1:6" ht="15" thickBot="1" x14ac:dyDescent="0.35"/>
    <row r="39" spans="1:6" x14ac:dyDescent="0.3">
      <c r="A39" s="302" t="s">
        <v>132</v>
      </c>
      <c r="B39" s="303"/>
      <c r="C39" s="304"/>
      <c r="D39" s="302" t="s">
        <v>121</v>
      </c>
      <c r="E39" s="303"/>
      <c r="F39" s="304"/>
    </row>
    <row r="40" spans="1:6" x14ac:dyDescent="0.3">
      <c r="A40" s="215" t="s">
        <v>122</v>
      </c>
      <c r="B40" s="214">
        <v>0</v>
      </c>
      <c r="C40" s="216">
        <v>0</v>
      </c>
      <c r="D40" s="214" t="s">
        <v>123</v>
      </c>
      <c r="F40" s="217">
        <f>((B42+B41+F45)/B45)*100</f>
        <v>56.636454946980251</v>
      </c>
    </row>
    <row r="41" spans="1:6" x14ac:dyDescent="0.3">
      <c r="A41" s="215" t="s">
        <v>124</v>
      </c>
      <c r="B41" s="218">
        <f>'Crop Comparison'!F28</f>
        <v>12571.823447272109</v>
      </c>
      <c r="C41" s="217">
        <f>B41/$B$45*100</f>
        <v>36.10666897935176</v>
      </c>
      <c r="D41" s="214" t="s">
        <v>121</v>
      </c>
      <c r="F41" s="216">
        <v>1</v>
      </c>
    </row>
    <row r="42" spans="1:6" x14ac:dyDescent="0.3">
      <c r="A42" s="215" t="s">
        <v>125</v>
      </c>
      <c r="B42" s="218">
        <f>'Crop Comparison'!F30</f>
        <v>2526.7399999999998</v>
      </c>
      <c r="C42" s="217">
        <f t="shared" ref="C42:C43" si="0">B42/$B$45*100</f>
        <v>7.2568760736679945</v>
      </c>
      <c r="D42" s="214" t="s">
        <v>126</v>
      </c>
      <c r="F42" s="217">
        <f>C45-F41-F40</f>
        <v>142.36354505301975</v>
      </c>
    </row>
    <row r="43" spans="1:6" x14ac:dyDescent="0.3">
      <c r="A43" s="215" t="s">
        <v>127</v>
      </c>
      <c r="B43" s="218">
        <f>'Crop Comparison'!F8</f>
        <v>19720</v>
      </c>
      <c r="C43" s="217">
        <f t="shared" si="0"/>
        <v>56.636454946980251</v>
      </c>
      <c r="D43" s="215"/>
      <c r="F43" s="216"/>
    </row>
    <row r="44" spans="1:6" x14ac:dyDescent="0.3">
      <c r="A44" s="215" t="s">
        <v>128</v>
      </c>
      <c r="C44" s="216">
        <v>100</v>
      </c>
      <c r="D44" s="215"/>
      <c r="F44" s="216"/>
    </row>
    <row r="45" spans="1:6" ht="15" thickBot="1" x14ac:dyDescent="0.35">
      <c r="A45" s="219" t="s">
        <v>129</v>
      </c>
      <c r="B45" s="220">
        <f>SUM(B41:B43)</f>
        <v>34818.563447272107</v>
      </c>
      <c r="C45" s="221">
        <f>SUM(C40:C44)</f>
        <v>200</v>
      </c>
      <c r="D45" s="219" t="s">
        <v>130</v>
      </c>
      <c r="E45" s="222"/>
      <c r="F45" s="223">
        <f>B43-(B41+B42)</f>
        <v>4621.4365527278915</v>
      </c>
    </row>
    <row r="55" spans="5:5" x14ac:dyDescent="0.3">
      <c r="E55" s="214">
        <v>932</v>
      </c>
    </row>
    <row r="56" spans="5:5" x14ac:dyDescent="0.3">
      <c r="E56" s="214">
        <v>170</v>
      </c>
    </row>
    <row r="57" spans="5:5" x14ac:dyDescent="0.3">
      <c r="E57" s="214">
        <f>E55+E56</f>
        <v>1102</v>
      </c>
    </row>
  </sheetData>
  <mergeCells count="6">
    <mergeCell ref="A1:C1"/>
    <mergeCell ref="D1:F1"/>
    <mergeCell ref="A19:C19"/>
    <mergeCell ref="D19:F19"/>
    <mergeCell ref="A39:C39"/>
    <mergeCell ref="D39:F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6"/>
  <sheetViews>
    <sheetView zoomScale="80" zoomScaleNormal="80" workbookViewId="0">
      <selection activeCell="A13" sqref="A13:XFD13"/>
    </sheetView>
  </sheetViews>
  <sheetFormatPr defaultColWidth="9.109375" defaultRowHeight="13.2" x14ac:dyDescent="0.25"/>
  <cols>
    <col min="1" max="1" width="47.88671875" style="1" customWidth="1"/>
    <col min="2" max="2" width="13.33203125" style="1" customWidth="1"/>
    <col min="3" max="3" width="17.33203125" style="1" customWidth="1"/>
    <col min="4" max="4" width="16.109375" style="1" customWidth="1"/>
    <col min="5" max="6" width="14.33203125" style="1" customWidth="1"/>
    <col min="7" max="7" width="14.88671875" style="1" customWidth="1"/>
    <col min="8" max="8" width="14.5546875" style="1" customWidth="1"/>
    <col min="9" max="9" width="16.33203125" style="1" customWidth="1"/>
    <col min="10" max="10" width="14.44140625" style="1" customWidth="1"/>
    <col min="11" max="13" width="12.6640625" style="1" hidden="1" customWidth="1"/>
    <col min="14" max="26" width="12.6640625" style="1" customWidth="1"/>
    <col min="27" max="16384" width="9.109375" style="1"/>
  </cols>
  <sheetData>
    <row r="1" spans="1:15" ht="30" customHeight="1" thickBot="1" x14ac:dyDescent="0.35">
      <c r="A1" s="270" t="s">
        <v>110</v>
      </c>
      <c r="B1" s="271"/>
      <c r="C1" s="271"/>
      <c r="D1" s="271"/>
      <c r="E1" s="228"/>
      <c r="F1" s="272" t="s">
        <v>138</v>
      </c>
      <c r="G1" s="272"/>
      <c r="H1" s="272"/>
      <c r="I1" s="11"/>
    </row>
    <row r="2" spans="1:15" ht="16.2" thickBot="1" x14ac:dyDescent="0.35">
      <c r="A2" s="12"/>
      <c r="B2" s="13"/>
      <c r="C2" s="14"/>
      <c r="D2" s="14"/>
      <c r="E2" s="8"/>
      <c r="F2" s="8"/>
      <c r="G2" s="8"/>
      <c r="H2" s="8"/>
      <c r="I2" s="3"/>
    </row>
    <row r="3" spans="1:15" ht="27.75" customHeight="1" thickBot="1" x14ac:dyDescent="0.3">
      <c r="A3" s="273" t="s">
        <v>16</v>
      </c>
      <c r="B3" s="274"/>
      <c r="C3" s="274"/>
      <c r="D3" s="189"/>
      <c r="E3" s="190">
        <f>'Pryse + Sensatiwiteitsanalise'!B19</f>
        <v>3758</v>
      </c>
      <c r="F3" s="189" t="s">
        <v>0</v>
      </c>
      <c r="G3" s="191"/>
      <c r="H3" s="191"/>
      <c r="I3" s="192"/>
    </row>
    <row r="4" spans="1:15" ht="13.8" thickBot="1" x14ac:dyDescent="0.3">
      <c r="A4" s="68"/>
      <c r="B4" s="78"/>
      <c r="C4" s="78"/>
      <c r="D4" s="5"/>
      <c r="E4" s="7"/>
      <c r="F4" s="16"/>
      <c r="G4" s="6"/>
      <c r="H4" s="17"/>
      <c r="I4" s="17"/>
    </row>
    <row r="5" spans="1:15" ht="13.8" thickBot="1" x14ac:dyDescent="0.3">
      <c r="A5" s="68" t="s">
        <v>17</v>
      </c>
      <c r="B5" s="78"/>
      <c r="C5" s="78"/>
      <c r="D5" s="34">
        <v>4.5</v>
      </c>
      <c r="E5" s="34">
        <v>5</v>
      </c>
      <c r="F5" s="34">
        <v>5.5</v>
      </c>
      <c r="G5" s="34">
        <v>6</v>
      </c>
      <c r="H5" s="34">
        <v>7</v>
      </c>
      <c r="I5" s="34">
        <v>8</v>
      </c>
    </row>
    <row r="6" spans="1:15" ht="13.8" thickBot="1" x14ac:dyDescent="0.3">
      <c r="A6" s="193" t="s">
        <v>18</v>
      </c>
      <c r="B6" s="194"/>
      <c r="C6" s="195"/>
      <c r="D6" s="196">
        <f t="shared" ref="D6:I6" si="0">$E$3*D5</f>
        <v>16911</v>
      </c>
      <c r="E6" s="196">
        <f t="shared" si="0"/>
        <v>18790</v>
      </c>
      <c r="F6" s="196">
        <f t="shared" si="0"/>
        <v>20669</v>
      </c>
      <c r="G6" s="196">
        <f t="shared" si="0"/>
        <v>22548</v>
      </c>
      <c r="H6" s="196">
        <f t="shared" si="0"/>
        <v>26306</v>
      </c>
      <c r="I6" s="196">
        <f t="shared" si="0"/>
        <v>30064</v>
      </c>
    </row>
    <row r="7" spans="1:15" ht="15" thickBot="1" x14ac:dyDescent="0.35">
      <c r="A7" s="71"/>
      <c r="B7" s="72"/>
      <c r="C7" s="72"/>
      <c r="D7" s="19"/>
      <c r="E7" s="19"/>
      <c r="F7" s="19"/>
      <c r="G7" s="19"/>
      <c r="H7" s="19"/>
      <c r="I7" s="19"/>
      <c r="K7" s="249" t="s">
        <v>63</v>
      </c>
      <c r="L7" s="249"/>
      <c r="M7" s="249"/>
    </row>
    <row r="8" spans="1:15" ht="15" thickBot="1" x14ac:dyDescent="0.35">
      <c r="A8" s="275" t="s">
        <v>19</v>
      </c>
      <c r="B8" s="276"/>
      <c r="C8" s="277"/>
      <c r="D8" s="199"/>
      <c r="E8" s="199"/>
      <c r="F8" s="199"/>
      <c r="G8" s="199"/>
      <c r="H8" s="199"/>
      <c r="I8" s="199"/>
      <c r="K8" s="92" t="s">
        <v>60</v>
      </c>
      <c r="L8" s="92" t="s">
        <v>61</v>
      </c>
      <c r="M8" s="92" t="s">
        <v>62</v>
      </c>
    </row>
    <row r="9" spans="1:15" ht="14.4" x14ac:dyDescent="0.3">
      <c r="A9" s="73" t="s">
        <v>20</v>
      </c>
      <c r="B9" s="74"/>
      <c r="C9" s="74"/>
      <c r="D9" s="132">
        <v>2849</v>
      </c>
      <c r="E9" s="132">
        <v>2849</v>
      </c>
      <c r="F9" s="132">
        <v>3619</v>
      </c>
      <c r="G9" s="132">
        <v>3619</v>
      </c>
      <c r="H9" s="132">
        <v>4389</v>
      </c>
      <c r="I9" s="132">
        <v>4620</v>
      </c>
      <c r="K9" s="93">
        <f>D5</f>
        <v>4.5</v>
      </c>
      <c r="L9" s="93">
        <f>D25</f>
        <v>15173.202564835972</v>
      </c>
      <c r="M9" s="93">
        <f>D27</f>
        <v>1817.7300000000002</v>
      </c>
    </row>
    <row r="10" spans="1:15" ht="14.4" x14ac:dyDescent="0.3">
      <c r="A10" s="70" t="s">
        <v>21</v>
      </c>
      <c r="B10" s="75"/>
      <c r="C10" s="75"/>
      <c r="D10" s="131">
        <v>4607.1000000000004</v>
      </c>
      <c r="E10" s="131">
        <v>5213.7</v>
      </c>
      <c r="F10" s="131">
        <v>5820.2999999999993</v>
      </c>
      <c r="G10" s="131">
        <v>6426.9</v>
      </c>
      <c r="H10" s="131">
        <v>7238.4</v>
      </c>
      <c r="I10" s="131">
        <v>8451.6</v>
      </c>
      <c r="K10" s="93">
        <f>E5</f>
        <v>5</v>
      </c>
      <c r="L10" s="93">
        <f>E25</f>
        <v>16017.058984073548</v>
      </c>
      <c r="M10" s="93">
        <f>E27</f>
        <v>1817.7300000000002</v>
      </c>
    </row>
    <row r="11" spans="1:15" ht="14.4" x14ac:dyDescent="0.3">
      <c r="A11" s="70" t="s">
        <v>22</v>
      </c>
      <c r="B11" s="75"/>
      <c r="C11" s="75"/>
      <c r="D11" s="131">
        <v>759</v>
      </c>
      <c r="E11" s="131">
        <v>759</v>
      </c>
      <c r="F11" s="131">
        <v>759</v>
      </c>
      <c r="G11" s="131">
        <v>759</v>
      </c>
      <c r="H11" s="131">
        <v>759</v>
      </c>
      <c r="I11" s="131">
        <v>759</v>
      </c>
      <c r="K11" s="93">
        <f>F5</f>
        <v>5.5</v>
      </c>
      <c r="L11" s="93">
        <f>F25</f>
        <v>17741.883460023459</v>
      </c>
      <c r="M11" s="93">
        <f>F27</f>
        <v>1817.7300000000002</v>
      </c>
      <c r="N11" s="1" t="s">
        <v>133</v>
      </c>
      <c r="O11" s="1" t="s">
        <v>134</v>
      </c>
    </row>
    <row r="12" spans="1:15" ht="14.4" x14ac:dyDescent="0.3">
      <c r="A12" s="70" t="s">
        <v>23</v>
      </c>
      <c r="B12" s="75"/>
      <c r="C12" s="75"/>
      <c r="D12" s="131">
        <v>884.07353000000012</v>
      </c>
      <c r="E12" s="131">
        <v>901.70353</v>
      </c>
      <c r="F12" s="131">
        <v>919.33353000000011</v>
      </c>
      <c r="G12" s="131">
        <v>936.96352999999999</v>
      </c>
      <c r="H12" s="131">
        <v>961.9735300000001</v>
      </c>
      <c r="I12" s="131">
        <v>986.98352999999997</v>
      </c>
      <c r="K12" s="93">
        <f>G5</f>
        <v>6</v>
      </c>
      <c r="L12" s="93">
        <f>G25</f>
        <v>18585.739879261029</v>
      </c>
      <c r="M12" s="93">
        <f>G27</f>
        <v>1817.7300000000002</v>
      </c>
      <c r="N12" s="1">
        <f>670*1.5</f>
        <v>1005</v>
      </c>
    </row>
    <row r="13" spans="1:15" ht="14.4" x14ac:dyDescent="0.3">
      <c r="A13" s="70" t="s">
        <v>24</v>
      </c>
      <c r="B13" s="75"/>
      <c r="C13" s="75"/>
      <c r="D13" s="131">
        <v>1195.2186999999999</v>
      </c>
      <c r="E13" s="131">
        <v>1200.6137000000001</v>
      </c>
      <c r="F13" s="131">
        <v>1206.0087000000001</v>
      </c>
      <c r="G13" s="131">
        <v>1211.4037000000001</v>
      </c>
      <c r="H13" s="131">
        <v>1222.1937</v>
      </c>
      <c r="I13" s="131">
        <v>1232.9837</v>
      </c>
      <c r="K13" s="93">
        <f>H5</f>
        <v>7</v>
      </c>
      <c r="L13" s="93">
        <f>H25</f>
        <v>20683.102864107412</v>
      </c>
      <c r="M13" s="93">
        <f>H27</f>
        <v>1817.7300000000002</v>
      </c>
    </row>
    <row r="14" spans="1:15" ht="14.4" x14ac:dyDescent="0.3">
      <c r="A14" s="70" t="s">
        <v>25</v>
      </c>
      <c r="B14" s="75"/>
      <c r="C14" s="75"/>
      <c r="D14" s="131">
        <v>1996.1289999999999</v>
      </c>
      <c r="E14" s="131">
        <v>1996.1289999999999</v>
      </c>
      <c r="F14" s="131">
        <v>1996.1289999999999</v>
      </c>
      <c r="G14" s="131">
        <v>1996.1289999999999</v>
      </c>
      <c r="H14" s="131">
        <v>1996.1289999999999</v>
      </c>
      <c r="I14" s="131">
        <v>1996.1289999999999</v>
      </c>
      <c r="K14" s="93">
        <f>I5</f>
        <v>8</v>
      </c>
      <c r="L14" s="93">
        <f>I25</f>
        <v>22623.378947412752</v>
      </c>
      <c r="M14" s="93">
        <f>I27</f>
        <v>1817.7300000000002</v>
      </c>
    </row>
    <row r="15" spans="1:15" x14ac:dyDescent="0.25">
      <c r="A15" s="70" t="s">
        <v>26</v>
      </c>
      <c r="B15" s="75"/>
      <c r="C15" s="75"/>
      <c r="D15" s="131">
        <v>0</v>
      </c>
      <c r="E15" s="131">
        <v>0</v>
      </c>
      <c r="F15" s="131">
        <v>0</v>
      </c>
      <c r="G15" s="131">
        <v>0</v>
      </c>
      <c r="H15" s="131">
        <v>0</v>
      </c>
      <c r="I15" s="131">
        <v>0</v>
      </c>
    </row>
    <row r="16" spans="1:15" x14ac:dyDescent="0.25">
      <c r="A16" s="70" t="s">
        <v>27</v>
      </c>
      <c r="B16" s="75"/>
      <c r="C16" s="75"/>
      <c r="D16" s="131">
        <v>329.76449999999994</v>
      </c>
      <c r="E16" s="131">
        <v>366.40500000000003</v>
      </c>
      <c r="F16" s="131">
        <v>403.0455</v>
      </c>
      <c r="G16" s="131">
        <v>439.68599999999998</v>
      </c>
      <c r="H16" s="131">
        <v>512.96699999999998</v>
      </c>
      <c r="I16" s="131">
        <v>586.24799999999993</v>
      </c>
    </row>
    <row r="17" spans="1:10" x14ac:dyDescent="0.25">
      <c r="A17" s="70" t="s">
        <v>29</v>
      </c>
      <c r="B17" s="75"/>
      <c r="C17" s="75"/>
      <c r="D17" s="131">
        <v>1001.9169719609632</v>
      </c>
      <c r="E17" s="131">
        <v>1057.6385023840608</v>
      </c>
      <c r="F17" s="131">
        <v>1171.5321190232305</v>
      </c>
      <c r="G17" s="131">
        <v>1227.2536494463277</v>
      </c>
      <c r="H17" s="131">
        <v>1365.7467303829962</v>
      </c>
      <c r="I17" s="131">
        <v>1493.867048413864</v>
      </c>
    </row>
    <row r="18" spans="1:10" x14ac:dyDescent="0.25">
      <c r="A18" s="70" t="s">
        <v>30</v>
      </c>
      <c r="B18" s="75"/>
      <c r="C18" s="75"/>
      <c r="D18" s="131">
        <v>0</v>
      </c>
      <c r="E18" s="131">
        <v>0</v>
      </c>
      <c r="F18" s="131">
        <v>0</v>
      </c>
      <c r="G18" s="131">
        <v>0</v>
      </c>
      <c r="H18" s="131">
        <v>0</v>
      </c>
      <c r="I18" s="131">
        <v>0</v>
      </c>
    </row>
    <row r="19" spans="1:10" x14ac:dyDescent="0.25">
      <c r="A19" s="70" t="s">
        <v>31</v>
      </c>
      <c r="B19" s="75"/>
      <c r="C19" s="75"/>
      <c r="D19" s="131">
        <v>641.67750000000012</v>
      </c>
      <c r="E19" s="131">
        <v>712.97500000000014</v>
      </c>
      <c r="F19" s="131">
        <v>784.27250000000015</v>
      </c>
      <c r="G19" s="131">
        <v>855.57000000000016</v>
      </c>
      <c r="H19" s="131">
        <v>998.16500000000008</v>
      </c>
      <c r="I19" s="131">
        <v>1140.7600000000002</v>
      </c>
    </row>
    <row r="20" spans="1:10" x14ac:dyDescent="0.25">
      <c r="A20" s="70" t="s">
        <v>32</v>
      </c>
      <c r="B20" s="75"/>
      <c r="C20" s="75"/>
      <c r="D20" s="131">
        <v>0</v>
      </c>
      <c r="E20" s="131">
        <v>0</v>
      </c>
      <c r="F20" s="131">
        <v>0</v>
      </c>
      <c r="G20" s="131">
        <v>0</v>
      </c>
      <c r="H20" s="131">
        <v>0</v>
      </c>
      <c r="I20" s="131">
        <v>0</v>
      </c>
    </row>
    <row r="21" spans="1:10" x14ac:dyDescent="0.25">
      <c r="A21" s="70" t="s">
        <v>33</v>
      </c>
      <c r="B21" s="75"/>
      <c r="C21" s="75"/>
      <c r="D21" s="131">
        <v>0</v>
      </c>
      <c r="E21" s="131">
        <v>0</v>
      </c>
      <c r="F21" s="131">
        <v>0</v>
      </c>
      <c r="G21" s="131">
        <v>0</v>
      </c>
      <c r="H21" s="131">
        <v>0</v>
      </c>
      <c r="I21" s="131">
        <v>0</v>
      </c>
    </row>
    <row r="22" spans="1:10" x14ac:dyDescent="0.25">
      <c r="A22" s="70" t="s">
        <v>34</v>
      </c>
      <c r="B22" s="75"/>
      <c r="C22" s="75"/>
      <c r="D22" s="131">
        <v>0</v>
      </c>
      <c r="E22" s="131">
        <v>0</v>
      </c>
      <c r="F22" s="131">
        <v>0</v>
      </c>
      <c r="G22" s="131">
        <v>0</v>
      </c>
      <c r="H22" s="131">
        <v>0</v>
      </c>
      <c r="I22" s="131">
        <v>0</v>
      </c>
    </row>
    <row r="23" spans="1:10" x14ac:dyDescent="0.25">
      <c r="A23" s="70" t="s">
        <v>35</v>
      </c>
      <c r="B23" s="75"/>
      <c r="C23" s="75"/>
      <c r="D23" s="131">
        <v>0</v>
      </c>
      <c r="E23" s="131">
        <v>0</v>
      </c>
      <c r="F23" s="131">
        <v>0</v>
      </c>
      <c r="G23" s="131">
        <v>0</v>
      </c>
      <c r="H23" s="131">
        <v>0</v>
      </c>
      <c r="I23" s="131">
        <v>0</v>
      </c>
    </row>
    <row r="24" spans="1:10" ht="13.8" thickBot="1" x14ac:dyDescent="0.3">
      <c r="A24" s="70" t="s">
        <v>36</v>
      </c>
      <c r="B24" s="75"/>
      <c r="C24" s="75"/>
      <c r="D24" s="131">
        <v>909.32236287501144</v>
      </c>
      <c r="E24" s="131">
        <v>959.89425168948389</v>
      </c>
      <c r="F24" s="131">
        <v>1063.2621110002308</v>
      </c>
      <c r="G24" s="131">
        <v>1113.8339998147035</v>
      </c>
      <c r="H24" s="131">
        <v>1239.5279037244161</v>
      </c>
      <c r="I24" s="131">
        <v>1355.8076689988841</v>
      </c>
    </row>
    <row r="25" spans="1:10" ht="26.25" customHeight="1" thickBot="1" x14ac:dyDescent="0.3">
      <c r="A25" s="253" t="s">
        <v>37</v>
      </c>
      <c r="B25" s="254"/>
      <c r="C25" s="255"/>
      <c r="D25" s="197">
        <f t="shared" ref="D25:I25" si="1">SUM(D9:D24)</f>
        <v>15173.202564835972</v>
      </c>
      <c r="E25" s="197">
        <f t="shared" si="1"/>
        <v>16017.058984073548</v>
      </c>
      <c r="F25" s="197">
        <f t="shared" si="1"/>
        <v>17741.883460023459</v>
      </c>
      <c r="G25" s="197">
        <f t="shared" si="1"/>
        <v>18585.739879261029</v>
      </c>
      <c r="H25" s="197">
        <f t="shared" si="1"/>
        <v>20683.102864107412</v>
      </c>
      <c r="I25" s="197">
        <f t="shared" si="1"/>
        <v>22623.378947412752</v>
      </c>
    </row>
    <row r="26" spans="1:10" ht="13.8" thickBot="1" x14ac:dyDescent="0.3">
      <c r="A26" s="76"/>
      <c r="B26" s="77"/>
      <c r="C26" s="77"/>
      <c r="D26" s="27"/>
      <c r="E26" s="27"/>
      <c r="F26" s="27"/>
      <c r="G26" s="27"/>
      <c r="H26" s="27"/>
      <c r="I26" s="27"/>
    </row>
    <row r="27" spans="1:10" ht="13.8" thickBot="1" x14ac:dyDescent="0.3">
      <c r="A27" s="250" t="s">
        <v>38</v>
      </c>
      <c r="B27" s="251"/>
      <c r="C27" s="252"/>
      <c r="D27" s="198">
        <v>1817.7300000000002</v>
      </c>
      <c r="E27" s="197">
        <v>1817.7300000000002</v>
      </c>
      <c r="F27" s="197">
        <v>1817.7300000000002</v>
      </c>
      <c r="G27" s="197">
        <v>1817.7300000000002</v>
      </c>
      <c r="H27" s="197">
        <v>1817.7300000000002</v>
      </c>
      <c r="I27" s="197">
        <v>1817.7300000000002</v>
      </c>
      <c r="J27" s="22"/>
    </row>
    <row r="28" spans="1:10" ht="13.8" thickBot="1" x14ac:dyDescent="0.3">
      <c r="A28" s="76"/>
      <c r="B28" s="77"/>
      <c r="C28" s="77"/>
      <c r="D28" s="27"/>
      <c r="E28" s="27"/>
      <c r="F28" s="27"/>
      <c r="G28" s="27"/>
      <c r="H28" s="27"/>
      <c r="I28" s="27"/>
    </row>
    <row r="29" spans="1:10" ht="27.75" customHeight="1" thickBot="1" x14ac:dyDescent="0.3">
      <c r="A29" s="253" t="s">
        <v>39</v>
      </c>
      <c r="B29" s="254"/>
      <c r="C29" s="255"/>
      <c r="D29" s="197">
        <f t="shared" ref="D29:I29" si="2">D25+D27</f>
        <v>16990.932564835974</v>
      </c>
      <c r="E29" s="197">
        <f t="shared" si="2"/>
        <v>17834.788984073548</v>
      </c>
      <c r="F29" s="197">
        <f t="shared" si="2"/>
        <v>19559.613460023458</v>
      </c>
      <c r="G29" s="197">
        <f t="shared" si="2"/>
        <v>20403.469879261029</v>
      </c>
      <c r="H29" s="197">
        <f t="shared" si="2"/>
        <v>22500.832864107411</v>
      </c>
      <c r="I29" s="197">
        <f t="shared" si="2"/>
        <v>24441.108947412751</v>
      </c>
    </row>
    <row r="30" spans="1:10" ht="13.8" thickBot="1" x14ac:dyDescent="0.3">
      <c r="A30" s="71"/>
      <c r="B30" s="72"/>
      <c r="C30" s="72"/>
      <c r="D30" s="29"/>
      <c r="E30" s="29"/>
      <c r="F30" s="29"/>
      <c r="G30" s="29"/>
      <c r="H30" s="29"/>
      <c r="I30" s="29"/>
    </row>
    <row r="31" spans="1:10" ht="26.25" customHeight="1" thickBot="1" x14ac:dyDescent="0.3">
      <c r="A31" s="253" t="s">
        <v>40</v>
      </c>
      <c r="B31" s="256"/>
      <c r="C31" s="257"/>
      <c r="D31" s="197">
        <f t="shared" ref="D31:I31" si="3">D29/D5</f>
        <v>3775.762792185772</v>
      </c>
      <c r="E31" s="197">
        <f t="shared" si="3"/>
        <v>3566.9577968147096</v>
      </c>
      <c r="F31" s="197">
        <f t="shared" si="3"/>
        <v>3556.2933563679017</v>
      </c>
      <c r="G31" s="197">
        <f t="shared" si="3"/>
        <v>3400.5783132101715</v>
      </c>
      <c r="H31" s="197">
        <f t="shared" si="3"/>
        <v>3214.4046948724872</v>
      </c>
      <c r="I31" s="197">
        <f t="shared" si="3"/>
        <v>3055.1386184265939</v>
      </c>
    </row>
    <row r="32" spans="1:10" ht="13.8" thickBot="1" x14ac:dyDescent="0.3">
      <c r="A32" s="71"/>
      <c r="B32" s="72"/>
      <c r="C32" s="72"/>
      <c r="D32" s="29"/>
      <c r="E32" s="29"/>
      <c r="F32" s="29"/>
      <c r="G32" s="29"/>
      <c r="H32" s="29"/>
      <c r="I32" s="29"/>
    </row>
    <row r="33" spans="1:10" ht="13.8" thickBot="1" x14ac:dyDescent="0.3">
      <c r="A33" s="193" t="s">
        <v>41</v>
      </c>
      <c r="B33" s="194"/>
      <c r="C33" s="194"/>
      <c r="D33" s="197">
        <f>'Pryse + Sensatiwiteitsanalise'!D4</f>
        <v>442</v>
      </c>
      <c r="E33" s="197">
        <f>$D$33</f>
        <v>442</v>
      </c>
      <c r="F33" s="197">
        <f>$D$33</f>
        <v>442</v>
      </c>
      <c r="G33" s="197">
        <f>$D$33</f>
        <v>442</v>
      </c>
      <c r="H33" s="197">
        <f>$D$33</f>
        <v>442</v>
      </c>
      <c r="I33" s="197">
        <f>$D$33</f>
        <v>442</v>
      </c>
    </row>
    <row r="34" spans="1:10" ht="13.8" thickBot="1" x14ac:dyDescent="0.3">
      <c r="A34" s="71"/>
      <c r="B34" s="72"/>
      <c r="C34" s="72"/>
      <c r="D34" s="29"/>
      <c r="E34" s="29"/>
      <c r="F34" s="29"/>
      <c r="G34" s="29"/>
      <c r="H34" s="29"/>
      <c r="I34" s="29"/>
    </row>
    <row r="35" spans="1:10" ht="13.8" thickBot="1" x14ac:dyDescent="0.3">
      <c r="A35" s="258" t="s">
        <v>42</v>
      </c>
      <c r="B35" s="259"/>
      <c r="C35" s="260"/>
      <c r="D35" s="185">
        <f t="shared" ref="D35:I35" si="4">D31+D33</f>
        <v>4217.762792185772</v>
      </c>
      <c r="E35" s="185">
        <f t="shared" si="4"/>
        <v>4008.9577968147096</v>
      </c>
      <c r="F35" s="185">
        <f t="shared" si="4"/>
        <v>3998.2933563679017</v>
      </c>
      <c r="G35" s="185">
        <f t="shared" si="4"/>
        <v>3842.5783132101715</v>
      </c>
      <c r="H35" s="185">
        <f t="shared" si="4"/>
        <v>3656.4046948724872</v>
      </c>
      <c r="I35" s="185">
        <f t="shared" si="4"/>
        <v>3497.1386184265939</v>
      </c>
    </row>
    <row r="36" spans="1:10" ht="13.8" thickBot="1" x14ac:dyDescent="0.3">
      <c r="A36" s="186" t="s">
        <v>118</v>
      </c>
      <c r="B36" s="187"/>
      <c r="C36" s="188"/>
      <c r="D36" s="185">
        <f>'Pryse + Sensatiwiteitsanalise'!B4</f>
        <v>4200</v>
      </c>
      <c r="E36" s="185">
        <f>$D$36</f>
        <v>4200</v>
      </c>
      <c r="F36" s="185">
        <f>$D$36</f>
        <v>4200</v>
      </c>
      <c r="G36" s="185">
        <f>$D$36</f>
        <v>4200</v>
      </c>
      <c r="H36" s="185">
        <f>$D$36</f>
        <v>4200</v>
      </c>
      <c r="I36" s="185">
        <f>$D$36</f>
        <v>4200</v>
      </c>
    </row>
    <row r="37" spans="1:10" ht="13.8" thickBot="1" x14ac:dyDescent="0.3"/>
    <row r="38" spans="1:10" customFormat="1" ht="14.4" x14ac:dyDescent="0.3">
      <c r="A38" s="278" t="s">
        <v>116</v>
      </c>
      <c r="B38" s="279"/>
      <c r="C38" s="280"/>
      <c r="D38" s="179">
        <f t="shared" ref="D38:I38" si="5">D6-D25</f>
        <v>1737.7974351640278</v>
      </c>
      <c r="E38" s="180">
        <f t="shared" si="5"/>
        <v>2772.9410159264517</v>
      </c>
      <c r="F38" s="179">
        <f t="shared" si="5"/>
        <v>2927.1165399765414</v>
      </c>
      <c r="G38" s="180">
        <f t="shared" si="5"/>
        <v>3962.2601207389707</v>
      </c>
      <c r="H38" s="179">
        <f t="shared" si="5"/>
        <v>5622.8971358925883</v>
      </c>
      <c r="I38" s="179">
        <f t="shared" si="5"/>
        <v>7440.6210525872484</v>
      </c>
    </row>
    <row r="39" spans="1:10" customFormat="1" ht="15" thickBot="1" x14ac:dyDescent="0.35">
      <c r="A39" s="281" t="s">
        <v>117</v>
      </c>
      <c r="B39" s="282"/>
      <c r="C39" s="283"/>
      <c r="D39" s="182">
        <f t="shared" ref="D39:I39" si="6">D6-D29</f>
        <v>-79.932564835973608</v>
      </c>
      <c r="E39" s="183">
        <f t="shared" si="6"/>
        <v>955.21101592645209</v>
      </c>
      <c r="F39" s="182">
        <f t="shared" si="6"/>
        <v>1109.3865399765418</v>
      </c>
      <c r="G39" s="183">
        <f t="shared" si="6"/>
        <v>2144.5301207389712</v>
      </c>
      <c r="H39" s="182">
        <f t="shared" si="6"/>
        <v>3805.1671358925887</v>
      </c>
      <c r="I39" s="182">
        <f t="shared" si="6"/>
        <v>5622.8910525872489</v>
      </c>
    </row>
    <row r="40" spans="1:10" ht="14.4" x14ac:dyDescent="0.25">
      <c r="A40" s="89" t="s">
        <v>45</v>
      </c>
      <c r="B40" s="88"/>
      <c r="C40" s="88"/>
      <c r="D40" s="88"/>
      <c r="E40" s="88"/>
      <c r="F40" s="88"/>
      <c r="G40" s="88"/>
      <c r="H40" s="87"/>
      <c r="I40" s="90"/>
      <c r="J40" s="90"/>
    </row>
    <row r="41" spans="1:10" ht="14.4" x14ac:dyDescent="0.25">
      <c r="A41" s="86" t="s">
        <v>46</v>
      </c>
      <c r="B41" s="85"/>
      <c r="C41" s="85"/>
      <c r="D41" s="85"/>
      <c r="E41" s="85"/>
      <c r="F41" s="85"/>
      <c r="G41" s="85"/>
      <c r="H41" s="84"/>
      <c r="I41" s="90"/>
      <c r="J41" s="90"/>
    </row>
    <row r="42" spans="1:10" ht="15" thickBot="1" x14ac:dyDescent="0.3">
      <c r="A42" s="83" t="s">
        <v>47</v>
      </c>
      <c r="B42" s="82"/>
      <c r="C42" s="82"/>
      <c r="D42" s="82"/>
      <c r="E42" s="82"/>
      <c r="F42" s="82"/>
      <c r="G42" s="82"/>
      <c r="H42" s="81"/>
      <c r="I42" s="90"/>
      <c r="J42" s="90"/>
    </row>
    <row r="43" spans="1:10" x14ac:dyDescent="0.25">
      <c r="A43" s="261" t="s">
        <v>48</v>
      </c>
      <c r="B43" s="262"/>
      <c r="C43" s="262"/>
      <c r="D43" s="262"/>
      <c r="E43" s="262"/>
      <c r="F43" s="262"/>
      <c r="G43" s="262"/>
      <c r="H43" s="263"/>
    </row>
    <row r="44" spans="1:10" x14ac:dyDescent="0.25">
      <c r="A44" s="264"/>
      <c r="B44" s="265"/>
      <c r="C44" s="265"/>
      <c r="D44" s="265"/>
      <c r="E44" s="265"/>
      <c r="F44" s="265"/>
      <c r="G44" s="265"/>
      <c r="H44" s="266"/>
    </row>
    <row r="45" spans="1:10" x14ac:dyDescent="0.25">
      <c r="A45" s="264"/>
      <c r="B45" s="265"/>
      <c r="C45" s="265"/>
      <c r="D45" s="265"/>
      <c r="E45" s="265"/>
      <c r="F45" s="265"/>
      <c r="G45" s="265"/>
      <c r="H45" s="266"/>
    </row>
    <row r="46" spans="1:10" ht="13.8" thickBot="1" x14ac:dyDescent="0.3">
      <c r="A46" s="267"/>
      <c r="B46" s="268"/>
      <c r="C46" s="268"/>
      <c r="D46" s="268"/>
      <c r="E46" s="268"/>
      <c r="F46" s="268"/>
      <c r="G46" s="268"/>
      <c r="H46" s="269"/>
    </row>
  </sheetData>
  <mergeCells count="13">
    <mergeCell ref="A43:H46"/>
    <mergeCell ref="A1:D1"/>
    <mergeCell ref="F1:H1"/>
    <mergeCell ref="A3:C3"/>
    <mergeCell ref="A8:C8"/>
    <mergeCell ref="A25:C25"/>
    <mergeCell ref="A38:C38"/>
    <mergeCell ref="A39:C39"/>
    <mergeCell ref="K7:M7"/>
    <mergeCell ref="A27:C27"/>
    <mergeCell ref="A29:C29"/>
    <mergeCell ref="A31:C31"/>
    <mergeCell ref="A35:C35"/>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58" fitToHeight="0" orientation="portrait" verticalDpi="300" r:id="rId1"/>
  <headerFooter alignWithMargins="0">
    <oddHeader>&amp;F</oddHead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3"/>
  <sheetViews>
    <sheetView zoomScale="85" zoomScaleNormal="85" workbookViewId="0">
      <selection activeCell="J20" sqref="J20"/>
    </sheetView>
  </sheetViews>
  <sheetFormatPr defaultColWidth="9.109375" defaultRowHeight="13.2" x14ac:dyDescent="0.25"/>
  <cols>
    <col min="1" max="1" width="41.6640625" style="1" customWidth="1"/>
    <col min="2" max="2" width="17.33203125" style="1" customWidth="1"/>
    <col min="3" max="3" width="16.6640625" style="1" customWidth="1"/>
    <col min="4" max="4" width="16.109375" style="1" customWidth="1"/>
    <col min="5" max="7" width="14.33203125" style="1" customWidth="1"/>
    <col min="8" max="8" width="14.109375" style="1" customWidth="1"/>
    <col min="9" max="9" width="14.33203125" style="1" customWidth="1"/>
    <col min="10" max="10" width="14.44140625" style="1" customWidth="1"/>
    <col min="11" max="13" width="12.6640625" style="1" hidden="1" customWidth="1"/>
    <col min="14" max="26" width="12.6640625" style="1" customWidth="1"/>
    <col min="27" max="16384" width="9.109375" style="1"/>
  </cols>
  <sheetData>
    <row r="1" spans="1:13" ht="33" customHeight="1" thickBot="1" x14ac:dyDescent="0.3">
      <c r="A1" s="293" t="s">
        <v>43</v>
      </c>
      <c r="B1" s="294"/>
      <c r="C1" s="294"/>
      <c r="D1" s="294"/>
      <c r="E1" s="295" t="s">
        <v>69</v>
      </c>
      <c r="F1" s="295"/>
      <c r="G1" s="295"/>
      <c r="H1" s="2"/>
      <c r="I1" s="11"/>
    </row>
    <row r="2" spans="1:13" ht="16.2" thickBot="1" x14ac:dyDescent="0.35">
      <c r="A2" s="12"/>
      <c r="B2" s="13"/>
      <c r="C2" s="14"/>
      <c r="D2" s="14"/>
      <c r="E2" s="8"/>
      <c r="F2" s="8"/>
      <c r="G2" s="8"/>
      <c r="H2" s="8"/>
      <c r="I2" s="3"/>
    </row>
    <row r="3" spans="1:13" ht="27.75" customHeight="1" thickBot="1" x14ac:dyDescent="0.3">
      <c r="A3" s="289" t="s">
        <v>16</v>
      </c>
      <c r="B3" s="287"/>
      <c r="C3" s="287"/>
      <c r="D3" s="23"/>
      <c r="E3" s="31">
        <f>'Pryse + Sensatiwiteitsanalise'!B19</f>
        <v>3758</v>
      </c>
      <c r="F3" s="23" t="s">
        <v>0</v>
      </c>
      <c r="G3" s="15"/>
      <c r="H3" s="15"/>
      <c r="I3" s="4"/>
    </row>
    <row r="4" spans="1:13" ht="13.8" thickBot="1" x14ac:dyDescent="0.3">
      <c r="A4" s="68"/>
      <c r="B4" s="78"/>
      <c r="C4" s="78"/>
      <c r="D4" s="5"/>
      <c r="E4" s="7"/>
      <c r="F4" s="16"/>
      <c r="G4" s="6"/>
      <c r="H4" s="17"/>
      <c r="I4" s="17"/>
    </row>
    <row r="5" spans="1:13" ht="13.8" thickBot="1" x14ac:dyDescent="0.3">
      <c r="A5" s="68" t="s">
        <v>17</v>
      </c>
      <c r="B5" s="78"/>
      <c r="C5" s="78"/>
      <c r="D5" s="34">
        <v>4.5</v>
      </c>
      <c r="E5" s="34">
        <v>5</v>
      </c>
      <c r="F5" s="34">
        <v>5.5</v>
      </c>
      <c r="G5" s="34">
        <v>6</v>
      </c>
      <c r="H5" s="34">
        <v>7</v>
      </c>
      <c r="I5" s="34">
        <v>8</v>
      </c>
    </row>
    <row r="6" spans="1:13" ht="13.8" thickBot="1" x14ac:dyDescent="0.3">
      <c r="A6" s="69" t="s">
        <v>18</v>
      </c>
      <c r="B6" s="79"/>
      <c r="C6" s="80"/>
      <c r="D6" s="30">
        <f t="shared" ref="D6:I6" si="0">$E$3*D5</f>
        <v>16911</v>
      </c>
      <c r="E6" s="30">
        <f t="shared" si="0"/>
        <v>18790</v>
      </c>
      <c r="F6" s="30">
        <f t="shared" si="0"/>
        <v>20669</v>
      </c>
      <c r="G6" s="30">
        <f t="shared" si="0"/>
        <v>22548</v>
      </c>
      <c r="H6" s="30">
        <f t="shared" si="0"/>
        <v>26306</v>
      </c>
      <c r="I6" s="30">
        <f t="shared" si="0"/>
        <v>30064</v>
      </c>
    </row>
    <row r="7" spans="1:13" ht="15" thickBot="1" x14ac:dyDescent="0.35">
      <c r="A7" s="71"/>
      <c r="B7" s="72"/>
      <c r="C7" s="72"/>
      <c r="D7" s="19"/>
      <c r="E7" s="19"/>
      <c r="F7" s="19"/>
      <c r="G7" s="19"/>
      <c r="H7" s="19"/>
      <c r="I7" s="19"/>
      <c r="K7" s="249" t="s">
        <v>64</v>
      </c>
      <c r="L7" s="249"/>
      <c r="M7" s="249"/>
    </row>
    <row r="8" spans="1:13" ht="15" thickBot="1" x14ac:dyDescent="0.35">
      <c r="A8" s="296" t="s">
        <v>19</v>
      </c>
      <c r="B8" s="297"/>
      <c r="C8" s="298"/>
      <c r="D8" s="20"/>
      <c r="E8" s="20"/>
      <c r="F8" s="20"/>
      <c r="G8" s="20"/>
      <c r="H8" s="20"/>
      <c r="I8" s="20"/>
      <c r="K8" s="92" t="s">
        <v>60</v>
      </c>
      <c r="L8" s="92" t="s">
        <v>61</v>
      </c>
      <c r="M8" s="92" t="s">
        <v>62</v>
      </c>
    </row>
    <row r="9" spans="1:13" ht="14.4" x14ac:dyDescent="0.3">
      <c r="A9" s="73" t="s">
        <v>20</v>
      </c>
      <c r="B9" s="74"/>
      <c r="C9" s="74"/>
      <c r="D9" s="24">
        <v>1756.5625</v>
      </c>
      <c r="E9" s="24">
        <v>1756.5625</v>
      </c>
      <c r="F9" s="24">
        <v>2258.4375</v>
      </c>
      <c r="G9" s="24">
        <v>2258.4375</v>
      </c>
      <c r="H9" s="24">
        <v>2760.3125</v>
      </c>
      <c r="I9" s="24">
        <v>2569.1875</v>
      </c>
      <c r="K9" s="93">
        <f>D5</f>
        <v>4.5</v>
      </c>
      <c r="L9" s="93">
        <f>D25</f>
        <v>8652.3197920375605</v>
      </c>
      <c r="M9" s="93">
        <f>D27</f>
        <v>2578.7064961761193</v>
      </c>
    </row>
    <row r="10" spans="1:13" ht="14.4" x14ac:dyDescent="0.3">
      <c r="A10" s="70" t="s">
        <v>21</v>
      </c>
      <c r="B10" s="75"/>
      <c r="C10" s="75"/>
      <c r="D10" s="25">
        <v>2314.6999999999998</v>
      </c>
      <c r="E10" s="25">
        <v>2563</v>
      </c>
      <c r="F10" s="25">
        <v>2811.3</v>
      </c>
      <c r="G10" s="25">
        <v>3059.6000000000004</v>
      </c>
      <c r="H10" s="25">
        <v>3556.2</v>
      </c>
      <c r="I10" s="25">
        <v>4103.6000000000004</v>
      </c>
      <c r="K10" s="93">
        <f>E5</f>
        <v>5</v>
      </c>
      <c r="L10" s="93">
        <f>E25</f>
        <v>9025.258756072737</v>
      </c>
      <c r="M10" s="93">
        <f>E27</f>
        <v>2578.7064961761193</v>
      </c>
    </row>
    <row r="11" spans="1:13" ht="14.4" x14ac:dyDescent="0.3">
      <c r="A11" s="70" t="s">
        <v>22</v>
      </c>
      <c r="B11" s="75"/>
      <c r="C11" s="75"/>
      <c r="D11" s="25">
        <v>217.58220000000003</v>
      </c>
      <c r="E11" s="25">
        <v>217.58220000000003</v>
      </c>
      <c r="F11" s="25">
        <v>217.58220000000003</v>
      </c>
      <c r="G11" s="25">
        <v>217.58220000000003</v>
      </c>
      <c r="H11" s="25">
        <v>217.58220000000003</v>
      </c>
      <c r="I11" s="25">
        <v>217.58220000000003</v>
      </c>
      <c r="K11" s="93">
        <f>F5</f>
        <v>5.5</v>
      </c>
      <c r="L11" s="93">
        <f>F25</f>
        <v>9987.7355438528339</v>
      </c>
      <c r="M11" s="93">
        <f>F27</f>
        <v>2578.7064961761193</v>
      </c>
    </row>
    <row r="12" spans="1:13" ht="14.4" x14ac:dyDescent="0.3">
      <c r="A12" s="70" t="s">
        <v>23</v>
      </c>
      <c r="B12" s="75"/>
      <c r="C12" s="75"/>
      <c r="D12" s="25">
        <v>757.64768278790075</v>
      </c>
      <c r="E12" s="25">
        <v>772.7629280431197</v>
      </c>
      <c r="F12" s="25">
        <v>787.87817329833865</v>
      </c>
      <c r="G12" s="25">
        <v>802.9934185535576</v>
      </c>
      <c r="H12" s="25">
        <v>827.52004292995071</v>
      </c>
      <c r="I12" s="25">
        <v>952.16517999999996</v>
      </c>
      <c r="K12" s="93">
        <f>G5</f>
        <v>6</v>
      </c>
      <c r="L12" s="93">
        <f>G25</f>
        <v>10360.67450788801</v>
      </c>
      <c r="M12" s="93">
        <f>G27</f>
        <v>2578.7064961761193</v>
      </c>
    </row>
    <row r="13" spans="1:13" ht="14.4" x14ac:dyDescent="0.3">
      <c r="A13" s="70" t="s">
        <v>24</v>
      </c>
      <c r="B13" s="75"/>
      <c r="C13" s="75"/>
      <c r="D13" s="25">
        <v>583.54718400000002</v>
      </c>
      <c r="E13" s="25">
        <v>586.82673399999999</v>
      </c>
      <c r="F13" s="25">
        <v>590.10628399999996</v>
      </c>
      <c r="G13" s="25">
        <v>593.38583399999993</v>
      </c>
      <c r="H13" s="25">
        <v>599.94493399999999</v>
      </c>
      <c r="I13" s="25">
        <v>566.82619999999997</v>
      </c>
      <c r="K13" s="93">
        <f>H5</f>
        <v>7</v>
      </c>
      <c r="L13" s="93">
        <f>H25</f>
        <v>11689.390095663241</v>
      </c>
      <c r="M13" s="93">
        <f>H27</f>
        <v>2578.7064961761193</v>
      </c>
    </row>
    <row r="14" spans="1:13" ht="14.4" x14ac:dyDescent="0.3">
      <c r="A14" s="70" t="s">
        <v>25</v>
      </c>
      <c r="B14" s="75"/>
      <c r="C14" s="75"/>
      <c r="D14" s="25">
        <v>699.59999999999991</v>
      </c>
      <c r="E14" s="25">
        <v>699.59999999999991</v>
      </c>
      <c r="F14" s="25">
        <v>699.59999999999991</v>
      </c>
      <c r="G14" s="25">
        <v>699.59999999999991</v>
      </c>
      <c r="H14" s="25">
        <v>699.59999999999991</v>
      </c>
      <c r="I14" s="25">
        <v>783</v>
      </c>
      <c r="K14" s="93">
        <f>I5</f>
        <v>8</v>
      </c>
      <c r="L14" s="93">
        <f>I25</f>
        <v>12569.819011930629</v>
      </c>
      <c r="M14" s="93">
        <f>I27</f>
        <v>2326.7760716424914</v>
      </c>
    </row>
    <row r="15" spans="1:13" x14ac:dyDescent="0.25">
      <c r="A15" s="70" t="s">
        <v>26</v>
      </c>
      <c r="B15" s="75"/>
      <c r="C15" s="75"/>
      <c r="D15" s="25">
        <v>579</v>
      </c>
      <c r="E15" s="25">
        <v>579</v>
      </c>
      <c r="F15" s="25">
        <v>579</v>
      </c>
      <c r="G15" s="25">
        <v>579</v>
      </c>
      <c r="H15" s="25">
        <v>579</v>
      </c>
      <c r="I15" s="25">
        <v>648</v>
      </c>
    </row>
    <row r="16" spans="1:13" x14ac:dyDescent="0.25">
      <c r="A16" s="70" t="s">
        <v>27</v>
      </c>
      <c r="B16" s="75"/>
      <c r="C16" s="75"/>
      <c r="D16" s="25">
        <v>151.19324999999998</v>
      </c>
      <c r="E16" s="25">
        <v>167.99250000000001</v>
      </c>
      <c r="F16" s="25">
        <v>184.79175000000001</v>
      </c>
      <c r="G16" s="25">
        <v>201.59099999999998</v>
      </c>
      <c r="H16" s="25">
        <v>235.18950000000001</v>
      </c>
      <c r="I16" s="25">
        <v>422.76</v>
      </c>
    </row>
    <row r="17" spans="1:10" x14ac:dyDescent="0.25">
      <c r="A17" s="70" t="s">
        <v>29</v>
      </c>
      <c r="B17" s="75"/>
      <c r="C17" s="75"/>
      <c r="D17" s="25">
        <v>854.99026457201398</v>
      </c>
      <c r="E17" s="25">
        <v>891.84271468869622</v>
      </c>
      <c r="F17" s="25">
        <v>986.95111373167015</v>
      </c>
      <c r="G17" s="25">
        <v>1023.8035638483526</v>
      </c>
      <c r="H17" s="25">
        <v>1155.1023275600637</v>
      </c>
      <c r="I17" s="25">
        <v>820.81243394833962</v>
      </c>
    </row>
    <row r="18" spans="1:10" x14ac:dyDescent="0.25">
      <c r="A18" s="70" t="s">
        <v>30</v>
      </c>
      <c r="B18" s="75"/>
      <c r="C18" s="75"/>
      <c r="D18" s="25">
        <v>0</v>
      </c>
      <c r="E18" s="25">
        <v>0</v>
      </c>
      <c r="F18" s="25">
        <v>0</v>
      </c>
      <c r="G18" s="25">
        <v>0</v>
      </c>
      <c r="H18" s="25">
        <v>0</v>
      </c>
      <c r="I18" s="25">
        <v>0</v>
      </c>
    </row>
    <row r="19" spans="1:10" x14ac:dyDescent="0.25">
      <c r="A19" s="70" t="s">
        <v>31</v>
      </c>
      <c r="B19" s="75"/>
      <c r="C19" s="75"/>
      <c r="D19" s="25">
        <v>305.90831250000002</v>
      </c>
      <c r="E19" s="25">
        <v>339.89812500000005</v>
      </c>
      <c r="F19" s="25">
        <v>373.88793750000008</v>
      </c>
      <c r="G19" s="25">
        <v>407.87775000000005</v>
      </c>
      <c r="H19" s="25">
        <v>475.85737500000005</v>
      </c>
      <c r="I19" s="25">
        <v>858.88739999999996</v>
      </c>
    </row>
    <row r="20" spans="1:10" x14ac:dyDescent="0.25">
      <c r="A20" s="70" t="s">
        <v>32</v>
      </c>
      <c r="B20" s="75"/>
      <c r="C20" s="75"/>
      <c r="D20" s="25">
        <v>0</v>
      </c>
      <c r="E20" s="25">
        <v>0</v>
      </c>
      <c r="F20" s="25">
        <v>0</v>
      </c>
      <c r="G20" s="25">
        <v>0</v>
      </c>
      <c r="H20" s="25">
        <v>0</v>
      </c>
      <c r="I20" s="25">
        <v>0</v>
      </c>
    </row>
    <row r="21" spans="1:10" x14ac:dyDescent="0.25">
      <c r="A21" s="70" t="s">
        <v>33</v>
      </c>
      <c r="B21" s="75"/>
      <c r="C21" s="75"/>
      <c r="D21" s="25">
        <v>0</v>
      </c>
      <c r="E21" s="25">
        <v>0</v>
      </c>
      <c r="F21" s="25">
        <v>0</v>
      </c>
      <c r="G21" s="25">
        <v>0</v>
      </c>
      <c r="H21" s="25">
        <v>0</v>
      </c>
      <c r="I21" s="25">
        <v>0</v>
      </c>
    </row>
    <row r="22" spans="1:10" x14ac:dyDescent="0.25">
      <c r="A22" s="70" t="s">
        <v>34</v>
      </c>
      <c r="B22" s="75"/>
      <c r="C22" s="75"/>
      <c r="D22" s="25">
        <v>0</v>
      </c>
      <c r="E22" s="25">
        <v>0</v>
      </c>
      <c r="F22" s="25">
        <v>0</v>
      </c>
      <c r="G22" s="25">
        <v>0</v>
      </c>
      <c r="H22" s="25">
        <v>0</v>
      </c>
      <c r="I22" s="25">
        <v>0</v>
      </c>
    </row>
    <row r="23" spans="1:10" x14ac:dyDescent="0.25">
      <c r="A23" s="70" t="s">
        <v>35</v>
      </c>
      <c r="B23" s="75"/>
      <c r="C23" s="75"/>
      <c r="D23" s="25">
        <v>0</v>
      </c>
      <c r="E23" s="25">
        <v>0</v>
      </c>
      <c r="F23" s="25">
        <v>0</v>
      </c>
      <c r="G23" s="25">
        <v>0</v>
      </c>
      <c r="H23" s="25">
        <v>0</v>
      </c>
      <c r="I23" s="25">
        <v>0</v>
      </c>
    </row>
    <row r="24" spans="1:10" ht="13.8" thickBot="1" x14ac:dyDescent="0.3">
      <c r="A24" s="70" t="s">
        <v>36</v>
      </c>
      <c r="B24" s="75"/>
      <c r="C24" s="75"/>
      <c r="D24" s="25">
        <v>431.5883981776455</v>
      </c>
      <c r="E24" s="25">
        <v>450.19105434092029</v>
      </c>
      <c r="F24" s="25">
        <v>498.20058532282548</v>
      </c>
      <c r="G24" s="25">
        <v>516.80324148610032</v>
      </c>
      <c r="H24" s="25">
        <v>583.0812161732257</v>
      </c>
      <c r="I24" s="25">
        <v>626.99809798228785</v>
      </c>
    </row>
    <row r="25" spans="1:10" ht="26.25" customHeight="1" thickBot="1" x14ac:dyDescent="0.3">
      <c r="A25" s="284" t="s">
        <v>37</v>
      </c>
      <c r="B25" s="285"/>
      <c r="C25" s="286"/>
      <c r="D25" s="26">
        <f t="shared" ref="D25:I25" si="1">SUM(D9:D24)</f>
        <v>8652.3197920375605</v>
      </c>
      <c r="E25" s="26">
        <f t="shared" si="1"/>
        <v>9025.258756072737</v>
      </c>
      <c r="F25" s="26">
        <f t="shared" si="1"/>
        <v>9987.7355438528339</v>
      </c>
      <c r="G25" s="26">
        <f t="shared" si="1"/>
        <v>10360.67450788801</v>
      </c>
      <c r="H25" s="26">
        <f t="shared" si="1"/>
        <v>11689.390095663241</v>
      </c>
      <c r="I25" s="26">
        <f t="shared" si="1"/>
        <v>12569.819011930629</v>
      </c>
    </row>
    <row r="26" spans="1:10" ht="13.8" thickBot="1" x14ac:dyDescent="0.3">
      <c r="A26" s="76"/>
      <c r="B26" s="77"/>
      <c r="C26" s="77"/>
      <c r="D26" s="27"/>
      <c r="E26" s="27"/>
      <c r="F26" s="27"/>
      <c r="G26" s="27"/>
      <c r="H26" s="27"/>
      <c r="I26" s="27"/>
    </row>
    <row r="27" spans="1:10" ht="13.8" thickBot="1" x14ac:dyDescent="0.3">
      <c r="A27" s="290" t="s">
        <v>38</v>
      </c>
      <c r="B27" s="291"/>
      <c r="C27" s="292"/>
      <c r="D27" s="26">
        <v>2578.7064961761193</v>
      </c>
      <c r="E27" s="26">
        <v>2578.7064961761193</v>
      </c>
      <c r="F27" s="26">
        <v>2578.7064961761193</v>
      </c>
      <c r="G27" s="26">
        <v>2578.7064961761193</v>
      </c>
      <c r="H27" s="26">
        <v>2578.7064961761193</v>
      </c>
      <c r="I27" s="26">
        <v>2326.7760716424914</v>
      </c>
      <c r="J27" s="22"/>
    </row>
    <row r="28" spans="1:10" ht="13.8" thickBot="1" x14ac:dyDescent="0.3">
      <c r="A28" s="76"/>
      <c r="B28" s="77"/>
      <c r="C28" s="77"/>
      <c r="D28" s="27"/>
      <c r="E28" s="27"/>
      <c r="F28" s="27"/>
      <c r="G28" s="27"/>
      <c r="H28" s="27"/>
      <c r="I28" s="27"/>
    </row>
    <row r="29" spans="1:10" ht="27.75" customHeight="1" thickBot="1" x14ac:dyDescent="0.3">
      <c r="A29" s="284" t="s">
        <v>39</v>
      </c>
      <c r="B29" s="285"/>
      <c r="C29" s="286"/>
      <c r="D29" s="26">
        <f t="shared" ref="D29:I29" si="2">D25+D27</f>
        <v>11231.026288213679</v>
      </c>
      <c r="E29" s="26">
        <f t="shared" si="2"/>
        <v>11603.965252248856</v>
      </c>
      <c r="F29" s="26">
        <f t="shared" si="2"/>
        <v>12566.442040028953</v>
      </c>
      <c r="G29" s="26">
        <f t="shared" si="2"/>
        <v>12939.381004064129</v>
      </c>
      <c r="H29" s="26">
        <f t="shared" si="2"/>
        <v>14268.096591839359</v>
      </c>
      <c r="I29" s="26">
        <f t="shared" si="2"/>
        <v>14896.59508357312</v>
      </c>
    </row>
    <row r="30" spans="1:10" ht="13.8" thickBot="1" x14ac:dyDescent="0.3">
      <c r="A30" s="71"/>
      <c r="B30" s="72"/>
      <c r="C30" s="72"/>
      <c r="D30" s="29"/>
      <c r="E30" s="29"/>
      <c r="F30" s="29"/>
      <c r="G30" s="29"/>
      <c r="H30" s="29"/>
      <c r="I30" s="29"/>
    </row>
    <row r="31" spans="1:10" ht="26.25" customHeight="1" thickBot="1" x14ac:dyDescent="0.3">
      <c r="A31" s="284" t="s">
        <v>40</v>
      </c>
      <c r="B31" s="287"/>
      <c r="C31" s="288"/>
      <c r="D31" s="26">
        <f t="shared" ref="D31:I31" si="3">D29/D5</f>
        <v>2495.7836196030398</v>
      </c>
      <c r="E31" s="26">
        <f t="shared" si="3"/>
        <v>2320.7930504497713</v>
      </c>
      <c r="F31" s="26">
        <f t="shared" si="3"/>
        <v>2284.8076436416277</v>
      </c>
      <c r="G31" s="26">
        <f t="shared" si="3"/>
        <v>2156.563500677355</v>
      </c>
      <c r="H31" s="26">
        <f t="shared" si="3"/>
        <v>2038.2995131199084</v>
      </c>
      <c r="I31" s="26">
        <f t="shared" si="3"/>
        <v>1862.07438544664</v>
      </c>
    </row>
    <row r="32" spans="1:10" ht="13.8" thickBot="1" x14ac:dyDescent="0.3">
      <c r="A32" s="71"/>
      <c r="B32" s="72"/>
      <c r="C32" s="72"/>
      <c r="D32" s="29"/>
      <c r="E32" s="29"/>
      <c r="F32" s="29"/>
      <c r="G32" s="29"/>
      <c r="H32" s="29"/>
      <c r="I32" s="29"/>
    </row>
    <row r="33" spans="1:10" ht="13.8" thickBot="1" x14ac:dyDescent="0.3">
      <c r="A33" s="69" t="s">
        <v>41</v>
      </c>
      <c r="B33" s="79"/>
      <c r="C33" s="79"/>
      <c r="D33" s="26">
        <f>'Pryse + Sensatiwiteitsanalise'!D4</f>
        <v>442</v>
      </c>
      <c r="E33" s="26">
        <f>$D$33</f>
        <v>442</v>
      </c>
      <c r="F33" s="26">
        <f>$D$33</f>
        <v>442</v>
      </c>
      <c r="G33" s="26">
        <f>$D$33</f>
        <v>442</v>
      </c>
      <c r="H33" s="26">
        <f>$D$33</f>
        <v>442</v>
      </c>
      <c r="I33" s="26">
        <f>$D$33</f>
        <v>442</v>
      </c>
    </row>
    <row r="34" spans="1:10" ht="13.8" thickBot="1" x14ac:dyDescent="0.3">
      <c r="A34" s="71"/>
      <c r="B34" s="72"/>
      <c r="C34" s="72"/>
      <c r="D34" s="29"/>
      <c r="E34" s="29"/>
      <c r="F34" s="29"/>
      <c r="G34" s="29"/>
      <c r="H34" s="29"/>
      <c r="I34" s="29"/>
    </row>
    <row r="35" spans="1:10" ht="13.8" thickBot="1" x14ac:dyDescent="0.3">
      <c r="A35" s="289" t="s">
        <v>42</v>
      </c>
      <c r="B35" s="287"/>
      <c r="C35" s="288"/>
      <c r="D35" s="28">
        <f t="shared" ref="D35:I35" si="4">D31+D33</f>
        <v>2937.7836196030398</v>
      </c>
      <c r="E35" s="28">
        <f t="shared" si="4"/>
        <v>2762.7930504497713</v>
      </c>
      <c r="F35" s="28">
        <f t="shared" si="4"/>
        <v>2726.8076436416277</v>
      </c>
      <c r="G35" s="28">
        <f t="shared" si="4"/>
        <v>2598.563500677355</v>
      </c>
      <c r="H35" s="28">
        <f t="shared" si="4"/>
        <v>2480.2995131199086</v>
      </c>
      <c r="I35" s="28">
        <f t="shared" si="4"/>
        <v>2304.07438544664</v>
      </c>
    </row>
    <row r="36" spans="1:10" ht="13.8" thickBot="1" x14ac:dyDescent="0.3">
      <c r="A36" s="65" t="s">
        <v>70</v>
      </c>
      <c r="B36" s="66"/>
      <c r="C36" s="67"/>
      <c r="D36" s="28">
        <f>'Pryse + Sensatiwiteitsanalise'!B4</f>
        <v>4200</v>
      </c>
      <c r="E36" s="28">
        <f>$D$36</f>
        <v>4200</v>
      </c>
      <c r="F36" s="28">
        <f>$D$36</f>
        <v>4200</v>
      </c>
      <c r="G36" s="28">
        <f>$D$36</f>
        <v>4200</v>
      </c>
      <c r="H36" s="28">
        <f>$D$36</f>
        <v>4200</v>
      </c>
      <c r="I36" s="28">
        <f>$D$36</f>
        <v>4200</v>
      </c>
    </row>
    <row r="37" spans="1:10" ht="14.4" x14ac:dyDescent="0.25">
      <c r="A37" s="89" t="s">
        <v>45</v>
      </c>
      <c r="B37" s="88"/>
      <c r="C37" s="88"/>
      <c r="D37" s="88"/>
      <c r="E37" s="88"/>
      <c r="F37" s="88"/>
      <c r="G37" s="88"/>
      <c r="H37" s="87"/>
      <c r="I37" s="90"/>
      <c r="J37" s="90"/>
    </row>
    <row r="38" spans="1:10" ht="14.4" x14ac:dyDescent="0.25">
      <c r="A38" s="86" t="s">
        <v>46</v>
      </c>
      <c r="B38" s="85"/>
      <c r="C38" s="85"/>
      <c r="D38" s="85"/>
      <c r="E38" s="85"/>
      <c r="F38" s="85"/>
      <c r="G38" s="85"/>
      <c r="H38" s="84"/>
      <c r="I38" s="90"/>
      <c r="J38" s="90"/>
    </row>
    <row r="39" spans="1:10" ht="15" thickBot="1" x14ac:dyDescent="0.3">
      <c r="A39" s="83" t="s">
        <v>47</v>
      </c>
      <c r="B39" s="82"/>
      <c r="C39" s="82"/>
      <c r="D39" s="82"/>
      <c r="E39" s="82"/>
      <c r="F39" s="82"/>
      <c r="G39" s="82"/>
      <c r="H39" s="81"/>
      <c r="I39" s="90"/>
      <c r="J39" s="90"/>
    </row>
    <row r="40" spans="1:10" x14ac:dyDescent="0.25">
      <c r="A40" s="261" t="s">
        <v>48</v>
      </c>
      <c r="B40" s="262"/>
      <c r="C40" s="262"/>
      <c r="D40" s="262"/>
      <c r="E40" s="262"/>
      <c r="F40" s="262"/>
      <c r="G40" s="262"/>
      <c r="H40" s="263"/>
    </row>
    <row r="41" spans="1:10" x14ac:dyDescent="0.25">
      <c r="A41" s="264"/>
      <c r="B41" s="265"/>
      <c r="C41" s="265"/>
      <c r="D41" s="265"/>
      <c r="E41" s="265"/>
      <c r="F41" s="265"/>
      <c r="G41" s="265"/>
      <c r="H41" s="266"/>
    </row>
    <row r="42" spans="1:10" x14ac:dyDescent="0.25">
      <c r="A42" s="264"/>
      <c r="B42" s="265"/>
      <c r="C42" s="265"/>
      <c r="D42" s="265"/>
      <c r="E42" s="265"/>
      <c r="F42" s="265"/>
      <c r="G42" s="265"/>
      <c r="H42" s="266"/>
    </row>
    <row r="43" spans="1:10" ht="13.8" thickBot="1" x14ac:dyDescent="0.3">
      <c r="A43" s="267"/>
      <c r="B43" s="268"/>
      <c r="C43" s="268"/>
      <c r="D43" s="268"/>
      <c r="E43" s="268"/>
      <c r="F43" s="268"/>
      <c r="G43" s="268"/>
      <c r="H43" s="269"/>
    </row>
  </sheetData>
  <mergeCells count="11">
    <mergeCell ref="A1:D1"/>
    <mergeCell ref="E1:G1"/>
    <mergeCell ref="A3:C3"/>
    <mergeCell ref="A8:C8"/>
    <mergeCell ref="A25:C25"/>
    <mergeCell ref="K7:M7"/>
    <mergeCell ref="A29:C29"/>
    <mergeCell ref="A31:C31"/>
    <mergeCell ref="A35:C35"/>
    <mergeCell ref="A40:H43"/>
    <mergeCell ref="A27:C27"/>
  </mergeCells>
  <phoneticPr fontId="0" type="noConversion"/>
  <pageMargins left="0.23622047244094491" right="0.23622047244094491" top="0.74803149606299213" bottom="0.74803149606299213" header="0.31496062992125984" footer="0.31496062992125984"/>
  <pageSetup paperSize="9" scale="70" fitToHeight="0" orientation="portrait" verticalDpi="300" r:id="rId1"/>
  <headerFooter alignWithMargins="0">
    <oddHeader>&amp;F</oddHeader>
    <oddFooter>&amp;A&amp;RPage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zoomScale="70" zoomScaleNormal="70" workbookViewId="0">
      <selection activeCell="A13" sqref="A13:XFD13"/>
    </sheetView>
  </sheetViews>
  <sheetFormatPr defaultColWidth="9.109375" defaultRowHeight="13.2" x14ac:dyDescent="0.25"/>
  <cols>
    <col min="1" max="1" width="47.88671875" style="1" customWidth="1"/>
    <col min="2" max="2" width="13.33203125" style="1" customWidth="1"/>
    <col min="3" max="3" width="17.33203125" style="1" customWidth="1"/>
    <col min="4" max="4" width="16.109375" style="1" customWidth="1"/>
    <col min="5" max="6" width="14.33203125" style="1" customWidth="1"/>
    <col min="7" max="7" width="14.88671875" style="1" customWidth="1"/>
    <col min="8" max="8" width="14.5546875" style="1" customWidth="1"/>
    <col min="9" max="9" width="16.33203125" style="1" customWidth="1"/>
    <col min="10" max="10" width="14.44140625" style="1" customWidth="1"/>
    <col min="11" max="13" width="12.6640625" style="1" hidden="1" customWidth="1"/>
    <col min="14" max="26" width="12.6640625" style="1" customWidth="1"/>
    <col min="27" max="16384" width="9.109375" style="1"/>
  </cols>
  <sheetData>
    <row r="1" spans="1:13" ht="30" customHeight="1" thickBot="1" x14ac:dyDescent="0.35">
      <c r="A1" s="270" t="s">
        <v>112</v>
      </c>
      <c r="B1" s="271"/>
      <c r="C1" s="271"/>
      <c r="D1" s="271"/>
      <c r="E1" s="228"/>
      <c r="F1" s="272" t="s">
        <v>138</v>
      </c>
      <c r="G1" s="272"/>
      <c r="H1" s="272"/>
      <c r="I1" s="200"/>
    </row>
    <row r="2" spans="1:13" ht="16.2" thickBot="1" x14ac:dyDescent="0.35">
      <c r="A2" s="12"/>
      <c r="B2" s="13"/>
      <c r="C2" s="14"/>
      <c r="D2" s="14"/>
      <c r="E2" s="8"/>
      <c r="F2" s="8"/>
      <c r="G2" s="8"/>
      <c r="H2" s="8"/>
      <c r="I2" s="3"/>
    </row>
    <row r="3" spans="1:13" ht="27.75" customHeight="1" thickBot="1" x14ac:dyDescent="0.3">
      <c r="A3" s="253" t="s">
        <v>16</v>
      </c>
      <c r="B3" s="256"/>
      <c r="C3" s="256"/>
      <c r="D3" s="189"/>
      <c r="E3" s="190">
        <f>'Pryse + Sensatiwiteitsanalise'!B19</f>
        <v>3758</v>
      </c>
      <c r="F3" s="189" t="s">
        <v>0</v>
      </c>
      <c r="G3" s="191"/>
      <c r="H3" s="191"/>
      <c r="I3" s="192"/>
    </row>
    <row r="4" spans="1:13" ht="13.8" thickBot="1" x14ac:dyDescent="0.3">
      <c r="A4" s="68"/>
      <c r="B4" s="78"/>
      <c r="C4" s="78"/>
      <c r="D4" s="5"/>
      <c r="E4" s="7"/>
      <c r="F4" s="16"/>
      <c r="G4" s="6"/>
      <c r="H4" s="17"/>
      <c r="I4" s="17"/>
    </row>
    <row r="5" spans="1:13" ht="13.8" thickBot="1" x14ac:dyDescent="0.3">
      <c r="A5" s="68" t="s">
        <v>17</v>
      </c>
      <c r="B5" s="78"/>
      <c r="C5" s="78"/>
      <c r="D5" s="34">
        <v>4.5</v>
      </c>
      <c r="E5" s="34">
        <v>5</v>
      </c>
      <c r="F5" s="34">
        <v>5.5</v>
      </c>
      <c r="G5" s="34">
        <v>6</v>
      </c>
      <c r="H5" s="34">
        <v>7</v>
      </c>
      <c r="I5" s="34">
        <v>8</v>
      </c>
    </row>
    <row r="6" spans="1:13" ht="13.8" thickBot="1" x14ac:dyDescent="0.3">
      <c r="A6" s="193" t="s">
        <v>18</v>
      </c>
      <c r="B6" s="194"/>
      <c r="C6" s="195"/>
      <c r="D6" s="196">
        <f t="shared" ref="D6:I6" si="0">$E$3*D5</f>
        <v>16911</v>
      </c>
      <c r="E6" s="196">
        <f t="shared" si="0"/>
        <v>18790</v>
      </c>
      <c r="F6" s="196">
        <f t="shared" si="0"/>
        <v>20669</v>
      </c>
      <c r="G6" s="196">
        <f t="shared" si="0"/>
        <v>22548</v>
      </c>
      <c r="H6" s="196">
        <f t="shared" si="0"/>
        <v>26306</v>
      </c>
      <c r="I6" s="196">
        <f t="shared" si="0"/>
        <v>30064</v>
      </c>
    </row>
    <row r="7" spans="1:13" ht="15" thickBot="1" x14ac:dyDescent="0.35">
      <c r="A7" s="71"/>
      <c r="B7" s="72"/>
      <c r="C7" s="72"/>
      <c r="D7" s="19"/>
      <c r="E7" s="19"/>
      <c r="F7" s="19"/>
      <c r="G7" s="19"/>
      <c r="H7" s="19"/>
      <c r="I7" s="19"/>
      <c r="K7" s="249" t="s">
        <v>63</v>
      </c>
      <c r="L7" s="249"/>
      <c r="M7" s="249"/>
    </row>
    <row r="8" spans="1:13" ht="15" thickBot="1" x14ac:dyDescent="0.35">
      <c r="A8" s="275" t="s">
        <v>19</v>
      </c>
      <c r="B8" s="276"/>
      <c r="C8" s="277"/>
      <c r="D8" s="199"/>
      <c r="E8" s="199"/>
      <c r="F8" s="199"/>
      <c r="G8" s="199"/>
      <c r="H8" s="199"/>
      <c r="I8" s="199"/>
      <c r="K8" s="92" t="s">
        <v>60</v>
      </c>
      <c r="L8" s="92" t="s">
        <v>61</v>
      </c>
      <c r="M8" s="92" t="s">
        <v>62</v>
      </c>
    </row>
    <row r="9" spans="1:13" ht="14.4" x14ac:dyDescent="0.3">
      <c r="A9" s="73" t="s">
        <v>20</v>
      </c>
      <c r="B9" s="74"/>
      <c r="C9" s="74"/>
      <c r="D9" s="132">
        <v>2961.11</v>
      </c>
      <c r="E9" s="132">
        <v>2961.11</v>
      </c>
      <c r="F9" s="132">
        <v>3761.4100000000003</v>
      </c>
      <c r="G9" s="132">
        <v>3761.4100000000003</v>
      </c>
      <c r="H9" s="132">
        <v>4561.71</v>
      </c>
      <c r="I9" s="132">
        <v>4561.71</v>
      </c>
      <c r="K9" s="93">
        <f>D5</f>
        <v>4.5</v>
      </c>
      <c r="L9" s="93">
        <f>D25</f>
        <v>13834.869205624329</v>
      </c>
      <c r="M9" s="93">
        <f>D27</f>
        <v>2217.0700000000002</v>
      </c>
    </row>
    <row r="10" spans="1:13" ht="14.4" x14ac:dyDescent="0.3">
      <c r="A10" s="70" t="s">
        <v>21</v>
      </c>
      <c r="B10" s="75"/>
      <c r="C10" s="75"/>
      <c r="D10" s="131">
        <v>4607.1000000000004</v>
      </c>
      <c r="E10" s="131">
        <v>5213.7</v>
      </c>
      <c r="F10" s="131">
        <v>5820.2999999999993</v>
      </c>
      <c r="G10" s="131">
        <v>6426.9</v>
      </c>
      <c r="H10" s="131">
        <v>7238.4</v>
      </c>
      <c r="I10" s="131">
        <v>8451.6</v>
      </c>
      <c r="K10" s="93">
        <f>E5</f>
        <v>5</v>
      </c>
      <c r="L10" s="93">
        <f>E25</f>
        <v>14691.944587150891</v>
      </c>
      <c r="M10" s="93">
        <f>E27</f>
        <v>2217.0700000000002</v>
      </c>
    </row>
    <row r="11" spans="1:13" ht="14.4" x14ac:dyDescent="0.3">
      <c r="A11" s="70" t="s">
        <v>22</v>
      </c>
      <c r="B11" s="75"/>
      <c r="C11" s="75"/>
      <c r="D11" s="131">
        <v>252.74700000000001</v>
      </c>
      <c r="E11" s="131">
        <v>252.74700000000001</v>
      </c>
      <c r="F11" s="131">
        <v>252.74700000000001</v>
      </c>
      <c r="G11" s="131">
        <v>252.74700000000001</v>
      </c>
      <c r="H11" s="131">
        <v>252.74700000000001</v>
      </c>
      <c r="I11" s="131">
        <v>252.74700000000001</v>
      </c>
      <c r="K11" s="93">
        <f>F5</f>
        <v>5.5</v>
      </c>
      <c r="L11" s="93">
        <f>F25</f>
        <v>16464.877948892077</v>
      </c>
      <c r="M11" s="93">
        <f>F27</f>
        <v>2217.0700000000002</v>
      </c>
    </row>
    <row r="12" spans="1:13" ht="14.4" x14ac:dyDescent="0.3">
      <c r="A12" s="70" t="s">
        <v>23</v>
      </c>
      <c r="B12" s="75"/>
      <c r="C12" s="75"/>
      <c r="D12" s="131">
        <v>1191.7919000000002</v>
      </c>
      <c r="E12" s="131">
        <v>1218.9544000000001</v>
      </c>
      <c r="F12" s="131">
        <v>1246.1169</v>
      </c>
      <c r="G12" s="131">
        <v>1273.2794000000001</v>
      </c>
      <c r="H12" s="131">
        <v>1317.3544000000002</v>
      </c>
      <c r="I12" s="131">
        <v>1361.4294</v>
      </c>
      <c r="K12" s="93">
        <f>G5</f>
        <v>6</v>
      </c>
      <c r="L12" s="93">
        <f>G25</f>
        <v>17321.953330418644</v>
      </c>
      <c r="M12" s="93">
        <f>G27</f>
        <v>2217.0700000000002</v>
      </c>
    </row>
    <row r="13" spans="1:13" ht="14.4" x14ac:dyDescent="0.3">
      <c r="A13" s="70" t="s">
        <v>24</v>
      </c>
      <c r="B13" s="75"/>
      <c r="C13" s="75"/>
      <c r="D13" s="131">
        <v>683.71475759999998</v>
      </c>
      <c r="E13" s="131">
        <v>687.76975259999995</v>
      </c>
      <c r="F13" s="131">
        <v>691.82474759999991</v>
      </c>
      <c r="G13" s="131">
        <v>695.87974259999999</v>
      </c>
      <c r="H13" s="131">
        <v>703.98973260000002</v>
      </c>
      <c r="I13" s="131">
        <v>712.09972259999995</v>
      </c>
      <c r="K13" s="93">
        <f>H5</f>
        <v>7</v>
      </c>
      <c r="L13" s="93">
        <f>H25</f>
        <v>19480.529242311397</v>
      </c>
      <c r="M13" s="93">
        <f>H27</f>
        <v>2217.0700000000002</v>
      </c>
    </row>
    <row r="14" spans="1:13" ht="14.4" x14ac:dyDescent="0.3">
      <c r="A14" s="70" t="s">
        <v>25</v>
      </c>
      <c r="B14" s="75"/>
      <c r="C14" s="75"/>
      <c r="D14" s="131">
        <v>689.57599999999991</v>
      </c>
      <c r="E14" s="131">
        <v>689.57599999999991</v>
      </c>
      <c r="F14" s="131">
        <v>689.57599999999991</v>
      </c>
      <c r="G14" s="131">
        <v>689.57599999999991</v>
      </c>
      <c r="H14" s="131">
        <v>689.57599999999991</v>
      </c>
      <c r="I14" s="131">
        <v>689.57599999999991</v>
      </c>
      <c r="K14" s="93">
        <f>I5</f>
        <v>8</v>
      </c>
      <c r="L14" s="93">
        <f>I25</f>
        <v>21182.949973754879</v>
      </c>
      <c r="M14" s="93">
        <f>I27</f>
        <v>2217.0700000000002</v>
      </c>
    </row>
    <row r="15" spans="1:13" x14ac:dyDescent="0.25">
      <c r="A15" s="70" t="s">
        <v>26</v>
      </c>
      <c r="B15" s="75"/>
      <c r="C15" s="75"/>
      <c r="D15" s="131">
        <v>703.17</v>
      </c>
      <c r="E15" s="131">
        <v>703.17</v>
      </c>
      <c r="F15" s="131">
        <v>703.17</v>
      </c>
      <c r="G15" s="131">
        <v>703.17</v>
      </c>
      <c r="H15" s="131">
        <v>703.17</v>
      </c>
      <c r="I15" s="131">
        <v>703.17</v>
      </c>
    </row>
    <row r="16" spans="1:13" x14ac:dyDescent="0.25">
      <c r="A16" s="70" t="s">
        <v>27</v>
      </c>
      <c r="B16" s="75"/>
      <c r="C16" s="75"/>
      <c r="D16" s="131">
        <v>328.62374999999997</v>
      </c>
      <c r="E16" s="131">
        <v>365.13749999999999</v>
      </c>
      <c r="F16" s="131">
        <v>401.65125</v>
      </c>
      <c r="G16" s="131">
        <v>438.16499999999996</v>
      </c>
      <c r="H16" s="131">
        <v>511.1925</v>
      </c>
      <c r="I16" s="131">
        <v>584.22</v>
      </c>
    </row>
    <row r="17" spans="1:10" x14ac:dyDescent="0.25">
      <c r="A17" s="70" t="s">
        <v>29</v>
      </c>
      <c r="B17" s="75"/>
      <c r="C17" s="75"/>
      <c r="D17" s="131">
        <v>916.49185212322197</v>
      </c>
      <c r="E17" s="131">
        <v>973.26886910471728</v>
      </c>
      <c r="F17" s="131">
        <v>1090.7169603185223</v>
      </c>
      <c r="G17" s="131">
        <v>1147.4939773000178</v>
      </c>
      <c r="H17" s="131">
        <v>1290.488985495318</v>
      </c>
      <c r="I17" s="131">
        <v>1403.2659627159853</v>
      </c>
    </row>
    <row r="18" spans="1:10" x14ac:dyDescent="0.25">
      <c r="A18" s="70" t="s">
        <v>30</v>
      </c>
      <c r="B18" s="75"/>
      <c r="C18" s="75"/>
      <c r="D18" s="131">
        <v>0</v>
      </c>
      <c r="E18" s="131">
        <v>0</v>
      </c>
      <c r="F18" s="131">
        <v>0</v>
      </c>
      <c r="G18" s="131">
        <v>0</v>
      </c>
      <c r="H18" s="131">
        <v>0</v>
      </c>
      <c r="I18" s="131">
        <v>0</v>
      </c>
    </row>
    <row r="19" spans="1:10" x14ac:dyDescent="0.25">
      <c r="A19" s="70" t="s">
        <v>31</v>
      </c>
      <c r="B19" s="75"/>
      <c r="C19" s="75"/>
      <c r="D19" s="131">
        <v>671.42722500000002</v>
      </c>
      <c r="E19" s="131">
        <v>746.03025000000002</v>
      </c>
      <c r="F19" s="131">
        <v>820.63327499999991</v>
      </c>
      <c r="G19" s="131">
        <v>895.23630000000003</v>
      </c>
      <c r="H19" s="131">
        <v>1044.44235</v>
      </c>
      <c r="I19" s="131">
        <v>1193.6484</v>
      </c>
    </row>
    <row r="20" spans="1:10" x14ac:dyDescent="0.25">
      <c r="A20" s="70" t="s">
        <v>32</v>
      </c>
      <c r="B20" s="75"/>
      <c r="C20" s="75"/>
      <c r="D20" s="131">
        <v>0</v>
      </c>
      <c r="E20" s="131">
        <v>0</v>
      </c>
      <c r="F20" s="131">
        <v>0</v>
      </c>
      <c r="G20" s="131">
        <v>0</v>
      </c>
      <c r="H20" s="131">
        <v>0</v>
      </c>
      <c r="I20" s="131">
        <v>0</v>
      </c>
    </row>
    <row r="21" spans="1:10" x14ac:dyDescent="0.25">
      <c r="A21" s="70" t="s">
        <v>33</v>
      </c>
      <c r="B21" s="75"/>
      <c r="C21" s="75"/>
      <c r="D21" s="131">
        <v>0</v>
      </c>
      <c r="E21" s="131">
        <v>0</v>
      </c>
      <c r="F21" s="131">
        <v>0</v>
      </c>
      <c r="G21" s="131">
        <v>0</v>
      </c>
      <c r="H21" s="131">
        <v>0</v>
      </c>
      <c r="I21" s="131">
        <v>0</v>
      </c>
    </row>
    <row r="22" spans="1:10" x14ac:dyDescent="0.25">
      <c r="A22" s="70" t="s">
        <v>34</v>
      </c>
      <c r="B22" s="75"/>
      <c r="C22" s="75"/>
      <c r="D22" s="131">
        <v>0</v>
      </c>
      <c r="E22" s="131">
        <v>0</v>
      </c>
      <c r="F22" s="131">
        <v>0</v>
      </c>
      <c r="G22" s="131">
        <v>0</v>
      </c>
      <c r="H22" s="131">
        <v>0</v>
      </c>
      <c r="I22" s="131">
        <v>0</v>
      </c>
    </row>
    <row r="23" spans="1:10" x14ac:dyDescent="0.25">
      <c r="A23" s="70" t="s">
        <v>35</v>
      </c>
      <c r="B23" s="75"/>
      <c r="C23" s="75"/>
      <c r="D23" s="131">
        <v>0</v>
      </c>
      <c r="E23" s="131">
        <v>0</v>
      </c>
      <c r="F23" s="131">
        <v>0</v>
      </c>
      <c r="G23" s="131">
        <v>0</v>
      </c>
      <c r="H23" s="131">
        <v>0</v>
      </c>
      <c r="I23" s="131">
        <v>0</v>
      </c>
    </row>
    <row r="24" spans="1:10" ht="13.8" thickBot="1" x14ac:dyDescent="0.3">
      <c r="A24" s="70" t="s">
        <v>36</v>
      </c>
      <c r="B24" s="75"/>
      <c r="C24" s="75"/>
      <c r="D24" s="131">
        <v>829.1167209011054</v>
      </c>
      <c r="E24" s="131">
        <v>880.4808154461756</v>
      </c>
      <c r="F24" s="131">
        <v>986.73181597355585</v>
      </c>
      <c r="G24" s="131">
        <v>1038.0959105186262</v>
      </c>
      <c r="H24" s="131">
        <v>1167.4582742160767</v>
      </c>
      <c r="I24" s="131">
        <v>1269.483488438894</v>
      </c>
    </row>
    <row r="25" spans="1:10" ht="26.25" customHeight="1" thickBot="1" x14ac:dyDescent="0.3">
      <c r="A25" s="253" t="s">
        <v>37</v>
      </c>
      <c r="B25" s="254"/>
      <c r="C25" s="255"/>
      <c r="D25" s="197">
        <f t="shared" ref="D25:I25" si="1">SUM(D9:D24)</f>
        <v>13834.869205624329</v>
      </c>
      <c r="E25" s="197">
        <f t="shared" si="1"/>
        <v>14691.944587150891</v>
      </c>
      <c r="F25" s="197">
        <f t="shared" si="1"/>
        <v>16464.877948892077</v>
      </c>
      <c r="G25" s="197">
        <f t="shared" si="1"/>
        <v>17321.953330418644</v>
      </c>
      <c r="H25" s="197">
        <f t="shared" si="1"/>
        <v>19480.529242311397</v>
      </c>
      <c r="I25" s="197">
        <f t="shared" si="1"/>
        <v>21182.949973754879</v>
      </c>
    </row>
    <row r="26" spans="1:10" ht="13.8" thickBot="1" x14ac:dyDescent="0.3">
      <c r="A26" s="76"/>
      <c r="B26" s="77"/>
      <c r="C26" s="77"/>
      <c r="D26" s="27"/>
      <c r="E26" s="27"/>
      <c r="F26" s="27"/>
      <c r="G26" s="27"/>
      <c r="H26" s="27"/>
      <c r="I26" s="27"/>
    </row>
    <row r="27" spans="1:10" ht="13.8" thickBot="1" x14ac:dyDescent="0.3">
      <c r="A27" s="250" t="s">
        <v>38</v>
      </c>
      <c r="B27" s="251"/>
      <c r="C27" s="252"/>
      <c r="D27" s="198">
        <f>'[5]W-BT Mielies vermin till'!$D$224</f>
        <v>2217.0700000000002</v>
      </c>
      <c r="E27" s="197">
        <f>D27</f>
        <v>2217.0700000000002</v>
      </c>
      <c r="F27" s="197">
        <f>E27</f>
        <v>2217.0700000000002</v>
      </c>
      <c r="G27" s="197">
        <f>F27</f>
        <v>2217.0700000000002</v>
      </c>
      <c r="H27" s="197">
        <f>G27</f>
        <v>2217.0700000000002</v>
      </c>
      <c r="I27" s="197">
        <f>H27</f>
        <v>2217.0700000000002</v>
      </c>
      <c r="J27" s="22"/>
    </row>
    <row r="28" spans="1:10" ht="13.8" thickBot="1" x14ac:dyDescent="0.3">
      <c r="A28" s="76"/>
      <c r="B28" s="77"/>
      <c r="C28" s="77"/>
      <c r="D28" s="27"/>
      <c r="E28" s="27"/>
      <c r="F28" s="27"/>
      <c r="G28" s="27"/>
      <c r="H28" s="27"/>
      <c r="I28" s="27"/>
    </row>
    <row r="29" spans="1:10" ht="27.75" customHeight="1" thickBot="1" x14ac:dyDescent="0.3">
      <c r="A29" s="253" t="s">
        <v>39</v>
      </c>
      <c r="B29" s="254"/>
      <c r="C29" s="255"/>
      <c r="D29" s="197">
        <f t="shared" ref="D29:I29" si="2">D25+D27</f>
        <v>16051.939205624329</v>
      </c>
      <c r="E29" s="197">
        <f t="shared" si="2"/>
        <v>16909.01458715089</v>
      </c>
      <c r="F29" s="197">
        <f t="shared" si="2"/>
        <v>18681.947948892077</v>
      </c>
      <c r="G29" s="197">
        <f t="shared" si="2"/>
        <v>19539.023330418644</v>
      </c>
      <c r="H29" s="197">
        <f t="shared" si="2"/>
        <v>21697.599242311397</v>
      </c>
      <c r="I29" s="197">
        <f t="shared" si="2"/>
        <v>23400.019973754879</v>
      </c>
    </row>
    <row r="30" spans="1:10" ht="13.8" thickBot="1" x14ac:dyDescent="0.3">
      <c r="A30" s="71"/>
      <c r="B30" s="72"/>
      <c r="C30" s="72"/>
      <c r="D30" s="29"/>
      <c r="E30" s="29"/>
      <c r="F30" s="29"/>
      <c r="G30" s="29"/>
      <c r="H30" s="29"/>
      <c r="I30" s="29"/>
    </row>
    <row r="31" spans="1:10" ht="26.25" customHeight="1" thickBot="1" x14ac:dyDescent="0.3">
      <c r="A31" s="253" t="s">
        <v>40</v>
      </c>
      <c r="B31" s="256"/>
      <c r="C31" s="257"/>
      <c r="D31" s="197">
        <f t="shared" ref="D31:I31" si="3">D29/D5</f>
        <v>3567.0976012498509</v>
      </c>
      <c r="E31" s="197">
        <f t="shared" si="3"/>
        <v>3381.8029174301782</v>
      </c>
      <c r="F31" s="197">
        <f t="shared" si="3"/>
        <v>3396.7178088894684</v>
      </c>
      <c r="G31" s="197">
        <f t="shared" si="3"/>
        <v>3256.5038884031073</v>
      </c>
      <c r="H31" s="197">
        <f t="shared" si="3"/>
        <v>3099.6570346159137</v>
      </c>
      <c r="I31" s="197">
        <f t="shared" si="3"/>
        <v>2925.0024967193599</v>
      </c>
    </row>
    <row r="32" spans="1:10" ht="13.8" thickBot="1" x14ac:dyDescent="0.3">
      <c r="A32" s="71"/>
      <c r="B32" s="72"/>
      <c r="C32" s="72"/>
      <c r="D32" s="29"/>
      <c r="E32" s="29"/>
      <c r="F32" s="29"/>
      <c r="G32" s="29"/>
      <c r="H32" s="29"/>
      <c r="I32" s="29"/>
    </row>
    <row r="33" spans="1:10" ht="13.8" thickBot="1" x14ac:dyDescent="0.3">
      <c r="A33" s="193" t="s">
        <v>41</v>
      </c>
      <c r="B33" s="194"/>
      <c r="C33" s="194"/>
      <c r="D33" s="197">
        <f>'Pryse + Sensatiwiteitsanalise'!D4</f>
        <v>442</v>
      </c>
      <c r="E33" s="197">
        <f>$D$33</f>
        <v>442</v>
      </c>
      <c r="F33" s="197">
        <f>$D$33</f>
        <v>442</v>
      </c>
      <c r="G33" s="197">
        <f>$D$33</f>
        <v>442</v>
      </c>
      <c r="H33" s="197">
        <f>$D$33</f>
        <v>442</v>
      </c>
      <c r="I33" s="197">
        <f>$D$33</f>
        <v>442</v>
      </c>
    </row>
    <row r="34" spans="1:10" ht="13.8" thickBot="1" x14ac:dyDescent="0.3">
      <c r="A34" s="71"/>
      <c r="B34" s="72"/>
      <c r="C34" s="72"/>
      <c r="D34" s="29"/>
      <c r="E34" s="29"/>
      <c r="F34" s="29"/>
      <c r="G34" s="29"/>
      <c r="H34" s="29"/>
      <c r="I34" s="29"/>
    </row>
    <row r="35" spans="1:10" ht="13.8" thickBot="1" x14ac:dyDescent="0.3">
      <c r="A35" s="258" t="s">
        <v>42</v>
      </c>
      <c r="B35" s="259"/>
      <c r="C35" s="260"/>
      <c r="D35" s="185">
        <f t="shared" ref="D35:I35" si="4">D31+D33</f>
        <v>4009.0976012498509</v>
      </c>
      <c r="E35" s="185">
        <f t="shared" si="4"/>
        <v>3823.8029174301782</v>
      </c>
      <c r="F35" s="185">
        <f t="shared" si="4"/>
        <v>3838.7178088894684</v>
      </c>
      <c r="G35" s="185">
        <f t="shared" si="4"/>
        <v>3698.5038884031073</v>
      </c>
      <c r="H35" s="185">
        <f t="shared" si="4"/>
        <v>3541.6570346159137</v>
      </c>
      <c r="I35" s="185">
        <f t="shared" si="4"/>
        <v>3367.0024967193599</v>
      </c>
    </row>
    <row r="36" spans="1:10" ht="13.8" thickBot="1" x14ac:dyDescent="0.3">
      <c r="A36" s="186" t="s">
        <v>118</v>
      </c>
      <c r="B36" s="187"/>
      <c r="C36" s="188"/>
      <c r="D36" s="185">
        <f>'Pryse + Sensatiwiteitsanalise'!B4</f>
        <v>4200</v>
      </c>
      <c r="E36" s="185">
        <f>$D$36</f>
        <v>4200</v>
      </c>
      <c r="F36" s="185">
        <f>$D$36</f>
        <v>4200</v>
      </c>
      <c r="G36" s="185">
        <f>$D$36</f>
        <v>4200</v>
      </c>
      <c r="H36" s="185">
        <f>$D$36</f>
        <v>4200</v>
      </c>
      <c r="I36" s="185">
        <f>$D$36</f>
        <v>4200</v>
      </c>
    </row>
    <row r="37" spans="1:10" ht="13.8" thickBot="1" x14ac:dyDescent="0.3"/>
    <row r="38" spans="1:10" customFormat="1" ht="14.4" x14ac:dyDescent="0.3">
      <c r="A38" s="278" t="s">
        <v>116</v>
      </c>
      <c r="B38" s="279"/>
      <c r="C38" s="280"/>
      <c r="D38" s="179">
        <f t="shared" ref="D38:I38" si="5">D6-D25</f>
        <v>3076.130794375671</v>
      </c>
      <c r="E38" s="180">
        <f t="shared" si="5"/>
        <v>4098.0554128491094</v>
      </c>
      <c r="F38" s="179">
        <f t="shared" si="5"/>
        <v>4204.1220511079227</v>
      </c>
      <c r="G38" s="180">
        <f t="shared" si="5"/>
        <v>5226.0466695813557</v>
      </c>
      <c r="H38" s="179">
        <f t="shared" si="5"/>
        <v>6825.470757688603</v>
      </c>
      <c r="I38" s="179">
        <f t="shared" si="5"/>
        <v>8881.0500262451205</v>
      </c>
    </row>
    <row r="39" spans="1:10" customFormat="1" ht="15" thickBot="1" x14ac:dyDescent="0.35">
      <c r="A39" s="281" t="s">
        <v>117</v>
      </c>
      <c r="B39" s="282"/>
      <c r="C39" s="283"/>
      <c r="D39" s="182">
        <f t="shared" ref="D39:I39" si="6">D6-D29</f>
        <v>859.06079437567132</v>
      </c>
      <c r="E39" s="183">
        <f t="shared" si="6"/>
        <v>1880.9854128491097</v>
      </c>
      <c r="F39" s="182">
        <f t="shared" si="6"/>
        <v>1987.052051107923</v>
      </c>
      <c r="G39" s="183">
        <f t="shared" si="6"/>
        <v>3008.976669581356</v>
      </c>
      <c r="H39" s="182">
        <f t="shared" si="6"/>
        <v>4608.4007576886033</v>
      </c>
      <c r="I39" s="182">
        <f t="shared" si="6"/>
        <v>6663.9800262451208</v>
      </c>
    </row>
    <row r="40" spans="1:10" ht="14.4" x14ac:dyDescent="0.25">
      <c r="A40" s="89" t="s">
        <v>45</v>
      </c>
      <c r="B40" s="88"/>
      <c r="C40" s="88"/>
      <c r="D40" s="88"/>
      <c r="E40" s="88"/>
      <c r="F40" s="88"/>
      <c r="G40" s="88"/>
      <c r="H40" s="87"/>
      <c r="I40" s="90"/>
      <c r="J40" s="90"/>
    </row>
    <row r="41" spans="1:10" ht="14.4" x14ac:dyDescent="0.25">
      <c r="A41" s="86" t="s">
        <v>46</v>
      </c>
      <c r="B41" s="85"/>
      <c r="C41" s="85"/>
      <c r="D41" s="85"/>
      <c r="E41" s="85"/>
      <c r="F41" s="85"/>
      <c r="G41" s="85"/>
      <c r="H41" s="84"/>
      <c r="I41" s="90"/>
      <c r="J41" s="90"/>
    </row>
    <row r="42" spans="1:10" ht="15" thickBot="1" x14ac:dyDescent="0.3">
      <c r="A42" s="83" t="s">
        <v>47</v>
      </c>
      <c r="B42" s="82"/>
      <c r="C42" s="82"/>
      <c r="D42" s="82"/>
      <c r="E42" s="82"/>
      <c r="F42" s="82"/>
      <c r="G42" s="82"/>
      <c r="H42" s="81"/>
      <c r="I42" s="90"/>
      <c r="J42" s="90"/>
    </row>
    <row r="43" spans="1:10" x14ac:dyDescent="0.25">
      <c r="A43" s="261" t="s">
        <v>48</v>
      </c>
      <c r="B43" s="262"/>
      <c r="C43" s="262"/>
      <c r="D43" s="262"/>
      <c r="E43" s="262"/>
      <c r="F43" s="262"/>
      <c r="G43" s="262"/>
      <c r="H43" s="263"/>
    </row>
    <row r="44" spans="1:10" x14ac:dyDescent="0.25">
      <c r="A44" s="264"/>
      <c r="B44" s="265"/>
      <c r="C44" s="265"/>
      <c r="D44" s="265"/>
      <c r="E44" s="265"/>
      <c r="F44" s="265"/>
      <c r="G44" s="265"/>
      <c r="H44" s="266"/>
    </row>
    <row r="45" spans="1:10" x14ac:dyDescent="0.25">
      <c r="A45" s="264"/>
      <c r="B45" s="265"/>
      <c r="C45" s="265"/>
      <c r="D45" s="265"/>
      <c r="E45" s="265"/>
      <c r="F45" s="265"/>
      <c r="G45" s="265"/>
      <c r="H45" s="266"/>
    </row>
    <row r="46" spans="1:10" ht="13.8" thickBot="1" x14ac:dyDescent="0.3">
      <c r="A46" s="267"/>
      <c r="B46" s="268"/>
      <c r="C46" s="268"/>
      <c r="D46" s="268"/>
      <c r="E46" s="268"/>
      <c r="F46" s="268"/>
      <c r="G46" s="268"/>
      <c r="H46" s="269"/>
    </row>
  </sheetData>
  <mergeCells count="13">
    <mergeCell ref="A31:C31"/>
    <mergeCell ref="A35:C35"/>
    <mergeCell ref="A43:H46"/>
    <mergeCell ref="A1:D1"/>
    <mergeCell ref="F1:H1"/>
    <mergeCell ref="A3:C3"/>
    <mergeCell ref="A38:C38"/>
    <mergeCell ref="A39:C39"/>
    <mergeCell ref="K7:M7"/>
    <mergeCell ref="A8:C8"/>
    <mergeCell ref="A25:C25"/>
    <mergeCell ref="A27:C27"/>
    <mergeCell ref="A29:C29"/>
  </mergeCells>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58" fitToHeight="0" orientation="portrait" verticalDpi="300" r:id="rId1"/>
  <headerFooter alignWithMargins="0">
    <oddHeader>&amp;F</oddHeader>
    <oddFooter>&amp;A&amp;RPage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2"/>
  <sheetViews>
    <sheetView zoomScale="90" zoomScaleNormal="90" workbookViewId="0">
      <selection activeCell="P12" sqref="P12"/>
    </sheetView>
  </sheetViews>
  <sheetFormatPr defaultColWidth="9.109375" defaultRowHeight="13.2" x14ac:dyDescent="0.25"/>
  <cols>
    <col min="1" max="1" width="41.6640625" style="1" customWidth="1"/>
    <col min="2" max="2" width="10.6640625" style="1" customWidth="1"/>
    <col min="3" max="9" width="13.6640625" style="1" customWidth="1"/>
    <col min="10" max="10" width="14.44140625" style="1" customWidth="1"/>
    <col min="11" max="13" width="12.6640625" style="1" hidden="1" customWidth="1"/>
    <col min="14" max="26" width="12.6640625" style="1" customWidth="1"/>
    <col min="27" max="16384" width="9.109375" style="1"/>
  </cols>
  <sheetData>
    <row r="1" spans="1:13" ht="30" customHeight="1" thickBot="1" x14ac:dyDescent="0.3">
      <c r="A1" s="270" t="s">
        <v>14</v>
      </c>
      <c r="B1" s="271"/>
      <c r="C1" s="271"/>
      <c r="D1" s="271"/>
      <c r="E1" s="272" t="s">
        <v>138</v>
      </c>
      <c r="F1" s="272"/>
      <c r="G1" s="272"/>
      <c r="H1" s="201"/>
      <c r="I1" s="200"/>
    </row>
    <row r="2" spans="1:13" ht="16.2" thickBot="1" x14ac:dyDescent="0.35">
      <c r="A2" s="12"/>
      <c r="B2" s="13"/>
      <c r="C2" s="14"/>
      <c r="D2" s="14"/>
      <c r="E2" s="8"/>
      <c r="F2" s="8"/>
      <c r="G2" s="8"/>
      <c r="H2" s="8"/>
      <c r="I2" s="3"/>
    </row>
    <row r="3" spans="1:13" ht="27.75" customHeight="1" thickBot="1" x14ac:dyDescent="0.3">
      <c r="A3" s="253" t="s">
        <v>16</v>
      </c>
      <c r="B3" s="256"/>
      <c r="C3" s="256"/>
      <c r="D3" s="189"/>
      <c r="E3" s="190">
        <f>'Pryse + Sensatiwiteitsanalise'!B45</f>
        <v>7188</v>
      </c>
      <c r="F3" s="189" t="s">
        <v>0</v>
      </c>
      <c r="G3" s="191"/>
      <c r="H3" s="191"/>
      <c r="I3" s="192"/>
    </row>
    <row r="4" spans="1:13" ht="13.8" thickBot="1" x14ac:dyDescent="0.3">
      <c r="A4" s="68"/>
      <c r="B4" s="78"/>
      <c r="C4" s="78"/>
      <c r="D4" s="5"/>
      <c r="E4" s="7"/>
      <c r="F4" s="16"/>
      <c r="G4" s="6"/>
      <c r="H4" s="17"/>
      <c r="I4" s="17"/>
    </row>
    <row r="5" spans="1:13" ht="13.8" thickBot="1" x14ac:dyDescent="0.3">
      <c r="A5" s="68" t="s">
        <v>17</v>
      </c>
      <c r="B5" s="78"/>
      <c r="C5" s="78"/>
      <c r="D5" s="34">
        <v>1.5</v>
      </c>
      <c r="E5" s="34">
        <v>1.75</v>
      </c>
      <c r="F5" s="34">
        <v>2</v>
      </c>
      <c r="G5" s="34">
        <v>2.5</v>
      </c>
      <c r="H5" s="34">
        <v>3</v>
      </c>
      <c r="I5" s="34">
        <v>3.5</v>
      </c>
    </row>
    <row r="6" spans="1:13" ht="13.8" thickBot="1" x14ac:dyDescent="0.3">
      <c r="A6" s="193" t="s">
        <v>18</v>
      </c>
      <c r="B6" s="194"/>
      <c r="C6" s="195"/>
      <c r="D6" s="196">
        <f t="shared" ref="D6:I6" si="0">$E$3*D5</f>
        <v>10782</v>
      </c>
      <c r="E6" s="196">
        <f t="shared" si="0"/>
        <v>12579</v>
      </c>
      <c r="F6" s="196">
        <f t="shared" si="0"/>
        <v>14376</v>
      </c>
      <c r="G6" s="196">
        <f t="shared" si="0"/>
        <v>17970</v>
      </c>
      <c r="H6" s="196">
        <f t="shared" si="0"/>
        <v>21564</v>
      </c>
      <c r="I6" s="196">
        <f t="shared" si="0"/>
        <v>25158</v>
      </c>
    </row>
    <row r="7" spans="1:13" ht="15" thickBot="1" x14ac:dyDescent="0.35">
      <c r="A7" s="71"/>
      <c r="B7" s="72"/>
      <c r="C7" s="72"/>
      <c r="D7" s="19"/>
      <c r="E7" s="19"/>
      <c r="F7" s="19"/>
      <c r="G7" s="19"/>
      <c r="H7" s="19"/>
      <c r="I7" s="19"/>
      <c r="K7" s="249" t="s">
        <v>65</v>
      </c>
      <c r="L7" s="249"/>
      <c r="M7" s="249"/>
    </row>
    <row r="8" spans="1:13" ht="15" customHeight="1" thickBot="1" x14ac:dyDescent="0.35">
      <c r="A8" s="202" t="s">
        <v>19</v>
      </c>
      <c r="B8" s="203"/>
      <c r="C8" s="204"/>
      <c r="D8" s="199"/>
      <c r="E8" s="199"/>
      <c r="F8" s="199"/>
      <c r="G8" s="199"/>
      <c r="H8" s="199"/>
      <c r="I8" s="199"/>
      <c r="K8" s="92" t="s">
        <v>60</v>
      </c>
      <c r="L8" s="92" t="s">
        <v>61</v>
      </c>
      <c r="M8" s="92" t="s">
        <v>62</v>
      </c>
    </row>
    <row r="9" spans="1:13" ht="14.4" x14ac:dyDescent="0.3">
      <c r="A9" s="73" t="s">
        <v>20</v>
      </c>
      <c r="B9" s="74"/>
      <c r="C9" s="74"/>
      <c r="D9" s="132">
        <v>2113.7759999999998</v>
      </c>
      <c r="E9" s="132">
        <v>2113.7759999999998</v>
      </c>
      <c r="F9" s="132">
        <v>2113.7759999999998</v>
      </c>
      <c r="G9" s="132">
        <v>2113.7759999999998</v>
      </c>
      <c r="H9" s="132">
        <v>2466.0720000000001</v>
      </c>
      <c r="I9" s="132">
        <v>2466.0720000000001</v>
      </c>
      <c r="K9" s="93">
        <f>D5</f>
        <v>1.5</v>
      </c>
      <c r="L9" s="93">
        <f>D25</f>
        <v>12148.082126201603</v>
      </c>
      <c r="M9" s="93">
        <f>D27</f>
        <v>2277.85</v>
      </c>
    </row>
    <row r="10" spans="1:13" ht="14.4" x14ac:dyDescent="0.3">
      <c r="A10" s="70" t="s">
        <v>21</v>
      </c>
      <c r="B10" s="75"/>
      <c r="C10" s="75"/>
      <c r="D10" s="131">
        <v>3679.19</v>
      </c>
      <c r="E10" s="131">
        <v>3679.19</v>
      </c>
      <c r="F10" s="131">
        <v>4165.6900000000005</v>
      </c>
      <c r="G10" s="131">
        <v>4165.6900000000005</v>
      </c>
      <c r="H10" s="131">
        <v>4938.1900000000005</v>
      </c>
      <c r="I10" s="131">
        <v>5911.1900000000005</v>
      </c>
      <c r="K10" s="93">
        <f>E5</f>
        <v>1.75</v>
      </c>
      <c r="L10" s="93">
        <f>E25</f>
        <v>12344.80167180675</v>
      </c>
      <c r="M10" s="93">
        <f>E27</f>
        <v>2277.85</v>
      </c>
    </row>
    <row r="11" spans="1:13" ht="14.4" x14ac:dyDescent="0.3">
      <c r="A11" s="70" t="s">
        <v>22</v>
      </c>
      <c r="B11" s="75"/>
      <c r="C11" s="75"/>
      <c r="D11" s="131">
        <v>759</v>
      </c>
      <c r="E11" s="131">
        <v>759</v>
      </c>
      <c r="F11" s="131">
        <v>759</v>
      </c>
      <c r="G11" s="131">
        <v>759</v>
      </c>
      <c r="H11" s="131">
        <v>759</v>
      </c>
      <c r="I11" s="131">
        <v>759</v>
      </c>
      <c r="K11" s="93">
        <f>F5</f>
        <v>2</v>
      </c>
      <c r="L11" s="93">
        <f>F25</f>
        <v>13066.688872609793</v>
      </c>
      <c r="M11" s="93">
        <f>F27</f>
        <v>2277.85</v>
      </c>
    </row>
    <row r="12" spans="1:13" ht="14.4" x14ac:dyDescent="0.3">
      <c r="A12" s="70" t="s">
        <v>23</v>
      </c>
      <c r="B12" s="75"/>
      <c r="C12" s="75"/>
      <c r="D12" s="131">
        <v>1115.8133800000001</v>
      </c>
      <c r="E12" s="131">
        <v>1134.51963</v>
      </c>
      <c r="F12" s="131">
        <v>1153.22588</v>
      </c>
      <c r="G12" s="131">
        <v>1180.3883799999999</v>
      </c>
      <c r="H12" s="131">
        <v>1207.55088</v>
      </c>
      <c r="I12" s="131">
        <v>1224.4633799999999</v>
      </c>
      <c r="K12" s="93">
        <f>G5</f>
        <v>2.5</v>
      </c>
      <c r="L12" s="93">
        <f>G25</f>
        <v>13449.063280437189</v>
      </c>
      <c r="M12" s="93">
        <f>G27</f>
        <v>2277.85</v>
      </c>
    </row>
    <row r="13" spans="1:13" ht="14.4" x14ac:dyDescent="0.3">
      <c r="A13" s="70" t="s">
        <v>24</v>
      </c>
      <c r="B13" s="75"/>
      <c r="C13" s="75"/>
      <c r="D13" s="131">
        <v>1394.80862</v>
      </c>
      <c r="E13" s="131">
        <v>1397.50612</v>
      </c>
      <c r="F13" s="131">
        <v>1400.20362</v>
      </c>
      <c r="G13" s="131">
        <v>1405.59862</v>
      </c>
      <c r="H13" s="131">
        <v>1410.99362</v>
      </c>
      <c r="I13" s="131">
        <v>1416.3886200000002</v>
      </c>
      <c r="K13" s="93">
        <f>H5</f>
        <v>3</v>
      </c>
      <c r="L13" s="93">
        <f>H25</f>
        <v>15045.633942932569</v>
      </c>
      <c r="M13" s="93">
        <f>H27</f>
        <v>2277.85</v>
      </c>
    </row>
    <row r="14" spans="1:13" ht="14.4" x14ac:dyDescent="0.3">
      <c r="A14" s="70" t="s">
        <v>25</v>
      </c>
      <c r="B14" s="75"/>
      <c r="C14" s="75"/>
      <c r="D14" s="131">
        <v>1226.0519999999999</v>
      </c>
      <c r="E14" s="131">
        <v>1226.0519999999999</v>
      </c>
      <c r="F14" s="131">
        <v>1226.0519999999999</v>
      </c>
      <c r="G14" s="131">
        <v>1226.0519999999999</v>
      </c>
      <c r="H14" s="131">
        <v>1226.0519999999999</v>
      </c>
      <c r="I14" s="131">
        <v>1226.0519999999999</v>
      </c>
      <c r="K14" s="93">
        <f>I5</f>
        <v>3.5</v>
      </c>
      <c r="L14" s="93">
        <f>I25</f>
        <v>16467.278977772869</v>
      </c>
      <c r="M14" s="93">
        <f>I27</f>
        <v>2277.85</v>
      </c>
    </row>
    <row r="15" spans="1:13" x14ac:dyDescent="0.25">
      <c r="A15" s="70" t="s">
        <v>26</v>
      </c>
      <c r="B15" s="75"/>
      <c r="C15" s="75"/>
      <c r="D15" s="131">
        <v>0</v>
      </c>
      <c r="E15" s="131">
        <v>0</v>
      </c>
      <c r="F15" s="131">
        <v>0</v>
      </c>
      <c r="G15" s="131">
        <v>0</v>
      </c>
      <c r="H15" s="131">
        <v>0</v>
      </c>
      <c r="I15" s="131">
        <v>0</v>
      </c>
    </row>
    <row r="16" spans="1:13" x14ac:dyDescent="0.25">
      <c r="A16" s="70" t="s">
        <v>27</v>
      </c>
      <c r="B16" s="75"/>
      <c r="C16" s="75"/>
      <c r="D16" s="131">
        <v>210.24899999999997</v>
      </c>
      <c r="E16" s="131">
        <v>245.29050000000004</v>
      </c>
      <c r="F16" s="131">
        <v>280.33199999999999</v>
      </c>
      <c r="G16" s="131">
        <v>350.41500000000002</v>
      </c>
      <c r="H16" s="131">
        <v>420.49799999999993</v>
      </c>
      <c r="I16" s="131">
        <v>490.58100000000007</v>
      </c>
    </row>
    <row r="17" spans="1:10" x14ac:dyDescent="0.25">
      <c r="A17" s="70" t="s">
        <v>29</v>
      </c>
      <c r="B17" s="75"/>
      <c r="C17" s="75"/>
      <c r="D17" s="131">
        <v>166.42470265720647</v>
      </c>
      <c r="E17" s="131">
        <v>169.11969529424042</v>
      </c>
      <c r="F17" s="131">
        <v>179.00931091402339</v>
      </c>
      <c r="G17" s="131">
        <v>184.24771368948248</v>
      </c>
      <c r="H17" s="131">
        <v>206.12020310934889</v>
      </c>
      <c r="I17" s="131">
        <v>225.59626935169729</v>
      </c>
    </row>
    <row r="18" spans="1:10" x14ac:dyDescent="0.25">
      <c r="A18" s="70" t="s">
        <v>30</v>
      </c>
      <c r="B18" s="75"/>
      <c r="C18" s="75"/>
      <c r="D18" s="131">
        <v>0</v>
      </c>
      <c r="E18" s="131">
        <v>0</v>
      </c>
      <c r="F18" s="131">
        <v>0</v>
      </c>
      <c r="G18" s="131">
        <v>0</v>
      </c>
      <c r="H18" s="131">
        <v>0</v>
      </c>
      <c r="I18" s="131">
        <v>0</v>
      </c>
    </row>
    <row r="19" spans="1:10" x14ac:dyDescent="0.25">
      <c r="A19" s="70" t="s">
        <v>31</v>
      </c>
      <c r="B19" s="75"/>
      <c r="C19" s="75"/>
      <c r="D19" s="131">
        <v>754.74000000000012</v>
      </c>
      <c r="E19" s="131">
        <v>880.53000000000009</v>
      </c>
      <c r="F19" s="131">
        <v>1006.32</v>
      </c>
      <c r="G19" s="131">
        <v>1257.9000000000001</v>
      </c>
      <c r="H19" s="131">
        <v>1509.4800000000002</v>
      </c>
      <c r="I19" s="131">
        <v>1761.0600000000002</v>
      </c>
    </row>
    <row r="20" spans="1:10" x14ac:dyDescent="0.25">
      <c r="A20" s="70" t="s">
        <v>32</v>
      </c>
      <c r="B20" s="75"/>
      <c r="C20" s="75"/>
      <c r="D20" s="131">
        <v>0</v>
      </c>
      <c r="E20" s="131">
        <v>0</v>
      </c>
      <c r="F20" s="131">
        <v>0</v>
      </c>
      <c r="G20" s="131">
        <v>0</v>
      </c>
      <c r="H20" s="131">
        <v>0</v>
      </c>
      <c r="I20" s="131">
        <v>0</v>
      </c>
    </row>
    <row r="21" spans="1:10" x14ac:dyDescent="0.25">
      <c r="A21" s="70" t="s">
        <v>33</v>
      </c>
      <c r="B21" s="75"/>
      <c r="C21" s="75"/>
      <c r="D21" s="131">
        <v>0</v>
      </c>
      <c r="E21" s="131">
        <v>0</v>
      </c>
      <c r="F21" s="131">
        <v>0</v>
      </c>
      <c r="G21" s="131">
        <v>0</v>
      </c>
      <c r="H21" s="131">
        <v>0</v>
      </c>
      <c r="I21" s="131">
        <v>0</v>
      </c>
    </row>
    <row r="22" spans="1:10" x14ac:dyDescent="0.25">
      <c r="A22" s="70" t="s">
        <v>34</v>
      </c>
      <c r="B22" s="75"/>
      <c r="C22" s="75"/>
      <c r="D22" s="131">
        <v>0</v>
      </c>
      <c r="E22" s="131">
        <v>0</v>
      </c>
      <c r="F22" s="131">
        <v>0</v>
      </c>
      <c r="G22" s="131">
        <v>0</v>
      </c>
      <c r="H22" s="131">
        <v>0</v>
      </c>
      <c r="I22" s="131">
        <v>0</v>
      </c>
    </row>
    <row r="23" spans="1:10" x14ac:dyDescent="0.25">
      <c r="A23" s="70" t="s">
        <v>35</v>
      </c>
      <c r="B23" s="75"/>
      <c r="C23" s="75"/>
      <c r="D23" s="131">
        <v>0</v>
      </c>
      <c r="E23" s="131">
        <v>0</v>
      </c>
      <c r="F23" s="131">
        <v>0</v>
      </c>
      <c r="G23" s="131">
        <v>0</v>
      </c>
      <c r="H23" s="131">
        <v>0</v>
      </c>
      <c r="I23" s="131">
        <v>0</v>
      </c>
    </row>
    <row r="24" spans="1:10" ht="13.8" thickBot="1" x14ac:dyDescent="0.3">
      <c r="A24" s="70" t="s">
        <v>36</v>
      </c>
      <c r="B24" s="75"/>
      <c r="C24" s="75"/>
      <c r="D24" s="131">
        <v>728.0284235443969</v>
      </c>
      <c r="E24" s="131">
        <v>739.81772651250787</v>
      </c>
      <c r="F24" s="131">
        <v>783.08006169576902</v>
      </c>
      <c r="G24" s="131">
        <v>805.99556674770463</v>
      </c>
      <c r="H24" s="131">
        <v>901.67723982322093</v>
      </c>
      <c r="I24" s="131">
        <v>986.87570842117066</v>
      </c>
    </row>
    <row r="25" spans="1:10" ht="26.25" customHeight="1" thickBot="1" x14ac:dyDescent="0.3">
      <c r="A25" s="253" t="s">
        <v>37</v>
      </c>
      <c r="B25" s="254"/>
      <c r="C25" s="255"/>
      <c r="D25" s="197">
        <f t="shared" ref="D25:I25" si="1">SUM(D9:D24)</f>
        <v>12148.082126201603</v>
      </c>
      <c r="E25" s="197">
        <f t="shared" si="1"/>
        <v>12344.80167180675</v>
      </c>
      <c r="F25" s="197">
        <f t="shared" si="1"/>
        <v>13066.688872609793</v>
      </c>
      <c r="G25" s="197">
        <f t="shared" si="1"/>
        <v>13449.063280437189</v>
      </c>
      <c r="H25" s="197">
        <f t="shared" si="1"/>
        <v>15045.633942932569</v>
      </c>
      <c r="I25" s="197">
        <f t="shared" si="1"/>
        <v>16467.278977772869</v>
      </c>
    </row>
    <row r="26" spans="1:10" ht="13.8" thickBot="1" x14ac:dyDescent="0.3">
      <c r="A26" s="76"/>
      <c r="B26" s="77"/>
      <c r="C26" s="77"/>
      <c r="D26" s="27"/>
      <c r="E26" s="27"/>
      <c r="F26" s="27"/>
      <c r="G26" s="27"/>
      <c r="H26" s="27"/>
      <c r="I26" s="27"/>
    </row>
    <row r="27" spans="1:10" ht="13.8" thickBot="1" x14ac:dyDescent="0.3">
      <c r="A27" s="250" t="s">
        <v>38</v>
      </c>
      <c r="B27" s="251"/>
      <c r="C27" s="252"/>
      <c r="D27" s="198">
        <v>2277.85</v>
      </c>
      <c r="E27" s="197">
        <v>2277.85</v>
      </c>
      <c r="F27" s="197">
        <v>2277.85</v>
      </c>
      <c r="G27" s="197">
        <v>2277.85</v>
      </c>
      <c r="H27" s="197">
        <v>2277.85</v>
      </c>
      <c r="I27" s="197">
        <v>2277.85</v>
      </c>
      <c r="J27" s="22"/>
    </row>
    <row r="28" spans="1:10" ht="13.8" thickBot="1" x14ac:dyDescent="0.3">
      <c r="A28" s="76"/>
      <c r="B28" s="77"/>
      <c r="C28" s="77"/>
      <c r="D28" s="27"/>
      <c r="E28" s="27"/>
      <c r="F28" s="27"/>
      <c r="G28" s="27"/>
      <c r="H28" s="27"/>
      <c r="I28" s="27"/>
    </row>
    <row r="29" spans="1:10" ht="27.75" customHeight="1" thickBot="1" x14ac:dyDescent="0.3">
      <c r="A29" s="253" t="s">
        <v>39</v>
      </c>
      <c r="B29" s="254"/>
      <c r="C29" s="255"/>
      <c r="D29" s="197">
        <f t="shared" ref="D29:I29" si="2">D25+D27</f>
        <v>14425.932126201604</v>
      </c>
      <c r="E29" s="197">
        <f t="shared" si="2"/>
        <v>14622.651671806751</v>
      </c>
      <c r="F29" s="197">
        <f t="shared" si="2"/>
        <v>15344.538872609794</v>
      </c>
      <c r="G29" s="197">
        <f t="shared" si="2"/>
        <v>15726.913280437189</v>
      </c>
      <c r="H29" s="197">
        <f t="shared" si="2"/>
        <v>17323.483942932569</v>
      </c>
      <c r="I29" s="197">
        <f t="shared" si="2"/>
        <v>18745.128977772867</v>
      </c>
    </row>
    <row r="30" spans="1:10" ht="13.8" thickBot="1" x14ac:dyDescent="0.3">
      <c r="A30" s="71"/>
      <c r="B30" s="72"/>
      <c r="C30" s="72"/>
      <c r="D30" s="29"/>
      <c r="E30" s="29"/>
      <c r="F30" s="29"/>
      <c r="G30" s="29"/>
      <c r="H30" s="29"/>
      <c r="I30" s="29"/>
    </row>
    <row r="31" spans="1:10" ht="26.25" customHeight="1" thickBot="1" x14ac:dyDescent="0.3">
      <c r="A31" s="253" t="s">
        <v>40</v>
      </c>
      <c r="B31" s="256"/>
      <c r="C31" s="257"/>
      <c r="D31" s="197">
        <f t="shared" ref="D31:I31" si="3">D29/D5</f>
        <v>9617.2880841344031</v>
      </c>
      <c r="E31" s="197">
        <f t="shared" si="3"/>
        <v>8355.8009553181437</v>
      </c>
      <c r="F31" s="197">
        <f t="shared" si="3"/>
        <v>7672.2694363048968</v>
      </c>
      <c r="G31" s="197">
        <f t="shared" si="3"/>
        <v>6290.7653121748754</v>
      </c>
      <c r="H31" s="197">
        <f t="shared" si="3"/>
        <v>5774.4946476441901</v>
      </c>
      <c r="I31" s="197">
        <f t="shared" si="3"/>
        <v>5355.7511365065338</v>
      </c>
    </row>
    <row r="32" spans="1:10" ht="13.8" thickBot="1" x14ac:dyDescent="0.3">
      <c r="A32" s="71"/>
      <c r="B32" s="72"/>
      <c r="C32" s="72"/>
      <c r="D32" s="29"/>
      <c r="E32" s="29"/>
      <c r="F32" s="29"/>
      <c r="G32" s="29"/>
      <c r="H32" s="29"/>
      <c r="I32" s="29"/>
    </row>
    <row r="33" spans="1:10" ht="13.8" thickBot="1" x14ac:dyDescent="0.3">
      <c r="A33" s="193" t="s">
        <v>41</v>
      </c>
      <c r="B33" s="194"/>
      <c r="C33" s="194"/>
      <c r="D33" s="197">
        <f>'Pryse + Sensatiwiteitsanalise'!D5</f>
        <v>212</v>
      </c>
      <c r="E33" s="197">
        <f>$D$33</f>
        <v>212</v>
      </c>
      <c r="F33" s="197">
        <f>$D$33</f>
        <v>212</v>
      </c>
      <c r="G33" s="197">
        <f>$D$33</f>
        <v>212</v>
      </c>
      <c r="H33" s="197">
        <f>$D$33</f>
        <v>212</v>
      </c>
      <c r="I33" s="197">
        <f>$D$33</f>
        <v>212</v>
      </c>
    </row>
    <row r="34" spans="1:10" ht="13.8" thickBot="1" x14ac:dyDescent="0.3">
      <c r="A34" s="71"/>
      <c r="B34" s="72"/>
      <c r="C34" s="72"/>
      <c r="D34" s="29"/>
      <c r="E34" s="29"/>
      <c r="F34" s="29"/>
      <c r="G34" s="29"/>
      <c r="H34" s="29"/>
      <c r="I34" s="29"/>
    </row>
    <row r="35" spans="1:10" ht="13.8" thickBot="1" x14ac:dyDescent="0.3">
      <c r="A35" s="258" t="s">
        <v>42</v>
      </c>
      <c r="B35" s="259"/>
      <c r="C35" s="260"/>
      <c r="D35" s="185">
        <f t="shared" ref="D35:I35" si="4">D31+D33</f>
        <v>9829.2880841344031</v>
      </c>
      <c r="E35" s="185">
        <f t="shared" si="4"/>
        <v>8567.8009553181437</v>
      </c>
      <c r="F35" s="185">
        <f t="shared" si="4"/>
        <v>7884.2694363048968</v>
      </c>
      <c r="G35" s="185">
        <f t="shared" si="4"/>
        <v>6502.7653121748754</v>
      </c>
      <c r="H35" s="185">
        <f t="shared" si="4"/>
        <v>5986.4946476441901</v>
      </c>
      <c r="I35" s="185">
        <f t="shared" si="4"/>
        <v>5567.7511365065338</v>
      </c>
    </row>
    <row r="36" spans="1:10" ht="13.8" thickBot="1" x14ac:dyDescent="0.3">
      <c r="A36" s="186" t="s">
        <v>119</v>
      </c>
      <c r="B36" s="187"/>
      <c r="C36" s="188"/>
      <c r="D36" s="185">
        <f>'Pryse + Sensatiwiteitsanalise'!B5</f>
        <v>7400</v>
      </c>
      <c r="E36" s="185">
        <f>$D$36</f>
        <v>7400</v>
      </c>
      <c r="F36" s="185">
        <f>$D$36</f>
        <v>7400</v>
      </c>
      <c r="G36" s="185">
        <f>$D$36</f>
        <v>7400</v>
      </c>
      <c r="H36" s="185">
        <f>$D$36</f>
        <v>7400</v>
      </c>
      <c r="I36" s="185">
        <f>$D$36</f>
        <v>7400</v>
      </c>
    </row>
    <row r="37" spans="1:10" ht="13.8" thickBot="1" x14ac:dyDescent="0.3"/>
    <row r="38" spans="1:10" customFormat="1" ht="14.4" x14ac:dyDescent="0.3">
      <c r="A38" s="278" t="s">
        <v>116</v>
      </c>
      <c r="B38" s="279"/>
      <c r="C38" s="280"/>
      <c r="D38" s="179">
        <f t="shared" ref="D38:I38" si="5">D6-D25</f>
        <v>-1366.0821262016034</v>
      </c>
      <c r="E38" s="180">
        <f t="shared" si="5"/>
        <v>234.19832819324984</v>
      </c>
      <c r="F38" s="179">
        <f t="shared" si="5"/>
        <v>1309.3111273902068</v>
      </c>
      <c r="G38" s="180">
        <f t="shared" si="5"/>
        <v>4520.936719562811</v>
      </c>
      <c r="H38" s="179">
        <f t="shared" si="5"/>
        <v>6518.366057067431</v>
      </c>
      <c r="I38" s="179">
        <f t="shared" si="5"/>
        <v>8690.7210222271315</v>
      </c>
    </row>
    <row r="39" spans="1:10" customFormat="1" ht="15" thickBot="1" x14ac:dyDescent="0.35">
      <c r="A39" s="281" t="s">
        <v>117</v>
      </c>
      <c r="B39" s="282"/>
      <c r="C39" s="283"/>
      <c r="D39" s="182">
        <f t="shared" ref="D39:I39" si="6">D6-D29</f>
        <v>-3643.9321262016038</v>
      </c>
      <c r="E39" s="183">
        <f t="shared" si="6"/>
        <v>-2043.6516718067505</v>
      </c>
      <c r="F39" s="182">
        <f t="shared" si="6"/>
        <v>-968.53887260979354</v>
      </c>
      <c r="G39" s="183">
        <f t="shared" si="6"/>
        <v>2243.0867195628107</v>
      </c>
      <c r="H39" s="182">
        <f t="shared" si="6"/>
        <v>4240.5160570674307</v>
      </c>
      <c r="I39" s="182">
        <f t="shared" si="6"/>
        <v>6412.8710222271329</v>
      </c>
    </row>
    <row r="40" spans="1:10" ht="14.4" x14ac:dyDescent="0.25">
      <c r="A40" s="89" t="s">
        <v>45</v>
      </c>
      <c r="B40" s="88"/>
      <c r="C40" s="88"/>
      <c r="D40" s="88"/>
      <c r="E40" s="88"/>
      <c r="F40" s="88"/>
      <c r="G40" s="88"/>
      <c r="H40" s="87"/>
      <c r="I40" s="90"/>
      <c r="J40" s="90"/>
    </row>
    <row r="41" spans="1:10" ht="14.4" x14ac:dyDescent="0.25">
      <c r="A41" s="86" t="s">
        <v>46</v>
      </c>
      <c r="B41" s="85"/>
      <c r="C41" s="85"/>
      <c r="D41" s="85"/>
      <c r="E41" s="85"/>
      <c r="F41" s="85"/>
      <c r="G41" s="85"/>
      <c r="H41" s="84"/>
      <c r="I41" s="90"/>
      <c r="J41" s="90"/>
    </row>
    <row r="42" spans="1:10" ht="15" thickBot="1" x14ac:dyDescent="0.3">
      <c r="A42" s="83" t="s">
        <v>47</v>
      </c>
      <c r="B42" s="82"/>
      <c r="C42" s="82"/>
      <c r="D42" s="82"/>
      <c r="E42" s="82"/>
      <c r="F42" s="82"/>
      <c r="G42" s="82"/>
      <c r="H42" s="81"/>
      <c r="I42" s="90"/>
      <c r="J42" s="90"/>
    </row>
  </sheetData>
  <mergeCells count="11">
    <mergeCell ref="A38:C38"/>
    <mergeCell ref="A39:C39"/>
    <mergeCell ref="A1:D1"/>
    <mergeCell ref="E1:G1"/>
    <mergeCell ref="A3:C3"/>
    <mergeCell ref="A25:C25"/>
    <mergeCell ref="K7:M7"/>
    <mergeCell ref="A27:C27"/>
    <mergeCell ref="A29:C29"/>
    <mergeCell ref="A31:C31"/>
    <mergeCell ref="A35:C35"/>
  </mergeCells>
  <phoneticPr fontId="0" type="noConversion"/>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66" fitToHeight="0" orientation="portrait" r:id="rId1"/>
  <headerFooter alignWithMargins="0">
    <oddHeader>&amp;F</oddHeader>
    <oddFooter>&amp;A&amp;RPage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9"/>
  <sheetViews>
    <sheetView zoomScale="80" zoomScaleNormal="80" workbookViewId="0">
      <selection sqref="A1:D1"/>
    </sheetView>
  </sheetViews>
  <sheetFormatPr defaultColWidth="9.109375" defaultRowHeight="13.2" x14ac:dyDescent="0.25"/>
  <cols>
    <col min="1" max="1" width="41.6640625" style="1" customWidth="1"/>
    <col min="2" max="2" width="18" style="1" customWidth="1"/>
    <col min="3" max="3" width="17.33203125" style="1" customWidth="1"/>
    <col min="4" max="4" width="16.109375" style="1" customWidth="1"/>
    <col min="5" max="9" width="14.33203125" style="1" customWidth="1"/>
    <col min="10" max="10" width="14.44140625" style="1" customWidth="1"/>
    <col min="11" max="13" width="12.6640625" style="1" hidden="1" customWidth="1"/>
    <col min="14" max="26" width="12.6640625" style="1" customWidth="1"/>
    <col min="27" max="16384" width="9.109375" style="1"/>
  </cols>
  <sheetData>
    <row r="1" spans="1:13" ht="30" customHeight="1" thickBot="1" x14ac:dyDescent="0.3">
      <c r="A1" s="293" t="s">
        <v>54</v>
      </c>
      <c r="B1" s="294"/>
      <c r="C1" s="294"/>
      <c r="D1" s="294"/>
      <c r="E1" s="295" t="s">
        <v>68</v>
      </c>
      <c r="F1" s="295"/>
      <c r="G1" s="295"/>
      <c r="H1" s="2"/>
      <c r="I1" s="11"/>
    </row>
    <row r="2" spans="1:13" ht="16.2" thickBot="1" x14ac:dyDescent="0.35">
      <c r="A2" s="12"/>
      <c r="B2" s="13"/>
      <c r="C2" s="14"/>
      <c r="D2" s="14"/>
      <c r="E2" s="8"/>
      <c r="F2" s="8"/>
      <c r="G2" s="8"/>
      <c r="H2" s="8"/>
      <c r="I2" s="3"/>
    </row>
    <row r="3" spans="1:13" ht="27.75" customHeight="1" thickBot="1" x14ac:dyDescent="0.3">
      <c r="A3" s="289" t="s">
        <v>16</v>
      </c>
      <c r="B3" s="287"/>
      <c r="C3" s="287"/>
      <c r="D3" s="23"/>
      <c r="E3" s="31">
        <f>'Pryse + Sensatiwiteitsanalise'!B45</f>
        <v>7188</v>
      </c>
      <c r="F3" s="23" t="s">
        <v>0</v>
      </c>
      <c r="G3" s="15"/>
      <c r="H3" s="15"/>
      <c r="I3" s="4"/>
    </row>
    <row r="4" spans="1:13" ht="13.8" thickBot="1" x14ac:dyDescent="0.3">
      <c r="A4" s="68"/>
      <c r="B4" s="78"/>
      <c r="C4" s="78"/>
      <c r="D4" s="5"/>
      <c r="E4" s="7"/>
      <c r="F4" s="16"/>
      <c r="G4" s="6"/>
      <c r="H4" s="17"/>
      <c r="I4" s="17"/>
    </row>
    <row r="5" spans="1:13" ht="13.8" thickBot="1" x14ac:dyDescent="0.3">
      <c r="A5" s="68" t="s">
        <v>17</v>
      </c>
      <c r="B5" s="78"/>
      <c r="C5" s="78"/>
      <c r="D5" s="34">
        <v>1.5</v>
      </c>
      <c r="E5" s="34">
        <v>1.75</v>
      </c>
      <c r="F5" s="34">
        <v>2</v>
      </c>
      <c r="G5" s="34">
        <v>2.5</v>
      </c>
      <c r="H5" s="34">
        <v>3</v>
      </c>
      <c r="I5" s="34">
        <v>3.5</v>
      </c>
    </row>
    <row r="6" spans="1:13" ht="13.8" thickBot="1" x14ac:dyDescent="0.3">
      <c r="A6" s="69" t="s">
        <v>18</v>
      </c>
      <c r="B6" s="79"/>
      <c r="C6" s="80"/>
      <c r="D6" s="30">
        <f t="shared" ref="D6:I6" si="0">$E$3*D5</f>
        <v>10782</v>
      </c>
      <c r="E6" s="30">
        <f t="shared" si="0"/>
        <v>12579</v>
      </c>
      <c r="F6" s="30">
        <f t="shared" si="0"/>
        <v>14376</v>
      </c>
      <c r="G6" s="30">
        <f t="shared" si="0"/>
        <v>17970</v>
      </c>
      <c r="H6" s="30">
        <f t="shared" si="0"/>
        <v>21564</v>
      </c>
      <c r="I6" s="30">
        <f t="shared" si="0"/>
        <v>25158</v>
      </c>
    </row>
    <row r="7" spans="1:13" ht="15" thickBot="1" x14ac:dyDescent="0.35">
      <c r="A7" s="71"/>
      <c r="B7" s="72"/>
      <c r="C7" s="72"/>
      <c r="D7" s="19"/>
      <c r="E7" s="19"/>
      <c r="F7" s="19"/>
      <c r="G7" s="19"/>
      <c r="H7" s="19"/>
      <c r="I7" s="19"/>
      <c r="K7" s="249" t="s">
        <v>65</v>
      </c>
      <c r="L7" s="249"/>
      <c r="M7" s="249"/>
    </row>
    <row r="8" spans="1:13" ht="15" thickBot="1" x14ac:dyDescent="0.35">
      <c r="A8" s="296" t="s">
        <v>19</v>
      </c>
      <c r="B8" s="297"/>
      <c r="C8" s="298"/>
      <c r="D8" s="20"/>
      <c r="E8" s="20"/>
      <c r="F8" s="20"/>
      <c r="G8" s="20"/>
      <c r="H8" s="20"/>
      <c r="I8" s="20"/>
      <c r="K8" s="92" t="s">
        <v>60</v>
      </c>
      <c r="L8" s="92" t="s">
        <v>61</v>
      </c>
      <c r="M8" s="92" t="s">
        <v>62</v>
      </c>
    </row>
    <row r="9" spans="1:13" ht="14.4" x14ac:dyDescent="0.3">
      <c r="A9" s="73" t="s">
        <v>20</v>
      </c>
      <c r="B9" s="74"/>
      <c r="C9" s="74"/>
      <c r="D9" s="24">
        <v>1144.83</v>
      </c>
      <c r="E9" s="24">
        <v>1144.83</v>
      </c>
      <c r="F9" s="24">
        <v>1144.83</v>
      </c>
      <c r="G9" s="24">
        <v>1144.83</v>
      </c>
      <c r="H9" s="24">
        <v>1335.635</v>
      </c>
      <c r="I9" s="24">
        <v>1335.635</v>
      </c>
      <c r="K9" s="93">
        <f>D5</f>
        <v>1.5</v>
      </c>
      <c r="L9" s="93">
        <f>D25</f>
        <v>5598.3545849145448</v>
      </c>
      <c r="M9" s="93">
        <f>D27</f>
        <v>1508.6276238136477</v>
      </c>
    </row>
    <row r="10" spans="1:13" ht="14.4" x14ac:dyDescent="0.3">
      <c r="A10" s="70" t="s">
        <v>21</v>
      </c>
      <c r="B10" s="75"/>
      <c r="C10" s="75"/>
      <c r="D10" s="25">
        <v>1581.5</v>
      </c>
      <c r="E10" s="25">
        <v>1768</v>
      </c>
      <c r="F10" s="25">
        <v>1832.5</v>
      </c>
      <c r="G10" s="25">
        <v>1832.5</v>
      </c>
      <c r="H10" s="25">
        <v>2491</v>
      </c>
      <c r="I10" s="25">
        <v>2555.5</v>
      </c>
      <c r="K10" s="93">
        <f>E5</f>
        <v>1.75</v>
      </c>
      <c r="L10" s="93">
        <f>E25</f>
        <v>5898.4711411720618</v>
      </c>
      <c r="M10" s="93">
        <f>E27</f>
        <v>1508.6276238136477</v>
      </c>
    </row>
    <row r="11" spans="1:13" ht="14.4" x14ac:dyDescent="0.3">
      <c r="A11" s="70" t="s">
        <v>22</v>
      </c>
      <c r="B11" s="75"/>
      <c r="C11" s="75"/>
      <c r="D11" s="25">
        <v>0</v>
      </c>
      <c r="E11" s="25">
        <v>0</v>
      </c>
      <c r="F11" s="25">
        <v>0</v>
      </c>
      <c r="G11" s="25">
        <v>0</v>
      </c>
      <c r="H11" s="25">
        <v>0</v>
      </c>
      <c r="I11" s="25">
        <v>0</v>
      </c>
      <c r="K11" s="93">
        <f>F5</f>
        <v>2</v>
      </c>
      <c r="L11" s="93">
        <f>F25</f>
        <v>6061.5522416429822</v>
      </c>
      <c r="M11" s="93">
        <f>F27</f>
        <v>1508.6276238136477</v>
      </c>
    </row>
    <row r="12" spans="1:13" ht="14.4" x14ac:dyDescent="0.3">
      <c r="A12" s="70" t="s">
        <v>23</v>
      </c>
      <c r="B12" s="75"/>
      <c r="C12" s="75"/>
      <c r="D12" s="25">
        <v>436.23391025669616</v>
      </c>
      <c r="E12" s="25">
        <v>446.64346595132815</v>
      </c>
      <c r="F12" s="25">
        <v>457.05302164596003</v>
      </c>
      <c r="G12" s="25">
        <v>472.16826690117909</v>
      </c>
      <c r="H12" s="25">
        <v>487.28351215639805</v>
      </c>
      <c r="I12" s="25">
        <v>502.398757411617</v>
      </c>
      <c r="K12" s="93">
        <f>G5</f>
        <v>2.5</v>
      </c>
      <c r="L12" s="93">
        <f>G25</f>
        <v>6236.4094778971476</v>
      </c>
      <c r="M12" s="93">
        <f>G27</f>
        <v>1508.6276238136477</v>
      </c>
    </row>
    <row r="13" spans="1:13" ht="14.4" x14ac:dyDescent="0.3">
      <c r="A13" s="70" t="s">
        <v>24</v>
      </c>
      <c r="B13" s="75"/>
      <c r="C13" s="75"/>
      <c r="D13" s="25">
        <v>414.90600000000001</v>
      </c>
      <c r="E13" s="25">
        <v>416.745</v>
      </c>
      <c r="F13" s="25">
        <v>418.584</v>
      </c>
      <c r="G13" s="25">
        <v>422.262</v>
      </c>
      <c r="H13" s="25">
        <v>425.94</v>
      </c>
      <c r="I13" s="25">
        <v>429.61800000000005</v>
      </c>
      <c r="K13" s="93">
        <f>H5</f>
        <v>3</v>
      </c>
      <c r="L13" s="93">
        <f>H25</f>
        <v>7365.2412860926088</v>
      </c>
      <c r="M13" s="93">
        <f>H27</f>
        <v>1508.6276238136477</v>
      </c>
    </row>
    <row r="14" spans="1:13" ht="14.4" x14ac:dyDescent="0.3">
      <c r="A14" s="70" t="s">
        <v>25</v>
      </c>
      <c r="B14" s="75"/>
      <c r="C14" s="75"/>
      <c r="D14" s="25">
        <v>770.6</v>
      </c>
      <c r="E14" s="25">
        <v>770.6</v>
      </c>
      <c r="F14" s="25">
        <v>770.6</v>
      </c>
      <c r="G14" s="25">
        <v>770.6</v>
      </c>
      <c r="H14" s="25">
        <v>770.6</v>
      </c>
      <c r="I14" s="25">
        <v>770.6</v>
      </c>
      <c r="K14" s="93">
        <f>I5</f>
        <v>3.5</v>
      </c>
      <c r="L14" s="93">
        <f>I25</f>
        <v>7791.0306602379751</v>
      </c>
      <c r="M14" s="93">
        <f>I27</f>
        <v>1508.6276238136477</v>
      </c>
    </row>
    <row r="15" spans="1:13" x14ac:dyDescent="0.25">
      <c r="A15" s="70" t="s">
        <v>26</v>
      </c>
      <c r="B15" s="75"/>
      <c r="C15" s="75"/>
      <c r="D15" s="25">
        <v>225.4</v>
      </c>
      <c r="E15" s="25">
        <v>225.4</v>
      </c>
      <c r="F15" s="25">
        <v>225.4</v>
      </c>
      <c r="G15" s="25">
        <v>225.4</v>
      </c>
      <c r="H15" s="25">
        <v>225.4</v>
      </c>
      <c r="I15" s="25">
        <v>384.3</v>
      </c>
    </row>
    <row r="16" spans="1:13" x14ac:dyDescent="0.25">
      <c r="A16" s="70" t="s">
        <v>27</v>
      </c>
      <c r="B16" s="75"/>
      <c r="C16" s="75"/>
      <c r="D16" s="25">
        <v>139.25924999999998</v>
      </c>
      <c r="E16" s="25">
        <v>162.46912500000002</v>
      </c>
      <c r="F16" s="25">
        <v>185.679</v>
      </c>
      <c r="G16" s="25">
        <v>232.09875</v>
      </c>
      <c r="H16" s="25">
        <v>278.51849999999996</v>
      </c>
      <c r="I16" s="25">
        <v>324.93825000000004</v>
      </c>
    </row>
    <row r="17" spans="1:10" x14ac:dyDescent="0.25">
      <c r="A17" s="70" t="s">
        <v>29</v>
      </c>
      <c r="B17" s="75"/>
      <c r="C17" s="75"/>
      <c r="D17" s="25">
        <v>334.99558313004468</v>
      </c>
      <c r="E17" s="25">
        <v>352.95402417652275</v>
      </c>
      <c r="F17" s="25">
        <v>362.7125072309824</v>
      </c>
      <c r="G17" s="25">
        <v>373.17565330988805</v>
      </c>
      <c r="H17" s="25">
        <v>440.72294137577131</v>
      </c>
      <c r="I17" s="25">
        <v>466.20142036793061</v>
      </c>
    </row>
    <row r="18" spans="1:10" x14ac:dyDescent="0.25">
      <c r="A18" s="70" t="s">
        <v>30</v>
      </c>
      <c r="B18" s="75"/>
      <c r="C18" s="75"/>
      <c r="D18" s="25">
        <v>0</v>
      </c>
      <c r="E18" s="25">
        <v>0</v>
      </c>
      <c r="F18" s="25">
        <v>0</v>
      </c>
      <c r="G18" s="25">
        <v>0</v>
      </c>
      <c r="H18" s="25">
        <v>0</v>
      </c>
      <c r="I18" s="25">
        <v>0</v>
      </c>
    </row>
    <row r="19" spans="1:10" x14ac:dyDescent="0.25">
      <c r="A19" s="70" t="s">
        <v>31</v>
      </c>
      <c r="B19" s="75"/>
      <c r="C19" s="75"/>
      <c r="D19" s="25">
        <v>271.37700000000001</v>
      </c>
      <c r="E19" s="25">
        <v>316.60649999999998</v>
      </c>
      <c r="F19" s="25">
        <v>361.83600000000001</v>
      </c>
      <c r="G19" s="25">
        <v>452.29500000000002</v>
      </c>
      <c r="H19" s="25">
        <v>542.75400000000002</v>
      </c>
      <c r="I19" s="25">
        <v>633.21299999999997</v>
      </c>
    </row>
    <row r="20" spans="1:10" x14ac:dyDescent="0.25">
      <c r="A20" s="70" t="s">
        <v>32</v>
      </c>
      <c r="B20" s="75"/>
      <c r="C20" s="75"/>
      <c r="D20" s="25">
        <v>0</v>
      </c>
      <c r="E20" s="25">
        <v>0</v>
      </c>
      <c r="F20" s="25">
        <v>0</v>
      </c>
      <c r="G20" s="25">
        <v>0</v>
      </c>
      <c r="H20" s="25">
        <v>0</v>
      </c>
      <c r="I20" s="25">
        <v>0</v>
      </c>
    </row>
    <row r="21" spans="1:10" x14ac:dyDescent="0.25">
      <c r="A21" s="70" t="s">
        <v>33</v>
      </c>
      <c r="B21" s="75"/>
      <c r="C21" s="75"/>
      <c r="D21" s="25">
        <v>0</v>
      </c>
      <c r="E21" s="25">
        <v>0</v>
      </c>
      <c r="F21" s="25">
        <v>0</v>
      </c>
      <c r="G21" s="25">
        <v>0</v>
      </c>
      <c r="H21" s="25">
        <v>0</v>
      </c>
      <c r="I21" s="25">
        <v>0</v>
      </c>
    </row>
    <row r="22" spans="1:10" x14ac:dyDescent="0.25">
      <c r="A22" s="70" t="s">
        <v>34</v>
      </c>
      <c r="B22" s="75"/>
      <c r="C22" s="75"/>
      <c r="D22" s="25">
        <v>0</v>
      </c>
      <c r="E22" s="25">
        <v>0</v>
      </c>
      <c r="F22" s="25">
        <v>0</v>
      </c>
      <c r="G22" s="25">
        <v>0</v>
      </c>
      <c r="H22" s="25">
        <v>0</v>
      </c>
      <c r="I22" s="25">
        <v>0</v>
      </c>
    </row>
    <row r="23" spans="1:10" x14ac:dyDescent="0.25">
      <c r="A23" s="70" t="s">
        <v>35</v>
      </c>
      <c r="B23" s="75"/>
      <c r="C23" s="75"/>
      <c r="D23" s="25">
        <v>0</v>
      </c>
      <c r="E23" s="25">
        <v>0</v>
      </c>
      <c r="F23" s="25">
        <v>0</v>
      </c>
      <c r="G23" s="25">
        <v>0</v>
      </c>
      <c r="H23" s="25">
        <v>0</v>
      </c>
      <c r="I23" s="25">
        <v>0</v>
      </c>
    </row>
    <row r="24" spans="1:10" ht="13.8" thickBot="1" x14ac:dyDescent="0.3">
      <c r="A24" s="70" t="s">
        <v>36</v>
      </c>
      <c r="B24" s="75"/>
      <c r="C24" s="75"/>
      <c r="D24" s="25">
        <v>279.25284152780387</v>
      </c>
      <c r="E24" s="25">
        <v>294.22302604421208</v>
      </c>
      <c r="F24" s="25">
        <v>302.35771276603947</v>
      </c>
      <c r="G24" s="25">
        <v>311.07980768608098</v>
      </c>
      <c r="H24" s="25">
        <v>367.38733256043889</v>
      </c>
      <c r="I24" s="25">
        <v>388.62623245842633</v>
      </c>
    </row>
    <row r="25" spans="1:10" ht="26.25" customHeight="1" thickBot="1" x14ac:dyDescent="0.3">
      <c r="A25" s="284" t="s">
        <v>37</v>
      </c>
      <c r="B25" s="285"/>
      <c r="C25" s="286"/>
      <c r="D25" s="26">
        <f t="shared" ref="D25:I25" si="1">SUM(D9:D24)</f>
        <v>5598.3545849145448</v>
      </c>
      <c r="E25" s="26">
        <f t="shared" si="1"/>
        <v>5898.4711411720618</v>
      </c>
      <c r="F25" s="26">
        <f t="shared" si="1"/>
        <v>6061.5522416429822</v>
      </c>
      <c r="G25" s="26">
        <f t="shared" si="1"/>
        <v>6236.4094778971476</v>
      </c>
      <c r="H25" s="26">
        <f t="shared" si="1"/>
        <v>7365.2412860926088</v>
      </c>
      <c r="I25" s="26">
        <f t="shared" si="1"/>
        <v>7791.0306602379751</v>
      </c>
    </row>
    <row r="26" spans="1:10" ht="13.8" thickBot="1" x14ac:dyDescent="0.3">
      <c r="A26" s="76"/>
      <c r="B26" s="77"/>
      <c r="C26" s="77"/>
      <c r="D26" s="27"/>
      <c r="E26" s="27"/>
      <c r="F26" s="27"/>
      <c r="G26" s="27"/>
      <c r="H26" s="27"/>
      <c r="I26" s="27"/>
    </row>
    <row r="27" spans="1:10" ht="13.8" thickBot="1" x14ac:dyDescent="0.3">
      <c r="A27" s="290" t="s">
        <v>38</v>
      </c>
      <c r="B27" s="291"/>
      <c r="C27" s="292"/>
      <c r="D27" s="26">
        <v>1508.6276238136477</v>
      </c>
      <c r="E27" s="26">
        <v>1508.6276238136477</v>
      </c>
      <c r="F27" s="26">
        <v>1508.6276238136477</v>
      </c>
      <c r="G27" s="26">
        <v>1508.6276238136477</v>
      </c>
      <c r="H27" s="26">
        <v>1508.6276238136477</v>
      </c>
      <c r="I27" s="26">
        <v>1508.6276238136477</v>
      </c>
      <c r="J27" s="22"/>
    </row>
    <row r="28" spans="1:10" ht="13.8" thickBot="1" x14ac:dyDescent="0.3">
      <c r="A28" s="76"/>
      <c r="B28" s="77"/>
      <c r="C28" s="77"/>
      <c r="D28" s="27"/>
      <c r="E28" s="27"/>
      <c r="F28" s="27"/>
      <c r="G28" s="27"/>
      <c r="H28" s="27"/>
      <c r="I28" s="27"/>
    </row>
    <row r="29" spans="1:10" ht="27.75" customHeight="1" thickBot="1" x14ac:dyDescent="0.3">
      <c r="A29" s="284" t="s">
        <v>39</v>
      </c>
      <c r="B29" s="285"/>
      <c r="C29" s="286"/>
      <c r="D29" s="26">
        <f t="shared" ref="D29:I29" si="2">D25+D27</f>
        <v>7106.9822087281927</v>
      </c>
      <c r="E29" s="26">
        <f t="shared" si="2"/>
        <v>7407.0987649857097</v>
      </c>
      <c r="F29" s="26">
        <f t="shared" si="2"/>
        <v>7570.1798654566301</v>
      </c>
      <c r="G29" s="26">
        <f t="shared" si="2"/>
        <v>7745.0371017107955</v>
      </c>
      <c r="H29" s="26">
        <f t="shared" si="2"/>
        <v>8873.8689099062558</v>
      </c>
      <c r="I29" s="26">
        <f t="shared" si="2"/>
        <v>9299.6582840516221</v>
      </c>
    </row>
    <row r="30" spans="1:10" ht="13.8" thickBot="1" x14ac:dyDescent="0.3">
      <c r="A30" s="71"/>
      <c r="B30" s="72"/>
      <c r="C30" s="72"/>
      <c r="D30" s="29"/>
      <c r="E30" s="29"/>
      <c r="F30" s="29"/>
      <c r="G30" s="29"/>
      <c r="H30" s="29"/>
      <c r="I30" s="29"/>
    </row>
    <row r="31" spans="1:10" ht="26.25" customHeight="1" thickBot="1" x14ac:dyDescent="0.3">
      <c r="A31" s="284" t="s">
        <v>40</v>
      </c>
      <c r="B31" s="287"/>
      <c r="C31" s="288"/>
      <c r="D31" s="26">
        <f t="shared" ref="D31:I31" si="3">D29/D5</f>
        <v>4737.9881391521285</v>
      </c>
      <c r="E31" s="26">
        <f t="shared" si="3"/>
        <v>4232.6278657061202</v>
      </c>
      <c r="F31" s="26">
        <f t="shared" si="3"/>
        <v>3785.089932728315</v>
      </c>
      <c r="G31" s="26">
        <f t="shared" si="3"/>
        <v>3098.0148406843182</v>
      </c>
      <c r="H31" s="26">
        <f t="shared" si="3"/>
        <v>2957.9563033020854</v>
      </c>
      <c r="I31" s="26">
        <f t="shared" si="3"/>
        <v>2657.0452240147492</v>
      </c>
    </row>
    <row r="32" spans="1:10" ht="13.8" thickBot="1" x14ac:dyDescent="0.3">
      <c r="A32" s="71"/>
      <c r="B32" s="72"/>
      <c r="C32" s="72"/>
      <c r="D32" s="29"/>
      <c r="E32" s="29"/>
      <c r="F32" s="29"/>
      <c r="G32" s="29"/>
      <c r="H32" s="29"/>
      <c r="I32" s="29"/>
    </row>
    <row r="33" spans="1:10" ht="13.8" thickBot="1" x14ac:dyDescent="0.3">
      <c r="A33" s="69" t="s">
        <v>41</v>
      </c>
      <c r="B33" s="79"/>
      <c r="C33" s="79"/>
      <c r="D33" s="26">
        <f>'Pryse + Sensatiwiteitsanalise'!D5</f>
        <v>212</v>
      </c>
      <c r="E33" s="26">
        <f>$D$33</f>
        <v>212</v>
      </c>
      <c r="F33" s="26">
        <f>$D$33</f>
        <v>212</v>
      </c>
      <c r="G33" s="26">
        <f>$D$33</f>
        <v>212</v>
      </c>
      <c r="H33" s="26">
        <f>$D$33</f>
        <v>212</v>
      </c>
      <c r="I33" s="26">
        <f>$D$33</f>
        <v>212</v>
      </c>
    </row>
    <row r="34" spans="1:10" ht="13.8" thickBot="1" x14ac:dyDescent="0.3">
      <c r="A34" s="71"/>
      <c r="B34" s="72"/>
      <c r="C34" s="72"/>
      <c r="D34" s="29"/>
      <c r="E34" s="29"/>
      <c r="F34" s="29"/>
      <c r="G34" s="29"/>
      <c r="H34" s="29"/>
      <c r="I34" s="29"/>
    </row>
    <row r="35" spans="1:10" ht="13.8" thickBot="1" x14ac:dyDescent="0.3">
      <c r="A35" s="289" t="s">
        <v>42</v>
      </c>
      <c r="B35" s="287"/>
      <c r="C35" s="288"/>
      <c r="D35" s="28">
        <f t="shared" ref="D35:I35" si="4">D31+D33</f>
        <v>4949.9881391521285</v>
      </c>
      <c r="E35" s="28">
        <f t="shared" si="4"/>
        <v>4444.6278657061202</v>
      </c>
      <c r="F35" s="28">
        <f t="shared" si="4"/>
        <v>3997.089932728315</v>
      </c>
      <c r="G35" s="28">
        <f t="shared" si="4"/>
        <v>3310.0148406843182</v>
      </c>
      <c r="H35" s="28">
        <f t="shared" si="4"/>
        <v>3169.9563033020854</v>
      </c>
      <c r="I35" s="28">
        <f t="shared" si="4"/>
        <v>2869.0452240147492</v>
      </c>
    </row>
    <row r="36" spans="1:10" ht="13.8" thickBot="1" x14ac:dyDescent="0.3">
      <c r="A36" s="65" t="s">
        <v>71</v>
      </c>
      <c r="B36" s="66"/>
      <c r="C36" s="67"/>
      <c r="D36" s="28">
        <f>'Pryse + Sensatiwiteitsanalise'!B5</f>
        <v>7400</v>
      </c>
      <c r="E36" s="28">
        <f>$D$36</f>
        <v>7400</v>
      </c>
      <c r="F36" s="28">
        <f>$D$36</f>
        <v>7400</v>
      </c>
      <c r="G36" s="28">
        <f>$D$36</f>
        <v>7400</v>
      </c>
      <c r="H36" s="28">
        <f>$D$36</f>
        <v>7400</v>
      </c>
      <c r="I36" s="28">
        <f>$D$36</f>
        <v>7400</v>
      </c>
    </row>
    <row r="37" spans="1:10" ht="14.4" x14ac:dyDescent="0.25">
      <c r="A37" s="89" t="s">
        <v>45</v>
      </c>
      <c r="B37" s="88"/>
      <c r="C37" s="88"/>
      <c r="D37" s="88"/>
      <c r="E37" s="88"/>
      <c r="F37" s="88"/>
      <c r="G37" s="88"/>
      <c r="H37" s="87"/>
      <c r="I37" s="90"/>
      <c r="J37" s="90"/>
    </row>
    <row r="38" spans="1:10" ht="14.4" x14ac:dyDescent="0.25">
      <c r="A38" s="86" t="s">
        <v>46</v>
      </c>
      <c r="B38" s="85"/>
      <c r="C38" s="85"/>
      <c r="D38" s="85"/>
      <c r="E38" s="85"/>
      <c r="F38" s="85"/>
      <c r="G38" s="85"/>
      <c r="H38" s="84"/>
      <c r="I38" s="90"/>
      <c r="J38" s="90"/>
    </row>
    <row r="39" spans="1:10" ht="15" thickBot="1" x14ac:dyDescent="0.3">
      <c r="A39" s="83" t="s">
        <v>47</v>
      </c>
      <c r="B39" s="82"/>
      <c r="C39" s="82"/>
      <c r="D39" s="82"/>
      <c r="E39" s="82"/>
      <c r="F39" s="82"/>
      <c r="G39" s="82"/>
      <c r="H39" s="81"/>
      <c r="I39" s="90"/>
      <c r="J39" s="90"/>
    </row>
  </sheetData>
  <mergeCells count="10">
    <mergeCell ref="A1:D1"/>
    <mergeCell ref="E1:G1"/>
    <mergeCell ref="A3:C3"/>
    <mergeCell ref="A8:C8"/>
    <mergeCell ref="A25:C25"/>
    <mergeCell ref="K7:M7"/>
    <mergeCell ref="A27:C27"/>
    <mergeCell ref="A29:C29"/>
    <mergeCell ref="A31:C31"/>
    <mergeCell ref="A35:C35"/>
  </mergeCells>
  <pageMargins left="0.70866141732283472" right="0.70866141732283472" top="0.74803149606299213" bottom="0.74803149606299213" header="0.31496062992125984" footer="0.31496062992125984"/>
  <pageSetup scale="56" fitToHeight="0" orientation="portrait" r:id="rId1"/>
  <headerFooter>
    <oddHeader>&amp;F</oddHeader>
    <oddFooter>&amp;A&amp;RPage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2"/>
  <sheetViews>
    <sheetView zoomScale="85" zoomScaleNormal="85" workbookViewId="0">
      <selection activeCell="E2" sqref="E2"/>
    </sheetView>
  </sheetViews>
  <sheetFormatPr defaultColWidth="9.109375" defaultRowHeight="13.2" x14ac:dyDescent="0.25"/>
  <cols>
    <col min="1" max="1" width="41.6640625" style="1" customWidth="1"/>
    <col min="2" max="2" width="10.6640625" style="1" customWidth="1"/>
    <col min="3" max="9" width="13.6640625" style="1" customWidth="1"/>
    <col min="10" max="10" width="14.44140625" style="1" customWidth="1"/>
    <col min="11" max="13" width="12.6640625" style="1" hidden="1" customWidth="1"/>
    <col min="14" max="26" width="12.6640625" style="1" customWidth="1"/>
    <col min="27" max="16384" width="9.109375" style="1"/>
  </cols>
  <sheetData>
    <row r="1" spans="1:13" ht="30" customHeight="1" thickBot="1" x14ac:dyDescent="0.3">
      <c r="A1" s="270" t="s">
        <v>111</v>
      </c>
      <c r="B1" s="271"/>
      <c r="C1" s="271"/>
      <c r="D1" s="271"/>
      <c r="E1" s="272" t="s">
        <v>143</v>
      </c>
      <c r="F1" s="272"/>
      <c r="G1" s="272"/>
      <c r="H1" s="201"/>
      <c r="I1" s="200"/>
    </row>
    <row r="2" spans="1:13" ht="16.2" thickBot="1" x14ac:dyDescent="0.35">
      <c r="A2" s="12"/>
      <c r="B2" s="13"/>
      <c r="C2" s="14"/>
      <c r="D2" s="14"/>
      <c r="E2" s="8"/>
      <c r="F2" s="8"/>
      <c r="G2" s="8"/>
      <c r="H2" s="8"/>
      <c r="I2" s="3"/>
    </row>
    <row r="3" spans="1:13" ht="27.75" customHeight="1" thickBot="1" x14ac:dyDescent="0.3">
      <c r="A3" s="253" t="s">
        <v>16</v>
      </c>
      <c r="B3" s="256"/>
      <c r="C3" s="256"/>
      <c r="D3" s="189"/>
      <c r="E3" s="190">
        <f>'Pryse + Sensatiwiteitsanalise'!B45</f>
        <v>7188</v>
      </c>
      <c r="F3" s="189" t="s">
        <v>0</v>
      </c>
      <c r="G3" s="191"/>
      <c r="H3" s="191"/>
      <c r="I3" s="192"/>
    </row>
    <row r="4" spans="1:13" ht="13.8" thickBot="1" x14ac:dyDescent="0.3">
      <c r="A4" s="68"/>
      <c r="B4" s="78"/>
      <c r="C4" s="78"/>
      <c r="D4" s="5"/>
      <c r="E4" s="7"/>
      <c r="F4" s="16"/>
      <c r="G4" s="6"/>
      <c r="H4" s="17"/>
      <c r="I4" s="17"/>
    </row>
    <row r="5" spans="1:13" ht="13.8" thickBot="1" x14ac:dyDescent="0.3">
      <c r="A5" s="68" t="s">
        <v>17</v>
      </c>
      <c r="B5" s="78"/>
      <c r="C5" s="78"/>
      <c r="D5" s="34">
        <v>1.5</v>
      </c>
      <c r="E5" s="34">
        <v>1.75</v>
      </c>
      <c r="F5" s="34">
        <v>2</v>
      </c>
      <c r="G5" s="34">
        <v>2.5</v>
      </c>
      <c r="H5" s="34">
        <v>3</v>
      </c>
      <c r="I5" s="34">
        <v>3.5</v>
      </c>
    </row>
    <row r="6" spans="1:13" ht="13.8" thickBot="1" x14ac:dyDescent="0.3">
      <c r="A6" s="193" t="s">
        <v>18</v>
      </c>
      <c r="B6" s="194"/>
      <c r="C6" s="195"/>
      <c r="D6" s="196">
        <f t="shared" ref="D6:I6" si="0">$E$3*D5</f>
        <v>10782</v>
      </c>
      <c r="E6" s="196">
        <f t="shared" si="0"/>
        <v>12579</v>
      </c>
      <c r="F6" s="196">
        <f t="shared" si="0"/>
        <v>14376</v>
      </c>
      <c r="G6" s="196">
        <f t="shared" si="0"/>
        <v>17970</v>
      </c>
      <c r="H6" s="196">
        <f t="shared" si="0"/>
        <v>21564</v>
      </c>
      <c r="I6" s="196">
        <f t="shared" si="0"/>
        <v>25158</v>
      </c>
    </row>
    <row r="7" spans="1:13" ht="15" thickBot="1" x14ac:dyDescent="0.35">
      <c r="A7" s="71"/>
      <c r="B7" s="72"/>
      <c r="C7" s="72"/>
      <c r="D7" s="19"/>
      <c r="E7" s="19"/>
      <c r="F7" s="19"/>
      <c r="G7" s="19"/>
      <c r="H7" s="19"/>
      <c r="I7" s="19"/>
      <c r="K7" s="249" t="s">
        <v>65</v>
      </c>
      <c r="L7" s="249"/>
      <c r="M7" s="249"/>
    </row>
    <row r="8" spans="1:13" ht="15" thickBot="1" x14ac:dyDescent="0.35">
      <c r="A8" s="275" t="s">
        <v>19</v>
      </c>
      <c r="B8" s="276"/>
      <c r="C8" s="277"/>
      <c r="D8" s="199"/>
      <c r="E8" s="199"/>
      <c r="F8" s="199"/>
      <c r="G8" s="199"/>
      <c r="H8" s="199"/>
      <c r="I8" s="199"/>
      <c r="K8" s="92" t="s">
        <v>60</v>
      </c>
      <c r="L8" s="92" t="s">
        <v>61</v>
      </c>
      <c r="M8" s="92" t="s">
        <v>62</v>
      </c>
    </row>
    <row r="9" spans="1:13" ht="14.4" x14ac:dyDescent="0.3">
      <c r="A9" s="73" t="s">
        <v>20</v>
      </c>
      <c r="B9" s="74"/>
      <c r="C9" s="74"/>
      <c r="D9" s="132">
        <v>1693.152</v>
      </c>
      <c r="E9" s="132">
        <v>1693.152</v>
      </c>
      <c r="F9" s="132">
        <v>1693.152</v>
      </c>
      <c r="G9" s="132">
        <v>1693.152</v>
      </c>
      <c r="H9" s="132">
        <v>1975.3440000000001</v>
      </c>
      <c r="I9" s="132">
        <v>1975.3440000000001</v>
      </c>
      <c r="K9" s="93">
        <f>D5</f>
        <v>1.5</v>
      </c>
      <c r="L9" s="93">
        <f>D25</f>
        <v>10224.620775767191</v>
      </c>
      <c r="M9" s="93">
        <f>D27</f>
        <v>1696.3100000000002</v>
      </c>
    </row>
    <row r="10" spans="1:13" ht="14.4" x14ac:dyDescent="0.3">
      <c r="A10" s="70" t="s">
        <v>21</v>
      </c>
      <c r="B10" s="75"/>
      <c r="C10" s="75"/>
      <c r="D10" s="131">
        <v>3192.69</v>
      </c>
      <c r="E10" s="131">
        <v>3576.19</v>
      </c>
      <c r="F10" s="131">
        <v>3679.19</v>
      </c>
      <c r="G10" s="131">
        <v>3679.19</v>
      </c>
      <c r="H10" s="131">
        <v>4938.1900000000005</v>
      </c>
      <c r="I10" s="131">
        <v>5041.1900000000005</v>
      </c>
      <c r="K10" s="93">
        <f>E5</f>
        <v>1.75</v>
      </c>
      <c r="L10" s="93">
        <f>E25</f>
        <v>10835.321402088461</v>
      </c>
      <c r="M10" s="93">
        <f>E27</f>
        <v>1696.3100000000002</v>
      </c>
    </row>
    <row r="11" spans="1:13" ht="14.4" x14ac:dyDescent="0.3">
      <c r="A11" s="70" t="s">
        <v>22</v>
      </c>
      <c r="B11" s="75"/>
      <c r="C11" s="75"/>
      <c r="D11" s="131">
        <v>0</v>
      </c>
      <c r="E11" s="131">
        <v>0</v>
      </c>
      <c r="F11" s="131">
        <v>0</v>
      </c>
      <c r="G11" s="131">
        <v>0</v>
      </c>
      <c r="H11" s="131">
        <v>0</v>
      </c>
      <c r="I11" s="131">
        <v>0</v>
      </c>
      <c r="K11" s="93">
        <f>F5</f>
        <v>2</v>
      </c>
      <c r="L11" s="93">
        <f>F25</f>
        <v>11143.227522175379</v>
      </c>
      <c r="M11" s="93">
        <f>F27</f>
        <v>1696.3100000000002</v>
      </c>
    </row>
    <row r="12" spans="1:13" ht="14.4" x14ac:dyDescent="0.3">
      <c r="A12" s="70" t="s">
        <v>23</v>
      </c>
      <c r="B12" s="75"/>
      <c r="C12" s="75"/>
      <c r="D12" s="131">
        <v>816.03949999999998</v>
      </c>
      <c r="E12" s="131">
        <v>834.74575000000004</v>
      </c>
      <c r="F12" s="131">
        <v>853.452</v>
      </c>
      <c r="G12" s="131">
        <v>880.61450000000002</v>
      </c>
      <c r="H12" s="131">
        <v>907.77700000000004</v>
      </c>
      <c r="I12" s="131">
        <v>934.93949999999995</v>
      </c>
      <c r="K12" s="93">
        <f>G5</f>
        <v>2.5</v>
      </c>
      <c r="L12" s="93">
        <f>G25</f>
        <v>11525.601930002776</v>
      </c>
      <c r="M12" s="93">
        <f>G27</f>
        <v>1696.3100000000002</v>
      </c>
    </row>
    <row r="13" spans="1:13" ht="14.4" x14ac:dyDescent="0.3">
      <c r="A13" s="70" t="s">
        <v>24</v>
      </c>
      <c r="B13" s="75"/>
      <c r="C13" s="75"/>
      <c r="D13" s="131">
        <v>956.18499999999995</v>
      </c>
      <c r="E13" s="131">
        <v>958.88249999999994</v>
      </c>
      <c r="F13" s="131">
        <v>961.57999999999993</v>
      </c>
      <c r="G13" s="131">
        <v>966.97499999999991</v>
      </c>
      <c r="H13" s="131">
        <v>972.36999999999989</v>
      </c>
      <c r="I13" s="131">
        <v>977.76499999999999</v>
      </c>
      <c r="K13" s="93">
        <f>H5</f>
        <v>3</v>
      </c>
      <c r="L13" s="93">
        <f>H25</f>
        <v>13571.664290244888</v>
      </c>
      <c r="M13" s="93">
        <f>H27</f>
        <v>1696.3100000000002</v>
      </c>
    </row>
    <row r="14" spans="1:13" ht="14.4" x14ac:dyDescent="0.3">
      <c r="A14" s="70" t="s">
        <v>25</v>
      </c>
      <c r="B14" s="75"/>
      <c r="C14" s="75"/>
      <c r="D14" s="131">
        <v>1024.575</v>
      </c>
      <c r="E14" s="131">
        <v>1024.575</v>
      </c>
      <c r="F14" s="131">
        <v>1024.575</v>
      </c>
      <c r="G14" s="131">
        <v>1024.575</v>
      </c>
      <c r="H14" s="131">
        <v>1024.575</v>
      </c>
      <c r="I14" s="131">
        <v>1024.575</v>
      </c>
      <c r="K14" s="93">
        <f>I5</f>
        <v>3.5</v>
      </c>
      <c r="L14" s="93">
        <f>I25</f>
        <v>14065.225272554057</v>
      </c>
      <c r="M14" s="93">
        <f>I27</f>
        <v>1696.3100000000002</v>
      </c>
    </row>
    <row r="15" spans="1:13" x14ac:dyDescent="0.25">
      <c r="A15" s="70" t="s">
        <v>26</v>
      </c>
      <c r="B15" s="75"/>
      <c r="C15" s="75"/>
      <c r="D15" s="131">
        <v>824.16</v>
      </c>
      <c r="E15" s="131">
        <v>824.16</v>
      </c>
      <c r="F15" s="131">
        <v>824.16</v>
      </c>
      <c r="G15" s="131">
        <v>824.16</v>
      </c>
      <c r="H15" s="131">
        <v>824.16</v>
      </c>
      <c r="I15" s="131">
        <v>824.16</v>
      </c>
    </row>
    <row r="16" spans="1:13" x14ac:dyDescent="0.25">
      <c r="A16" s="70" t="s">
        <v>27</v>
      </c>
      <c r="B16" s="75"/>
      <c r="C16" s="75"/>
      <c r="D16" s="131">
        <v>210.24899999999997</v>
      </c>
      <c r="E16" s="131">
        <v>245.29050000000004</v>
      </c>
      <c r="F16" s="131">
        <v>280.33199999999999</v>
      </c>
      <c r="G16" s="131">
        <v>350.41500000000002</v>
      </c>
      <c r="H16" s="131">
        <v>420.49799999999993</v>
      </c>
      <c r="I16" s="131">
        <v>490.58100000000007</v>
      </c>
    </row>
    <row r="17" spans="1:10" x14ac:dyDescent="0.25">
      <c r="A17" s="70" t="s">
        <v>29</v>
      </c>
      <c r="B17" s="75"/>
      <c r="C17" s="75"/>
      <c r="D17" s="131">
        <v>140.07391905258766</v>
      </c>
      <c r="E17" s="131">
        <v>148.44031541805788</v>
      </c>
      <c r="F17" s="131">
        <v>152.65852730940458</v>
      </c>
      <c r="G17" s="131">
        <v>157.89693008486367</v>
      </c>
      <c r="H17" s="131">
        <v>185.92730692821368</v>
      </c>
      <c r="I17" s="131">
        <v>192.68892895798555</v>
      </c>
    </row>
    <row r="18" spans="1:10" x14ac:dyDescent="0.25">
      <c r="A18" s="70" t="s">
        <v>30</v>
      </c>
      <c r="B18" s="75"/>
      <c r="C18" s="75"/>
      <c r="D18" s="131">
        <v>0</v>
      </c>
      <c r="E18" s="131">
        <v>0</v>
      </c>
      <c r="F18" s="131">
        <v>0</v>
      </c>
      <c r="G18" s="131">
        <v>0</v>
      </c>
      <c r="H18" s="131">
        <v>0</v>
      </c>
      <c r="I18" s="131">
        <v>0</v>
      </c>
    </row>
    <row r="19" spans="1:10" x14ac:dyDescent="0.25">
      <c r="A19" s="70" t="s">
        <v>31</v>
      </c>
      <c r="B19" s="75"/>
      <c r="C19" s="75"/>
      <c r="D19" s="131">
        <v>754.74000000000012</v>
      </c>
      <c r="E19" s="131">
        <v>880.53000000000009</v>
      </c>
      <c r="F19" s="131">
        <v>1006.32</v>
      </c>
      <c r="G19" s="131">
        <v>1257.9000000000001</v>
      </c>
      <c r="H19" s="131">
        <v>1509.4800000000002</v>
      </c>
      <c r="I19" s="131">
        <v>1761.0600000000002</v>
      </c>
    </row>
    <row r="20" spans="1:10" x14ac:dyDescent="0.25">
      <c r="A20" s="70" t="s">
        <v>32</v>
      </c>
      <c r="B20" s="75"/>
      <c r="C20" s="75"/>
      <c r="D20" s="131">
        <v>0</v>
      </c>
      <c r="E20" s="131">
        <v>0</v>
      </c>
      <c r="F20" s="131">
        <v>0</v>
      </c>
      <c r="G20" s="131">
        <v>0</v>
      </c>
      <c r="H20" s="131">
        <v>0</v>
      </c>
      <c r="I20" s="131">
        <v>0</v>
      </c>
    </row>
    <row r="21" spans="1:10" x14ac:dyDescent="0.25">
      <c r="A21" s="70" t="s">
        <v>33</v>
      </c>
      <c r="B21" s="75"/>
      <c r="C21" s="75"/>
      <c r="D21" s="131">
        <v>0</v>
      </c>
      <c r="E21" s="131">
        <v>0</v>
      </c>
      <c r="F21" s="131">
        <v>0</v>
      </c>
      <c r="G21" s="131">
        <v>0</v>
      </c>
      <c r="H21" s="131">
        <v>0</v>
      </c>
      <c r="I21" s="131">
        <v>0</v>
      </c>
    </row>
    <row r="22" spans="1:10" x14ac:dyDescent="0.25">
      <c r="A22" s="70" t="s">
        <v>34</v>
      </c>
      <c r="B22" s="75"/>
      <c r="C22" s="75"/>
      <c r="D22" s="131">
        <v>0</v>
      </c>
      <c r="E22" s="131">
        <v>0</v>
      </c>
      <c r="F22" s="131">
        <v>0</v>
      </c>
      <c r="G22" s="131">
        <v>0</v>
      </c>
      <c r="H22" s="131">
        <v>0</v>
      </c>
      <c r="I22" s="131">
        <v>0</v>
      </c>
    </row>
    <row r="23" spans="1:10" x14ac:dyDescent="0.25">
      <c r="A23" s="70" t="s">
        <v>35</v>
      </c>
      <c r="B23" s="75"/>
      <c r="C23" s="75"/>
      <c r="D23" s="131">
        <v>0</v>
      </c>
      <c r="E23" s="131">
        <v>0</v>
      </c>
      <c r="F23" s="131">
        <v>0</v>
      </c>
      <c r="G23" s="131">
        <v>0</v>
      </c>
      <c r="H23" s="131">
        <v>0</v>
      </c>
      <c r="I23" s="131">
        <v>0</v>
      </c>
    </row>
    <row r="24" spans="1:10" ht="13.8" thickBot="1" x14ac:dyDescent="0.3">
      <c r="A24" s="70" t="s">
        <v>36</v>
      </c>
      <c r="B24" s="75"/>
      <c r="C24" s="75"/>
      <c r="D24" s="131">
        <v>612.75635671460248</v>
      </c>
      <c r="E24" s="131">
        <v>649.35533667040124</v>
      </c>
      <c r="F24" s="131">
        <v>667.80799486597459</v>
      </c>
      <c r="G24" s="131">
        <v>690.72349991791032</v>
      </c>
      <c r="H24" s="131">
        <v>813.34298331667367</v>
      </c>
      <c r="I24" s="131">
        <v>842.92184359607154</v>
      </c>
    </row>
    <row r="25" spans="1:10" ht="26.25" customHeight="1" thickBot="1" x14ac:dyDescent="0.3">
      <c r="A25" s="253" t="s">
        <v>37</v>
      </c>
      <c r="B25" s="254"/>
      <c r="C25" s="255"/>
      <c r="D25" s="197">
        <f t="shared" ref="D25:I25" si="1">SUM(D9:D24)</f>
        <v>10224.620775767191</v>
      </c>
      <c r="E25" s="197">
        <f t="shared" si="1"/>
        <v>10835.321402088461</v>
      </c>
      <c r="F25" s="197">
        <f t="shared" si="1"/>
        <v>11143.227522175379</v>
      </c>
      <c r="G25" s="197">
        <f t="shared" si="1"/>
        <v>11525.601930002776</v>
      </c>
      <c r="H25" s="197">
        <f t="shared" si="1"/>
        <v>13571.664290244888</v>
      </c>
      <c r="I25" s="197">
        <f t="shared" si="1"/>
        <v>14065.225272554057</v>
      </c>
    </row>
    <row r="26" spans="1:10" ht="13.8" thickBot="1" x14ac:dyDescent="0.3">
      <c r="A26" s="76"/>
      <c r="B26" s="77"/>
      <c r="C26" s="77"/>
      <c r="D26" s="27"/>
      <c r="E26" s="27"/>
      <c r="F26" s="27"/>
      <c r="G26" s="27"/>
      <c r="H26" s="27"/>
      <c r="I26" s="27"/>
    </row>
    <row r="27" spans="1:10" ht="13.8" thickBot="1" x14ac:dyDescent="0.3">
      <c r="A27" s="250" t="s">
        <v>38</v>
      </c>
      <c r="B27" s="251"/>
      <c r="C27" s="252"/>
      <c r="D27" s="198">
        <v>1696.3100000000002</v>
      </c>
      <c r="E27" s="197">
        <v>1696.3100000000002</v>
      </c>
      <c r="F27" s="197">
        <v>1696.3100000000002</v>
      </c>
      <c r="G27" s="197">
        <v>1696.3100000000002</v>
      </c>
      <c r="H27" s="197">
        <v>1696.3100000000002</v>
      </c>
      <c r="I27" s="197">
        <v>1696.3100000000002</v>
      </c>
      <c r="J27" s="22"/>
    </row>
    <row r="28" spans="1:10" ht="13.8" thickBot="1" x14ac:dyDescent="0.3">
      <c r="A28" s="76"/>
      <c r="B28" s="77"/>
      <c r="C28" s="77"/>
      <c r="D28" s="27"/>
      <c r="E28" s="27"/>
      <c r="F28" s="27"/>
      <c r="G28" s="27"/>
      <c r="H28" s="27"/>
      <c r="I28" s="27"/>
    </row>
    <row r="29" spans="1:10" ht="27.75" customHeight="1" thickBot="1" x14ac:dyDescent="0.3">
      <c r="A29" s="253" t="s">
        <v>39</v>
      </c>
      <c r="B29" s="254"/>
      <c r="C29" s="255"/>
      <c r="D29" s="197">
        <f t="shared" ref="D29:I29" si="2">D25+D27</f>
        <v>11920.93077576719</v>
      </c>
      <c r="E29" s="197">
        <f t="shared" si="2"/>
        <v>12531.63140208846</v>
      </c>
      <c r="F29" s="197">
        <f t="shared" si="2"/>
        <v>12839.537522175378</v>
      </c>
      <c r="G29" s="197">
        <f t="shared" si="2"/>
        <v>13221.911930002776</v>
      </c>
      <c r="H29" s="197">
        <f t="shared" si="2"/>
        <v>15267.974290244887</v>
      </c>
      <c r="I29" s="197">
        <f t="shared" si="2"/>
        <v>15761.535272554056</v>
      </c>
    </row>
    <row r="30" spans="1:10" ht="13.8" thickBot="1" x14ac:dyDescent="0.3">
      <c r="A30" s="71"/>
      <c r="B30" s="72"/>
      <c r="C30" s="72"/>
      <c r="D30" s="29"/>
      <c r="E30" s="29"/>
      <c r="F30" s="29"/>
      <c r="G30" s="29"/>
      <c r="H30" s="29"/>
      <c r="I30" s="29"/>
    </row>
    <row r="31" spans="1:10" ht="26.25" customHeight="1" thickBot="1" x14ac:dyDescent="0.3">
      <c r="A31" s="253" t="s">
        <v>40</v>
      </c>
      <c r="B31" s="256"/>
      <c r="C31" s="257"/>
      <c r="D31" s="197">
        <f t="shared" ref="D31:I31" si="3">D29/D5</f>
        <v>7947.2871838447936</v>
      </c>
      <c r="E31" s="197">
        <f t="shared" si="3"/>
        <v>7160.9322297648341</v>
      </c>
      <c r="F31" s="197">
        <f t="shared" si="3"/>
        <v>6419.7687610876892</v>
      </c>
      <c r="G31" s="197">
        <f t="shared" si="3"/>
        <v>5288.76477200111</v>
      </c>
      <c r="H31" s="197">
        <f t="shared" si="3"/>
        <v>5089.324763414962</v>
      </c>
      <c r="I31" s="197">
        <f t="shared" si="3"/>
        <v>4503.295792158302</v>
      </c>
    </row>
    <row r="32" spans="1:10" ht="13.8" thickBot="1" x14ac:dyDescent="0.3">
      <c r="A32" s="71"/>
      <c r="B32" s="72"/>
      <c r="C32" s="72"/>
      <c r="D32" s="29"/>
      <c r="E32" s="29"/>
      <c r="F32" s="29"/>
      <c r="G32" s="29"/>
      <c r="H32" s="29"/>
      <c r="I32" s="29"/>
    </row>
    <row r="33" spans="1:10" ht="13.8" thickBot="1" x14ac:dyDescent="0.3">
      <c r="A33" s="193" t="s">
        <v>41</v>
      </c>
      <c r="B33" s="194"/>
      <c r="C33" s="194"/>
      <c r="D33" s="197">
        <f>'Pryse + Sensatiwiteitsanalise'!D5</f>
        <v>212</v>
      </c>
      <c r="E33" s="197">
        <f>$D$33</f>
        <v>212</v>
      </c>
      <c r="F33" s="197">
        <f>$D$33</f>
        <v>212</v>
      </c>
      <c r="G33" s="197">
        <f>$D$33</f>
        <v>212</v>
      </c>
      <c r="H33" s="197">
        <f>$D$33</f>
        <v>212</v>
      </c>
      <c r="I33" s="197">
        <f>$D$33</f>
        <v>212</v>
      </c>
    </row>
    <row r="34" spans="1:10" ht="13.8" thickBot="1" x14ac:dyDescent="0.3">
      <c r="A34" s="71"/>
      <c r="B34" s="72"/>
      <c r="C34" s="72"/>
      <c r="D34" s="29"/>
      <c r="E34" s="29"/>
      <c r="F34" s="29"/>
      <c r="G34" s="29"/>
      <c r="H34" s="29"/>
      <c r="I34" s="29"/>
    </row>
    <row r="35" spans="1:10" ht="13.8" thickBot="1" x14ac:dyDescent="0.3">
      <c r="A35" s="258" t="s">
        <v>42</v>
      </c>
      <c r="B35" s="259"/>
      <c r="C35" s="260"/>
      <c r="D35" s="185">
        <f t="shared" ref="D35:I35" si="4">D31+D33</f>
        <v>8159.2871838447936</v>
      </c>
      <c r="E35" s="185">
        <f t="shared" si="4"/>
        <v>7372.9322297648341</v>
      </c>
      <c r="F35" s="185">
        <f t="shared" si="4"/>
        <v>6631.7687610876892</v>
      </c>
      <c r="G35" s="185">
        <f t="shared" si="4"/>
        <v>5500.76477200111</v>
      </c>
      <c r="H35" s="185">
        <f t="shared" si="4"/>
        <v>5301.324763414962</v>
      </c>
      <c r="I35" s="185">
        <f t="shared" si="4"/>
        <v>4715.295792158302</v>
      </c>
    </row>
    <row r="36" spans="1:10" ht="13.8" thickBot="1" x14ac:dyDescent="0.3">
      <c r="A36" s="186" t="s">
        <v>119</v>
      </c>
      <c r="B36" s="187"/>
      <c r="C36" s="188"/>
      <c r="D36" s="185">
        <f>'Pryse + Sensatiwiteitsanalise'!B5</f>
        <v>7400</v>
      </c>
      <c r="E36" s="185">
        <f>$D$36</f>
        <v>7400</v>
      </c>
      <c r="F36" s="185">
        <f>$D$36</f>
        <v>7400</v>
      </c>
      <c r="G36" s="185">
        <f>$D$36</f>
        <v>7400</v>
      </c>
      <c r="H36" s="185">
        <f>$D$36</f>
        <v>7400</v>
      </c>
      <c r="I36" s="185">
        <f>$D$36</f>
        <v>7400</v>
      </c>
    </row>
    <row r="37" spans="1:10" ht="13.8" thickBot="1" x14ac:dyDescent="0.3"/>
    <row r="38" spans="1:10" customFormat="1" ht="14.4" x14ac:dyDescent="0.3">
      <c r="A38" s="278" t="s">
        <v>116</v>
      </c>
      <c r="B38" s="279"/>
      <c r="C38" s="280"/>
      <c r="D38" s="179">
        <f t="shared" ref="D38:I38" si="5">D6-D25</f>
        <v>557.37922423280907</v>
      </c>
      <c r="E38" s="180">
        <f t="shared" si="5"/>
        <v>1743.6785979115393</v>
      </c>
      <c r="F38" s="179">
        <f t="shared" si="5"/>
        <v>3232.7724778246211</v>
      </c>
      <c r="G38" s="180">
        <f t="shared" si="5"/>
        <v>6444.3980699972235</v>
      </c>
      <c r="H38" s="179">
        <f t="shared" si="5"/>
        <v>7992.3357097551125</v>
      </c>
      <c r="I38" s="179">
        <f t="shared" si="5"/>
        <v>11092.774727445943</v>
      </c>
    </row>
    <row r="39" spans="1:10" customFormat="1" ht="15" thickBot="1" x14ac:dyDescent="0.35">
      <c r="A39" s="281" t="s">
        <v>117</v>
      </c>
      <c r="B39" s="282"/>
      <c r="C39" s="283"/>
      <c r="D39" s="182">
        <f t="shared" ref="D39:I39" si="6">D6-D29</f>
        <v>-1138.9307757671904</v>
      </c>
      <c r="E39" s="183">
        <f t="shared" si="6"/>
        <v>47.368597911539837</v>
      </c>
      <c r="F39" s="182">
        <f t="shared" si="6"/>
        <v>1536.4624778246216</v>
      </c>
      <c r="G39" s="183">
        <f t="shared" si="6"/>
        <v>4748.088069997224</v>
      </c>
      <c r="H39" s="182">
        <f t="shared" si="6"/>
        <v>6296.025709755113</v>
      </c>
      <c r="I39" s="182">
        <f t="shared" si="6"/>
        <v>9396.4647274459439</v>
      </c>
    </row>
    <row r="40" spans="1:10" ht="14.4" x14ac:dyDescent="0.25">
      <c r="A40" s="89" t="s">
        <v>45</v>
      </c>
      <c r="B40" s="88"/>
      <c r="C40" s="88"/>
      <c r="D40" s="88"/>
      <c r="E40" s="88"/>
      <c r="F40" s="88"/>
      <c r="G40" s="88"/>
      <c r="H40" s="87"/>
      <c r="I40" s="90"/>
      <c r="J40" s="90"/>
    </row>
    <row r="41" spans="1:10" ht="14.4" x14ac:dyDescent="0.25">
      <c r="A41" s="86" t="s">
        <v>46</v>
      </c>
      <c r="B41" s="85"/>
      <c r="C41" s="85"/>
      <c r="D41" s="85"/>
      <c r="E41" s="85"/>
      <c r="F41" s="85"/>
      <c r="G41" s="85"/>
      <c r="H41" s="84"/>
      <c r="I41" s="90"/>
      <c r="J41" s="90"/>
    </row>
    <row r="42" spans="1:10" ht="15" thickBot="1" x14ac:dyDescent="0.3">
      <c r="A42" s="83" t="s">
        <v>47</v>
      </c>
      <c r="B42" s="82"/>
      <c r="C42" s="82"/>
      <c r="D42" s="82"/>
      <c r="E42" s="82"/>
      <c r="F42" s="82"/>
      <c r="G42" s="82"/>
      <c r="H42" s="81"/>
      <c r="I42" s="90"/>
      <c r="J42" s="90"/>
    </row>
  </sheetData>
  <mergeCells count="12">
    <mergeCell ref="A38:C38"/>
    <mergeCell ref="A39:C39"/>
    <mergeCell ref="A35:C35"/>
    <mergeCell ref="A1:D1"/>
    <mergeCell ref="E1:G1"/>
    <mergeCell ref="A3:C3"/>
    <mergeCell ref="A31:C31"/>
    <mergeCell ref="K7:M7"/>
    <mergeCell ref="A8:C8"/>
    <mergeCell ref="A25:C25"/>
    <mergeCell ref="A27:C27"/>
    <mergeCell ref="A29:C29"/>
  </mergeCells>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66" fitToHeight="0" orientation="portrait" r:id="rId1"/>
  <headerFooter alignWithMargins="0">
    <oddHeader>&amp;F</oddHeader>
    <oddFooter>&amp;A&amp;RPage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2"/>
  <sheetViews>
    <sheetView zoomScale="80" zoomScaleNormal="80" workbookViewId="0">
      <selection activeCell="O6" sqref="O6"/>
    </sheetView>
  </sheetViews>
  <sheetFormatPr defaultColWidth="9.109375" defaultRowHeight="13.2" x14ac:dyDescent="0.25"/>
  <cols>
    <col min="1" max="1" width="41.6640625" style="1" customWidth="1"/>
    <col min="2" max="2" width="18" style="1" customWidth="1"/>
    <col min="3" max="3" width="17.33203125" style="1" customWidth="1"/>
    <col min="4" max="4" width="16.109375" style="1" customWidth="1"/>
    <col min="5" max="9" width="14.33203125" style="1" customWidth="1"/>
    <col min="10" max="10" width="12.6640625" style="1" customWidth="1"/>
    <col min="11" max="13" width="12.6640625" style="1" hidden="1" customWidth="1"/>
    <col min="14" max="26" width="12.6640625" style="1" customWidth="1"/>
    <col min="27" max="16384" width="9.109375" style="1"/>
  </cols>
  <sheetData>
    <row r="1" spans="1:13" ht="33" customHeight="1" thickBot="1" x14ac:dyDescent="0.3">
      <c r="A1" s="270" t="s">
        <v>15</v>
      </c>
      <c r="B1" s="271"/>
      <c r="C1" s="271"/>
      <c r="D1" s="271"/>
      <c r="E1" s="272" t="s">
        <v>143</v>
      </c>
      <c r="F1" s="272"/>
      <c r="G1" s="272"/>
      <c r="H1" s="201"/>
      <c r="I1" s="200"/>
    </row>
    <row r="2" spans="1:13" ht="16.2" thickBot="1" x14ac:dyDescent="0.35">
      <c r="A2" s="12"/>
      <c r="B2" s="13"/>
      <c r="C2" s="14"/>
      <c r="D2" s="14"/>
      <c r="E2" s="8"/>
      <c r="F2" s="8"/>
      <c r="G2" s="8"/>
      <c r="H2" s="8"/>
      <c r="I2" s="3"/>
    </row>
    <row r="3" spans="1:13" ht="24.75" customHeight="1" thickBot="1" x14ac:dyDescent="0.3">
      <c r="A3" s="253" t="s">
        <v>16</v>
      </c>
      <c r="B3" s="256"/>
      <c r="C3" s="256"/>
      <c r="D3" s="189"/>
      <c r="E3" s="190">
        <f>'Pryse + Sensatiwiteitsanalise'!B71</f>
        <v>4930</v>
      </c>
      <c r="F3" s="189" t="s">
        <v>0</v>
      </c>
      <c r="G3" s="191"/>
      <c r="H3" s="191"/>
      <c r="I3" s="192"/>
    </row>
    <row r="4" spans="1:13" ht="13.8" thickBot="1" x14ac:dyDescent="0.3">
      <c r="A4" s="68"/>
      <c r="B4" s="78"/>
      <c r="C4" s="78"/>
      <c r="D4" s="5"/>
      <c r="E4" s="7"/>
      <c r="F4" s="16"/>
      <c r="G4" s="6"/>
      <c r="H4" s="17"/>
      <c r="I4" s="17"/>
    </row>
    <row r="5" spans="1:13" ht="13.8" thickBot="1" x14ac:dyDescent="0.3">
      <c r="A5" s="68" t="s">
        <v>17</v>
      </c>
      <c r="B5" s="78"/>
      <c r="C5" s="78"/>
      <c r="D5" s="32">
        <v>4</v>
      </c>
      <c r="E5" s="32">
        <v>4.5</v>
      </c>
      <c r="F5" s="32">
        <v>5</v>
      </c>
      <c r="G5" s="32">
        <v>5.5</v>
      </c>
      <c r="H5" s="32">
        <v>6</v>
      </c>
      <c r="I5" s="18"/>
    </row>
    <row r="6" spans="1:13" ht="13.8" thickBot="1" x14ac:dyDescent="0.3">
      <c r="A6" s="193" t="s">
        <v>18</v>
      </c>
      <c r="B6" s="194"/>
      <c r="C6" s="195"/>
      <c r="D6" s="196">
        <f t="shared" ref="D6:I6" si="0">$E$3*D5</f>
        <v>19720</v>
      </c>
      <c r="E6" s="196">
        <f t="shared" si="0"/>
        <v>22185</v>
      </c>
      <c r="F6" s="196">
        <f t="shared" si="0"/>
        <v>24650</v>
      </c>
      <c r="G6" s="196">
        <f t="shared" si="0"/>
        <v>27115</v>
      </c>
      <c r="H6" s="196">
        <f t="shared" si="0"/>
        <v>29580</v>
      </c>
      <c r="I6" s="196">
        <f t="shared" si="0"/>
        <v>0</v>
      </c>
    </row>
    <row r="7" spans="1:13" ht="15" thickBot="1" x14ac:dyDescent="0.35">
      <c r="A7" s="71"/>
      <c r="B7" s="72"/>
      <c r="C7" s="72"/>
      <c r="D7" s="33"/>
      <c r="E7" s="19"/>
      <c r="F7" s="19"/>
      <c r="G7" s="19"/>
      <c r="H7" s="19"/>
      <c r="I7" s="19"/>
      <c r="K7" s="249" t="s">
        <v>66</v>
      </c>
      <c r="L7" s="249"/>
      <c r="M7" s="249"/>
    </row>
    <row r="8" spans="1:13" ht="15" thickBot="1" x14ac:dyDescent="0.35">
      <c r="A8" s="275" t="s">
        <v>19</v>
      </c>
      <c r="B8" s="276"/>
      <c r="C8" s="277"/>
      <c r="D8" s="205"/>
      <c r="E8" s="199"/>
      <c r="F8" s="199"/>
      <c r="G8" s="199"/>
      <c r="H8" s="199"/>
      <c r="I8" s="199"/>
      <c r="K8" s="92" t="s">
        <v>60</v>
      </c>
      <c r="L8" s="92" t="s">
        <v>61</v>
      </c>
      <c r="M8" s="92" t="s">
        <v>62</v>
      </c>
    </row>
    <row r="9" spans="1:13" ht="14.4" x14ac:dyDescent="0.3">
      <c r="A9" s="73" t="s">
        <v>20</v>
      </c>
      <c r="B9" s="74"/>
      <c r="C9" s="74"/>
      <c r="D9" s="132">
        <v>1058.3999999999999</v>
      </c>
      <c r="E9" s="132">
        <v>1058.3999999999999</v>
      </c>
      <c r="F9" s="132">
        <v>1058.3999999999999</v>
      </c>
      <c r="G9" s="132">
        <v>1209.5999999999999</v>
      </c>
      <c r="H9" s="132">
        <v>1209.5999999999999</v>
      </c>
      <c r="I9" s="24"/>
      <c r="K9" s="93">
        <f>D5</f>
        <v>4</v>
      </c>
      <c r="L9" s="93">
        <f>D25</f>
        <v>12571.823447272109</v>
      </c>
      <c r="M9" s="93">
        <f>D27</f>
        <v>2526</v>
      </c>
    </row>
    <row r="10" spans="1:13" ht="14.4" x14ac:dyDescent="0.3">
      <c r="A10" s="70" t="s">
        <v>21</v>
      </c>
      <c r="B10" s="75"/>
      <c r="C10" s="75"/>
      <c r="D10" s="131">
        <v>3672.6000000000004</v>
      </c>
      <c r="E10" s="131">
        <v>4176.8</v>
      </c>
      <c r="F10" s="131">
        <v>4681</v>
      </c>
      <c r="G10" s="131">
        <v>5185.2000000000007</v>
      </c>
      <c r="H10" s="131">
        <v>5814.8</v>
      </c>
      <c r="I10" s="25"/>
      <c r="K10" s="93">
        <f>E5</f>
        <v>4.5</v>
      </c>
      <c r="L10" s="93">
        <f>E25</f>
        <v>13292.779519165859</v>
      </c>
      <c r="M10" s="93">
        <f>E27</f>
        <v>2526</v>
      </c>
    </row>
    <row r="11" spans="1:13" ht="14.4" x14ac:dyDescent="0.3">
      <c r="A11" s="70" t="s">
        <v>22</v>
      </c>
      <c r="B11" s="75"/>
      <c r="C11" s="75"/>
      <c r="D11" s="131">
        <v>252.74700000000001</v>
      </c>
      <c r="E11" s="131">
        <v>252.74700000000001</v>
      </c>
      <c r="F11" s="131">
        <v>252.74700000000001</v>
      </c>
      <c r="G11" s="131">
        <v>252.74700000000001</v>
      </c>
      <c r="H11" s="131">
        <v>252.74700000000001</v>
      </c>
      <c r="I11" s="25"/>
      <c r="K11" s="93">
        <f>F5</f>
        <v>5</v>
      </c>
      <c r="L11" s="93">
        <f>F25</f>
        <v>14013.735591059609</v>
      </c>
      <c r="M11" s="93">
        <f>F27</f>
        <v>2526</v>
      </c>
    </row>
    <row r="12" spans="1:13" ht="14.4" x14ac:dyDescent="0.3">
      <c r="A12" s="70" t="s">
        <v>23</v>
      </c>
      <c r="B12" s="75"/>
      <c r="C12" s="75"/>
      <c r="D12" s="131">
        <v>1524.3458700000001</v>
      </c>
      <c r="E12" s="131">
        <v>1555.2978700000003</v>
      </c>
      <c r="F12" s="131">
        <v>1586.2498700000003</v>
      </c>
      <c r="G12" s="131">
        <v>1617.2018700000003</v>
      </c>
      <c r="H12" s="131">
        <v>1648.1538700000003</v>
      </c>
      <c r="I12" s="25"/>
      <c r="K12" s="93">
        <f>G5</f>
        <v>5.5</v>
      </c>
      <c r="L12" s="93">
        <f>G25</f>
        <v>14894.774662953361</v>
      </c>
      <c r="M12" s="93">
        <f>G27</f>
        <v>2526</v>
      </c>
    </row>
    <row r="13" spans="1:13" ht="14.4" x14ac:dyDescent="0.3">
      <c r="A13" s="70" t="s">
        <v>24</v>
      </c>
      <c r="B13" s="75"/>
      <c r="C13" s="75"/>
      <c r="D13" s="131">
        <v>719.43575759999999</v>
      </c>
      <c r="E13" s="131">
        <v>723.49075259999995</v>
      </c>
      <c r="F13" s="131">
        <v>727.54574759999991</v>
      </c>
      <c r="G13" s="131">
        <v>731.60074259999999</v>
      </c>
      <c r="H13" s="131">
        <v>735.65573760000007</v>
      </c>
      <c r="I13" s="25"/>
      <c r="K13" s="93">
        <f>H5</f>
        <v>6</v>
      </c>
      <c r="L13" s="93">
        <f>H25</f>
        <v>15748.49798484711</v>
      </c>
      <c r="M13" s="93">
        <f>H27</f>
        <v>2526</v>
      </c>
    </row>
    <row r="14" spans="1:13" ht="14.4" x14ac:dyDescent="0.3">
      <c r="A14" s="70" t="s">
        <v>25</v>
      </c>
      <c r="B14" s="75"/>
      <c r="C14" s="75"/>
      <c r="D14" s="131">
        <v>1807.8</v>
      </c>
      <c r="E14" s="131">
        <v>1807.8</v>
      </c>
      <c r="F14" s="131">
        <v>1807.8</v>
      </c>
      <c r="G14" s="131">
        <v>1807.8</v>
      </c>
      <c r="H14" s="131">
        <v>1807.8</v>
      </c>
      <c r="I14" s="25"/>
      <c r="K14" s="93">
        <f>I5</f>
        <v>0</v>
      </c>
      <c r="L14" s="93">
        <f>I25</f>
        <v>0</v>
      </c>
      <c r="M14" s="93">
        <f>I27</f>
        <v>0</v>
      </c>
    </row>
    <row r="15" spans="1:13" x14ac:dyDescent="0.25">
      <c r="A15" s="70" t="s">
        <v>26</v>
      </c>
      <c r="B15" s="75"/>
      <c r="C15" s="75"/>
      <c r="D15" s="131">
        <v>1704.9387818659839</v>
      </c>
      <c r="E15" s="131">
        <v>1704.9387818659839</v>
      </c>
      <c r="F15" s="131">
        <v>1704.9387818659839</v>
      </c>
      <c r="G15" s="131">
        <v>1704.9387818659839</v>
      </c>
      <c r="H15" s="131">
        <v>1704.9387818659839</v>
      </c>
      <c r="I15" s="25"/>
    </row>
    <row r="16" spans="1:13" x14ac:dyDescent="0.25">
      <c r="A16" s="70" t="s">
        <v>27</v>
      </c>
      <c r="B16" s="75"/>
      <c r="C16" s="75"/>
      <c r="D16" s="131">
        <v>447.48599999999999</v>
      </c>
      <c r="E16" s="131">
        <v>503.42174999999997</v>
      </c>
      <c r="F16" s="131">
        <v>559.35750000000007</v>
      </c>
      <c r="G16" s="131">
        <v>615.29324999999994</v>
      </c>
      <c r="H16" s="131">
        <v>671.22899999999993</v>
      </c>
      <c r="I16" s="25"/>
    </row>
    <row r="17" spans="1:9" x14ac:dyDescent="0.25">
      <c r="A17" s="70" t="s">
        <v>29</v>
      </c>
      <c r="B17" s="75"/>
      <c r="C17" s="75"/>
      <c r="D17" s="131">
        <v>0</v>
      </c>
      <c r="E17" s="131">
        <v>0</v>
      </c>
      <c r="F17" s="131">
        <v>0</v>
      </c>
      <c r="G17" s="131">
        <v>0</v>
      </c>
      <c r="H17" s="131">
        <v>0</v>
      </c>
      <c r="I17" s="25"/>
    </row>
    <row r="18" spans="1:9" x14ac:dyDescent="0.25">
      <c r="A18" s="70" t="s">
        <v>30</v>
      </c>
      <c r="B18" s="75"/>
      <c r="C18" s="75"/>
      <c r="D18" s="131">
        <v>0</v>
      </c>
      <c r="E18" s="131">
        <v>0</v>
      </c>
      <c r="F18" s="131">
        <v>0</v>
      </c>
      <c r="G18" s="131">
        <v>0</v>
      </c>
      <c r="H18" s="131">
        <v>0</v>
      </c>
      <c r="I18" s="25"/>
    </row>
    <row r="19" spans="1:9" x14ac:dyDescent="0.25">
      <c r="A19" s="70" t="s">
        <v>31</v>
      </c>
      <c r="B19" s="75"/>
      <c r="C19" s="75"/>
      <c r="D19" s="131">
        <v>686.45999999999992</v>
      </c>
      <c r="E19" s="131">
        <v>772.26749999999993</v>
      </c>
      <c r="F19" s="131">
        <v>858.07499999999993</v>
      </c>
      <c r="G19" s="131">
        <v>943.88249999999994</v>
      </c>
      <c r="H19" s="131">
        <v>1029.69</v>
      </c>
      <c r="I19" s="25"/>
    </row>
    <row r="20" spans="1:9" x14ac:dyDescent="0.25">
      <c r="A20" s="70" t="s">
        <v>32</v>
      </c>
      <c r="B20" s="75"/>
      <c r="C20" s="75"/>
      <c r="D20" s="131">
        <v>0</v>
      </c>
      <c r="E20" s="131">
        <v>0</v>
      </c>
      <c r="F20" s="131">
        <v>0</v>
      </c>
      <c r="G20" s="131">
        <v>0</v>
      </c>
      <c r="H20" s="131">
        <v>0</v>
      </c>
      <c r="I20" s="25"/>
    </row>
    <row r="21" spans="1:9" x14ac:dyDescent="0.25">
      <c r="A21" s="70" t="s">
        <v>33</v>
      </c>
      <c r="B21" s="75"/>
      <c r="C21" s="75"/>
      <c r="D21" s="131">
        <v>0</v>
      </c>
      <c r="E21" s="131">
        <v>0</v>
      </c>
      <c r="F21" s="131">
        <v>0</v>
      </c>
      <c r="G21" s="131">
        <v>0</v>
      </c>
      <c r="H21" s="131">
        <v>0</v>
      </c>
      <c r="I21" s="25"/>
    </row>
    <row r="22" spans="1:9" x14ac:dyDescent="0.25">
      <c r="A22" s="70" t="s">
        <v>34</v>
      </c>
      <c r="B22" s="75"/>
      <c r="C22" s="75"/>
      <c r="D22" s="131">
        <v>0</v>
      </c>
      <c r="E22" s="131">
        <v>0</v>
      </c>
      <c r="F22" s="131">
        <v>0</v>
      </c>
      <c r="G22" s="131">
        <v>0</v>
      </c>
      <c r="H22" s="131">
        <v>0</v>
      </c>
      <c r="I22" s="25"/>
    </row>
    <row r="23" spans="1:9" x14ac:dyDescent="0.25">
      <c r="A23" s="70" t="s">
        <v>35</v>
      </c>
      <c r="B23" s="75"/>
      <c r="C23" s="75"/>
      <c r="D23" s="131">
        <v>0</v>
      </c>
      <c r="E23" s="131">
        <v>0</v>
      </c>
      <c r="F23" s="131">
        <v>0</v>
      </c>
      <c r="G23" s="131">
        <v>0</v>
      </c>
      <c r="H23" s="131">
        <v>0</v>
      </c>
      <c r="I23" s="25"/>
    </row>
    <row r="24" spans="1:9" ht="13.8" thickBot="1" x14ac:dyDescent="0.3">
      <c r="A24" s="70" t="s">
        <v>36</v>
      </c>
      <c r="B24" s="75"/>
      <c r="C24" s="75"/>
      <c r="D24" s="131">
        <v>697.61003780612646</v>
      </c>
      <c r="E24" s="131">
        <v>737.6158646998764</v>
      </c>
      <c r="F24" s="131">
        <v>777.62169159362645</v>
      </c>
      <c r="G24" s="131">
        <v>826.51051848737654</v>
      </c>
      <c r="H24" s="131">
        <v>873.88359538112638</v>
      </c>
      <c r="I24" s="25"/>
    </row>
    <row r="25" spans="1:9" ht="25.5" customHeight="1" thickBot="1" x14ac:dyDescent="0.3">
      <c r="A25" s="253" t="s">
        <v>37</v>
      </c>
      <c r="B25" s="254"/>
      <c r="C25" s="255"/>
      <c r="D25" s="197">
        <f>SUM(D9:D24)</f>
        <v>12571.823447272109</v>
      </c>
      <c r="E25" s="197">
        <f>SUM(E9:E24)</f>
        <v>13292.779519165859</v>
      </c>
      <c r="F25" s="197">
        <f>SUM(F9:F24)</f>
        <v>14013.735591059609</v>
      </c>
      <c r="G25" s="197">
        <f>SUM(G9:G24)</f>
        <v>14894.774662953361</v>
      </c>
      <c r="H25" s="197">
        <f>SUM(H9:H24)</f>
        <v>15748.49798484711</v>
      </c>
      <c r="I25" s="207"/>
    </row>
    <row r="26" spans="1:9" ht="13.8" thickBot="1" x14ac:dyDescent="0.3">
      <c r="A26" s="76"/>
      <c r="B26" s="77"/>
      <c r="C26" s="77"/>
      <c r="D26" s="27"/>
      <c r="E26" s="21"/>
      <c r="F26" s="21"/>
      <c r="G26" s="21"/>
      <c r="H26" s="21"/>
      <c r="I26" s="21"/>
    </row>
    <row r="27" spans="1:9" ht="13.8" thickBot="1" x14ac:dyDescent="0.3">
      <c r="A27" s="250" t="s">
        <v>38</v>
      </c>
      <c r="B27" s="251"/>
      <c r="C27" s="252"/>
      <c r="D27" s="198">
        <v>2526</v>
      </c>
      <c r="E27" s="197">
        <f>D27</f>
        <v>2526</v>
      </c>
      <c r="F27" s="197">
        <f>E27</f>
        <v>2526</v>
      </c>
      <c r="G27" s="197">
        <f>F27</f>
        <v>2526</v>
      </c>
      <c r="H27" s="197">
        <f>G27</f>
        <v>2526</v>
      </c>
      <c r="I27" s="197"/>
    </row>
    <row r="28" spans="1:9" ht="13.8" thickBot="1" x14ac:dyDescent="0.3">
      <c r="A28" s="76"/>
      <c r="B28" s="77"/>
      <c r="C28" s="77"/>
      <c r="D28" s="27"/>
      <c r="E28" s="21"/>
      <c r="F28" s="21"/>
      <c r="G28" s="21"/>
      <c r="H28" s="21"/>
      <c r="I28" s="21"/>
    </row>
    <row r="29" spans="1:9" ht="25.5" customHeight="1" thickBot="1" x14ac:dyDescent="0.3">
      <c r="A29" s="253" t="s">
        <v>39</v>
      </c>
      <c r="B29" s="254"/>
      <c r="C29" s="255"/>
      <c r="D29" s="197">
        <f>D25+D27</f>
        <v>15097.823447272109</v>
      </c>
      <c r="E29" s="197">
        <f>E25+E27</f>
        <v>15818.779519165859</v>
      </c>
      <c r="F29" s="197">
        <f>F25+F27</f>
        <v>16539.735591059609</v>
      </c>
      <c r="G29" s="197">
        <f>G25+G27</f>
        <v>17420.774662953361</v>
      </c>
      <c r="H29" s="197">
        <f>H25+H27</f>
        <v>18274.497984847112</v>
      </c>
      <c r="I29" s="197"/>
    </row>
    <row r="30" spans="1:9" ht="13.8" thickBot="1" x14ac:dyDescent="0.3">
      <c r="A30" s="71"/>
      <c r="B30" s="72"/>
      <c r="C30" s="72"/>
      <c r="D30" s="29"/>
      <c r="E30" s="29"/>
      <c r="F30" s="29"/>
      <c r="G30" s="29"/>
      <c r="H30" s="29"/>
      <c r="I30" s="29"/>
    </row>
    <row r="31" spans="1:9" ht="25.5" customHeight="1" thickBot="1" x14ac:dyDescent="0.3">
      <c r="A31" s="253" t="s">
        <v>40</v>
      </c>
      <c r="B31" s="256"/>
      <c r="C31" s="257"/>
      <c r="D31" s="197">
        <f>D29/D5</f>
        <v>3774.4558618180272</v>
      </c>
      <c r="E31" s="197">
        <f>E29/E5</f>
        <v>3515.2843375924131</v>
      </c>
      <c r="F31" s="197">
        <f>F29/F5</f>
        <v>3307.9471182119219</v>
      </c>
      <c r="G31" s="197">
        <f>G29/G5</f>
        <v>3167.4135750824294</v>
      </c>
      <c r="H31" s="197">
        <f>H29/H5</f>
        <v>3045.7496641411853</v>
      </c>
      <c r="I31" s="197"/>
    </row>
    <row r="32" spans="1:9" ht="13.8" thickBot="1" x14ac:dyDescent="0.3">
      <c r="A32" s="71"/>
      <c r="B32" s="72"/>
      <c r="C32" s="72"/>
      <c r="D32" s="29"/>
      <c r="E32" s="9"/>
      <c r="F32" s="9"/>
      <c r="G32" s="9"/>
      <c r="H32" s="9"/>
      <c r="I32" s="9"/>
    </row>
    <row r="33" spans="1:9" ht="13.8" thickBot="1" x14ac:dyDescent="0.3">
      <c r="A33" s="193" t="s">
        <v>41</v>
      </c>
      <c r="B33" s="194"/>
      <c r="C33" s="194"/>
      <c r="D33" s="197">
        <f>'Pryse + Sensatiwiteitsanalise'!D6</f>
        <v>63</v>
      </c>
      <c r="E33" s="197">
        <f>$D$33</f>
        <v>63</v>
      </c>
      <c r="F33" s="197">
        <f>$D$33</f>
        <v>63</v>
      </c>
      <c r="G33" s="197">
        <f>$D$33</f>
        <v>63</v>
      </c>
      <c r="H33" s="197">
        <f>$D$33</f>
        <v>63</v>
      </c>
      <c r="I33" s="197"/>
    </row>
    <row r="34" spans="1:9" ht="13.8" thickBot="1" x14ac:dyDescent="0.3">
      <c r="A34" s="71"/>
      <c r="B34" s="72"/>
      <c r="C34" s="72"/>
      <c r="D34" s="29"/>
      <c r="E34" s="29"/>
      <c r="F34" s="29"/>
      <c r="G34" s="29"/>
      <c r="H34" s="29"/>
      <c r="I34" s="29"/>
    </row>
    <row r="35" spans="1:9" ht="13.8" thickBot="1" x14ac:dyDescent="0.3">
      <c r="A35" s="258" t="s">
        <v>42</v>
      </c>
      <c r="B35" s="259"/>
      <c r="C35" s="260"/>
      <c r="D35" s="185">
        <f>D31+D33</f>
        <v>3837.4558618180272</v>
      </c>
      <c r="E35" s="185">
        <f>E31+E33</f>
        <v>3578.2843375924131</v>
      </c>
      <c r="F35" s="185">
        <f>F31+F33</f>
        <v>3370.9471182119219</v>
      </c>
      <c r="G35" s="185">
        <f>G31+G33</f>
        <v>3230.4135750824294</v>
      </c>
      <c r="H35" s="185">
        <f>H31+H33</f>
        <v>3108.7496641411853</v>
      </c>
      <c r="I35" s="185"/>
    </row>
    <row r="36" spans="1:9" ht="13.8" thickBot="1" x14ac:dyDescent="0.3">
      <c r="A36" s="186" t="s">
        <v>44</v>
      </c>
      <c r="B36" s="187"/>
      <c r="C36" s="188"/>
      <c r="D36" s="185">
        <f>'Pryse + Sensatiwiteitsanalise'!B6</f>
        <v>4993</v>
      </c>
      <c r="E36" s="185">
        <f>$D$36</f>
        <v>4993</v>
      </c>
      <c r="F36" s="185">
        <f>$D$36</f>
        <v>4993</v>
      </c>
      <c r="G36" s="185">
        <f>$D$36</f>
        <v>4993</v>
      </c>
      <c r="H36" s="185">
        <f>$D$36</f>
        <v>4993</v>
      </c>
      <c r="I36" s="206"/>
    </row>
    <row r="37" spans="1:9" ht="13.8" thickBot="1" x14ac:dyDescent="0.3"/>
    <row r="38" spans="1:9" customFormat="1" ht="14.4" x14ac:dyDescent="0.3">
      <c r="A38" s="278" t="s">
        <v>116</v>
      </c>
      <c r="B38" s="279"/>
      <c r="C38" s="280"/>
      <c r="D38" s="179">
        <f>D6-D25</f>
        <v>7148.1765527278912</v>
      </c>
      <c r="E38" s="180">
        <f>E6-E25</f>
        <v>8892.2204808341412</v>
      </c>
      <c r="F38" s="179">
        <f>F6-F25</f>
        <v>10636.264408940391</v>
      </c>
      <c r="G38" s="180">
        <f>G6-G25</f>
        <v>12220.225337046639</v>
      </c>
      <c r="H38" s="179">
        <f>H6-H25</f>
        <v>13831.50201515289</v>
      </c>
      <c r="I38" s="181"/>
    </row>
    <row r="39" spans="1:9" customFormat="1" ht="15" thickBot="1" x14ac:dyDescent="0.35">
      <c r="A39" s="281" t="s">
        <v>117</v>
      </c>
      <c r="B39" s="282"/>
      <c r="C39" s="283"/>
      <c r="D39" s="182">
        <f>D6-D29</f>
        <v>4622.1765527278912</v>
      </c>
      <c r="E39" s="183">
        <f>E6-E29</f>
        <v>6366.2204808341412</v>
      </c>
      <c r="F39" s="182">
        <f>F6-F29</f>
        <v>8110.2644089403911</v>
      </c>
      <c r="G39" s="183">
        <f>G6-G29</f>
        <v>9694.2253370466387</v>
      </c>
      <c r="H39" s="182">
        <f>H6-H29</f>
        <v>11305.502015152888</v>
      </c>
      <c r="I39" s="184"/>
    </row>
    <row r="40" spans="1:9" ht="14.4" x14ac:dyDescent="0.25">
      <c r="A40" s="89" t="s">
        <v>45</v>
      </c>
      <c r="B40" s="88"/>
      <c r="C40" s="88"/>
      <c r="D40" s="88"/>
      <c r="E40" s="88"/>
      <c r="F40" s="88"/>
      <c r="G40" s="88"/>
      <c r="H40" s="87"/>
      <c r="I40" s="90"/>
    </row>
    <row r="41" spans="1:9" ht="14.4" x14ac:dyDescent="0.25">
      <c r="A41" s="86" t="s">
        <v>46</v>
      </c>
      <c r="B41" s="85"/>
      <c r="C41" s="85"/>
      <c r="D41" s="85"/>
      <c r="E41" s="85"/>
      <c r="F41" s="85"/>
      <c r="G41" s="85"/>
      <c r="H41" s="84"/>
      <c r="I41" s="90"/>
    </row>
    <row r="42" spans="1:9" ht="15" thickBot="1" x14ac:dyDescent="0.3">
      <c r="A42" s="83" t="s">
        <v>47</v>
      </c>
      <c r="B42" s="82"/>
      <c r="C42" s="82"/>
      <c r="D42" s="82"/>
      <c r="E42" s="82"/>
      <c r="F42" s="82"/>
      <c r="G42" s="82"/>
      <c r="H42" s="81"/>
      <c r="I42" s="90"/>
    </row>
  </sheetData>
  <mergeCells count="12">
    <mergeCell ref="A38:C38"/>
    <mergeCell ref="A39:C39"/>
    <mergeCell ref="K7:M7"/>
    <mergeCell ref="A29:C29"/>
    <mergeCell ref="A31:C31"/>
    <mergeCell ref="A35:C35"/>
    <mergeCell ref="A27:C27"/>
    <mergeCell ref="E1:G1"/>
    <mergeCell ref="A1:D1"/>
    <mergeCell ref="A3:C3"/>
    <mergeCell ref="A8:C8"/>
    <mergeCell ref="A25:C25"/>
  </mergeCells>
  <conditionalFormatting sqref="D38:I39">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59" fitToHeight="0" orientation="portrait" verticalDpi="300" r:id="rId1"/>
  <headerFooter alignWithMargins="0">
    <oddHeader>&amp;F</oddHeader>
    <oddFooter>&amp;A&amp;RPage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47"/>
  <sheetViews>
    <sheetView zoomScale="85" zoomScaleNormal="85" workbookViewId="0">
      <selection activeCell="AB6" sqref="AB6"/>
    </sheetView>
  </sheetViews>
  <sheetFormatPr defaultColWidth="9.109375" defaultRowHeight="13.2" x14ac:dyDescent="0.25"/>
  <cols>
    <col min="1" max="1" width="42.88671875" style="1" customWidth="1"/>
    <col min="2" max="2" width="15.6640625" style="1" bestFit="1" customWidth="1"/>
    <col min="3" max="4" width="14.44140625" style="1" customWidth="1"/>
    <col min="5" max="9" width="14.33203125" style="1" customWidth="1"/>
    <col min="10" max="10" width="14.44140625" style="1" customWidth="1"/>
    <col min="11" max="11" width="12.6640625" style="1" customWidth="1"/>
    <col min="12" max="26" width="12.6640625" style="1" hidden="1" customWidth="1"/>
    <col min="27" max="27" width="0" style="1" hidden="1" customWidth="1"/>
    <col min="28" max="16384" width="9.109375" style="1"/>
  </cols>
  <sheetData>
    <row r="1" spans="1:9" ht="30" customHeight="1" thickBot="1" x14ac:dyDescent="0.3">
      <c r="A1" s="270" t="s">
        <v>49</v>
      </c>
      <c r="B1" s="271"/>
      <c r="C1" s="271"/>
      <c r="D1" s="271"/>
      <c r="E1" s="272" t="s">
        <v>138</v>
      </c>
      <c r="F1" s="272"/>
      <c r="G1" s="272"/>
      <c r="H1" s="201"/>
      <c r="I1" s="200"/>
    </row>
    <row r="2" spans="1:9" ht="16.2" thickBot="1" x14ac:dyDescent="0.35">
      <c r="A2" s="12"/>
      <c r="B2" s="13"/>
      <c r="C2" s="14"/>
      <c r="D2" s="14"/>
      <c r="E2" s="8"/>
      <c r="F2" s="8"/>
      <c r="G2" s="8"/>
      <c r="H2" s="8"/>
      <c r="I2" s="3"/>
    </row>
    <row r="3" spans="1:9" ht="24.75" customHeight="1" thickBot="1" x14ac:dyDescent="0.3">
      <c r="A3" s="253" t="s">
        <v>16</v>
      </c>
      <c r="B3" s="256"/>
      <c r="C3" s="256"/>
      <c r="D3" s="189"/>
      <c r="E3" s="190">
        <f>'Pryse + Sensatiwiteitsanalise'!B19</f>
        <v>3758</v>
      </c>
      <c r="F3" s="189" t="s">
        <v>0</v>
      </c>
      <c r="G3" s="191"/>
      <c r="H3" s="191"/>
      <c r="I3" s="192"/>
    </row>
    <row r="4" spans="1:9" ht="13.8" thickBot="1" x14ac:dyDescent="0.3">
      <c r="A4" s="68"/>
      <c r="B4" s="78"/>
      <c r="C4" s="78"/>
      <c r="D4" s="5"/>
      <c r="E4" s="7"/>
      <c r="F4" s="16"/>
      <c r="G4" s="6"/>
      <c r="H4" s="17"/>
      <c r="I4" s="17"/>
    </row>
    <row r="5" spans="1:9" ht="13.8" thickBot="1" x14ac:dyDescent="0.3">
      <c r="A5" s="68" t="s">
        <v>17</v>
      </c>
      <c r="B5" s="78"/>
      <c r="C5" s="78"/>
      <c r="D5" s="34">
        <v>8</v>
      </c>
      <c r="E5" s="34">
        <v>10</v>
      </c>
      <c r="F5" s="34">
        <v>12</v>
      </c>
      <c r="G5" s="34">
        <v>14</v>
      </c>
      <c r="H5" s="34">
        <v>0</v>
      </c>
      <c r="I5" s="34">
        <v>0</v>
      </c>
    </row>
    <row r="6" spans="1:9" ht="13.8" thickBot="1" x14ac:dyDescent="0.3">
      <c r="A6" s="193" t="s">
        <v>18</v>
      </c>
      <c r="B6" s="194"/>
      <c r="C6" s="195"/>
      <c r="D6" s="196">
        <f t="shared" ref="D6:I6" si="0">$E$3*D5</f>
        <v>30064</v>
      </c>
      <c r="E6" s="196">
        <f t="shared" si="0"/>
        <v>37580</v>
      </c>
      <c r="F6" s="196">
        <f t="shared" si="0"/>
        <v>45096</v>
      </c>
      <c r="G6" s="196">
        <f t="shared" si="0"/>
        <v>52612</v>
      </c>
      <c r="H6" s="196">
        <f t="shared" si="0"/>
        <v>0</v>
      </c>
      <c r="I6" s="196">
        <f t="shared" si="0"/>
        <v>0</v>
      </c>
    </row>
    <row r="7" spans="1:9" ht="13.8" thickBot="1" x14ac:dyDescent="0.3">
      <c r="A7" s="71"/>
      <c r="B7" s="72"/>
      <c r="C7" s="72"/>
      <c r="D7" s="33"/>
      <c r="E7" s="33"/>
      <c r="F7" s="33"/>
      <c r="G7" s="33"/>
      <c r="H7" s="33"/>
      <c r="I7" s="33"/>
    </row>
    <row r="8" spans="1:9" ht="13.8" thickBot="1" x14ac:dyDescent="0.3">
      <c r="A8" s="275" t="s">
        <v>19</v>
      </c>
      <c r="B8" s="276"/>
      <c r="C8" s="277"/>
      <c r="D8" s="205"/>
      <c r="E8" s="205"/>
      <c r="F8" s="205"/>
      <c r="G8" s="205"/>
      <c r="H8" s="205"/>
      <c r="I8" s="205"/>
    </row>
    <row r="9" spans="1:9" x14ac:dyDescent="0.25">
      <c r="A9" s="73" t="s">
        <v>20</v>
      </c>
      <c r="B9" s="74"/>
      <c r="C9" s="74"/>
      <c r="D9" s="132">
        <v>4896.375</v>
      </c>
      <c r="E9" s="132">
        <v>5786.625</v>
      </c>
      <c r="F9" s="132">
        <v>6231.7500000000009</v>
      </c>
      <c r="G9" s="132">
        <v>6676.8750000000009</v>
      </c>
      <c r="H9" s="24">
        <v>0</v>
      </c>
      <c r="I9" s="24">
        <v>0</v>
      </c>
    </row>
    <row r="10" spans="1:9" x14ac:dyDescent="0.25">
      <c r="A10" s="70" t="s">
        <v>21</v>
      </c>
      <c r="B10" s="75"/>
      <c r="C10" s="75"/>
      <c r="D10" s="131">
        <v>7781.5</v>
      </c>
      <c r="E10" s="131">
        <v>9491.1</v>
      </c>
      <c r="F10" s="131">
        <v>10370</v>
      </c>
      <c r="G10" s="131">
        <v>11414</v>
      </c>
      <c r="H10" s="25">
        <v>0</v>
      </c>
      <c r="I10" s="25">
        <v>0</v>
      </c>
    </row>
    <row r="11" spans="1:9" x14ac:dyDescent="0.25">
      <c r="A11" s="70" t="s">
        <v>22</v>
      </c>
      <c r="B11" s="75"/>
      <c r="C11" s="75"/>
      <c r="D11" s="131">
        <v>252.74700000000001</v>
      </c>
      <c r="E11" s="131">
        <v>252.74700000000001</v>
      </c>
      <c r="F11" s="131">
        <v>252.74700000000001</v>
      </c>
      <c r="G11" s="131">
        <v>252.74700000000001</v>
      </c>
      <c r="H11" s="25">
        <v>0</v>
      </c>
      <c r="I11" s="25">
        <v>0</v>
      </c>
    </row>
    <row r="12" spans="1:9" x14ac:dyDescent="0.25">
      <c r="A12" s="70" t="s">
        <v>23</v>
      </c>
      <c r="B12" s="75"/>
      <c r="C12" s="75"/>
      <c r="D12" s="131">
        <v>1958.5182000000004</v>
      </c>
      <c r="E12" s="131">
        <v>2047.2862000000005</v>
      </c>
      <c r="F12" s="131">
        <v>2136.0542000000005</v>
      </c>
      <c r="G12" s="131">
        <v>2224.8222000000005</v>
      </c>
      <c r="H12" s="25">
        <v>0</v>
      </c>
      <c r="I12" s="25">
        <v>0</v>
      </c>
    </row>
    <row r="13" spans="1:9" x14ac:dyDescent="0.25">
      <c r="A13" s="70" t="s">
        <v>24</v>
      </c>
      <c r="B13" s="75"/>
      <c r="C13" s="75"/>
      <c r="D13" s="131">
        <v>824.46367859999998</v>
      </c>
      <c r="E13" s="131">
        <v>841.18365859999994</v>
      </c>
      <c r="F13" s="131">
        <v>857.90363860000002</v>
      </c>
      <c r="G13" s="131">
        <v>874.62361859999999</v>
      </c>
      <c r="H13" s="25">
        <v>0</v>
      </c>
      <c r="I13" s="25">
        <v>0</v>
      </c>
    </row>
    <row r="14" spans="1:9" x14ac:dyDescent="0.25">
      <c r="A14" s="70" t="s">
        <v>25</v>
      </c>
      <c r="B14" s="75"/>
      <c r="C14" s="75"/>
      <c r="D14" s="131">
        <v>594.15</v>
      </c>
      <c r="E14" s="131">
        <v>594.15</v>
      </c>
      <c r="F14" s="131">
        <v>594.15</v>
      </c>
      <c r="G14" s="131">
        <v>594.15</v>
      </c>
      <c r="H14" s="25">
        <v>0</v>
      </c>
      <c r="I14" s="25">
        <v>0</v>
      </c>
    </row>
    <row r="15" spans="1:9" x14ac:dyDescent="0.25">
      <c r="A15" s="70" t="s">
        <v>26</v>
      </c>
      <c r="B15" s="75"/>
      <c r="C15" s="75"/>
      <c r="D15" s="131">
        <v>703.17</v>
      </c>
      <c r="E15" s="131">
        <v>703.17</v>
      </c>
      <c r="F15" s="131">
        <v>703.17</v>
      </c>
      <c r="G15" s="131">
        <v>703.17</v>
      </c>
      <c r="H15" s="25">
        <v>0</v>
      </c>
      <c r="I15" s="25">
        <v>0</v>
      </c>
    </row>
    <row r="16" spans="1:9" x14ac:dyDescent="0.25">
      <c r="A16" s="70" t="s">
        <v>27</v>
      </c>
      <c r="B16" s="75"/>
      <c r="C16" s="75"/>
      <c r="D16" s="131">
        <v>0</v>
      </c>
      <c r="E16" s="131">
        <v>0</v>
      </c>
      <c r="F16" s="131">
        <v>0</v>
      </c>
      <c r="G16" s="131">
        <v>0</v>
      </c>
      <c r="H16" s="25">
        <v>0</v>
      </c>
      <c r="I16" s="25">
        <v>0</v>
      </c>
    </row>
    <row r="17" spans="1:10" x14ac:dyDescent="0.25">
      <c r="A17" s="70" t="s">
        <v>28</v>
      </c>
      <c r="B17" s="75"/>
      <c r="C17" s="75"/>
      <c r="D17" s="131">
        <v>7130.6504780800014</v>
      </c>
      <c r="E17" s="131">
        <v>7130.6504780800014</v>
      </c>
      <c r="F17" s="131">
        <v>7130.6504780800014</v>
      </c>
      <c r="G17" s="131">
        <v>7130.6504780800014</v>
      </c>
      <c r="H17" s="25">
        <v>0</v>
      </c>
      <c r="I17" s="25">
        <v>0</v>
      </c>
    </row>
    <row r="18" spans="1:10" x14ac:dyDescent="0.25">
      <c r="A18" s="70" t="s">
        <v>29</v>
      </c>
      <c r="B18" s="75"/>
      <c r="C18" s="75"/>
      <c r="D18" s="131">
        <v>2955.7534906580572</v>
      </c>
      <c r="E18" s="131">
        <v>3303.7255458385671</v>
      </c>
      <c r="F18" s="131">
        <v>3501.9089306345754</v>
      </c>
      <c r="G18" s="131">
        <v>3719.4759373853835</v>
      </c>
      <c r="H18" s="25">
        <v>0</v>
      </c>
      <c r="I18" s="25">
        <v>0</v>
      </c>
    </row>
    <row r="19" spans="1:10" x14ac:dyDescent="0.25">
      <c r="A19" s="70" t="s">
        <v>30</v>
      </c>
      <c r="B19" s="75"/>
      <c r="C19" s="75"/>
      <c r="D19" s="131">
        <v>0</v>
      </c>
      <c r="E19" s="131">
        <v>0</v>
      </c>
      <c r="F19" s="131">
        <v>0</v>
      </c>
      <c r="G19" s="131">
        <v>0</v>
      </c>
      <c r="H19" s="25">
        <v>0</v>
      </c>
      <c r="I19" s="25">
        <v>0</v>
      </c>
    </row>
    <row r="20" spans="1:10" x14ac:dyDescent="0.25">
      <c r="A20" s="70" t="s">
        <v>31</v>
      </c>
      <c r="B20" s="75"/>
      <c r="C20" s="75"/>
      <c r="D20" s="131">
        <v>1034.056</v>
      </c>
      <c r="E20" s="131">
        <v>1292.57</v>
      </c>
      <c r="F20" s="131">
        <v>1551.0840000000001</v>
      </c>
      <c r="G20" s="131">
        <v>1809.598</v>
      </c>
      <c r="H20" s="25">
        <v>0</v>
      </c>
      <c r="I20" s="25">
        <v>0</v>
      </c>
    </row>
    <row r="21" spans="1:10" x14ac:dyDescent="0.25">
      <c r="A21" s="70" t="s">
        <v>32</v>
      </c>
      <c r="B21" s="75"/>
      <c r="C21" s="75"/>
      <c r="D21" s="131">
        <v>0</v>
      </c>
      <c r="E21" s="131">
        <v>0</v>
      </c>
      <c r="F21" s="131">
        <v>0</v>
      </c>
      <c r="G21" s="131">
        <v>0</v>
      </c>
      <c r="H21" s="25">
        <v>0</v>
      </c>
      <c r="I21" s="25">
        <v>0</v>
      </c>
    </row>
    <row r="22" spans="1:10" s="10" customFormat="1" x14ac:dyDescent="0.25">
      <c r="A22" s="70" t="s">
        <v>33</v>
      </c>
      <c r="B22" s="75"/>
      <c r="C22" s="75"/>
      <c r="D22" s="131">
        <v>0</v>
      </c>
      <c r="E22" s="131">
        <v>0</v>
      </c>
      <c r="F22" s="131">
        <v>0</v>
      </c>
      <c r="G22" s="131">
        <v>0</v>
      </c>
      <c r="H22" s="25">
        <v>0</v>
      </c>
      <c r="I22" s="25">
        <v>0</v>
      </c>
      <c r="J22" s="1"/>
    </row>
    <row r="23" spans="1:10" s="10" customFormat="1" x14ac:dyDescent="0.25">
      <c r="A23" s="70" t="s">
        <v>34</v>
      </c>
      <c r="B23" s="75"/>
      <c r="C23" s="75"/>
      <c r="D23" s="131">
        <v>0</v>
      </c>
      <c r="E23" s="131">
        <v>0</v>
      </c>
      <c r="F23" s="131">
        <v>0</v>
      </c>
      <c r="G23" s="131">
        <v>0</v>
      </c>
      <c r="H23" s="25">
        <v>0</v>
      </c>
      <c r="I23" s="25">
        <v>0</v>
      </c>
      <c r="J23" s="1"/>
    </row>
    <row r="24" spans="1:10" s="10" customFormat="1" x14ac:dyDescent="0.25">
      <c r="A24" s="70" t="s">
        <v>35</v>
      </c>
      <c r="B24" s="75"/>
      <c r="C24" s="75"/>
      <c r="D24" s="131">
        <v>0</v>
      </c>
      <c r="E24" s="131">
        <v>0</v>
      </c>
      <c r="F24" s="131">
        <v>0</v>
      </c>
      <c r="G24" s="131">
        <v>0</v>
      </c>
      <c r="H24" s="25">
        <v>0</v>
      </c>
      <c r="I24" s="25">
        <v>0</v>
      </c>
      <c r="J24" s="1"/>
    </row>
    <row r="25" spans="1:10" s="10" customFormat="1" ht="13.8" thickBot="1" x14ac:dyDescent="0.3">
      <c r="A25" s="70" t="s">
        <v>36</v>
      </c>
      <c r="B25" s="75"/>
      <c r="C25" s="75"/>
      <c r="D25" s="131">
        <v>1652.7188010311108</v>
      </c>
      <c r="E25" s="131">
        <v>1847.2884630979654</v>
      </c>
      <c r="F25" s="131">
        <v>1958.1033220297313</v>
      </c>
      <c r="G25" s="131">
        <v>2079.7565937513409</v>
      </c>
      <c r="H25" s="25">
        <v>0</v>
      </c>
      <c r="I25" s="25">
        <v>0</v>
      </c>
      <c r="J25" s="1"/>
    </row>
    <row r="26" spans="1:10" s="10" customFormat="1" ht="13.8" thickBot="1" x14ac:dyDescent="0.3">
      <c r="A26" s="253" t="s">
        <v>37</v>
      </c>
      <c r="B26" s="254"/>
      <c r="C26" s="255"/>
      <c r="D26" s="197">
        <f>SUM(D9:D25)</f>
        <v>29784.102648369171</v>
      </c>
      <c r="E26" s="197">
        <f>SUM(E9:E25)</f>
        <v>33290.496345616535</v>
      </c>
      <c r="F26" s="197">
        <f>SUM(F9:F25)</f>
        <v>35287.52156934431</v>
      </c>
      <c r="G26" s="197">
        <f>SUM(G9:G25)</f>
        <v>37479.868827816725</v>
      </c>
      <c r="H26" s="197">
        <v>0</v>
      </c>
      <c r="I26" s="197">
        <v>0</v>
      </c>
      <c r="J26" s="1"/>
    </row>
    <row r="27" spans="1:10" s="10" customFormat="1" ht="13.8" thickBot="1" x14ac:dyDescent="0.3">
      <c r="A27" s="76"/>
      <c r="B27" s="77"/>
      <c r="C27" s="77"/>
      <c r="D27" s="27"/>
      <c r="E27" s="27"/>
      <c r="F27" s="27"/>
      <c r="G27" s="27"/>
      <c r="H27" s="27"/>
      <c r="I27" s="27"/>
      <c r="J27" s="1"/>
    </row>
    <row r="28" spans="1:10" ht="13.8" thickBot="1" x14ac:dyDescent="0.3">
      <c r="A28" s="250" t="s">
        <v>38</v>
      </c>
      <c r="B28" s="251"/>
      <c r="C28" s="252"/>
      <c r="D28" s="198">
        <v>3994</v>
      </c>
      <c r="E28" s="197">
        <f>D28</f>
        <v>3994</v>
      </c>
      <c r="F28" s="197">
        <f>E28</f>
        <v>3994</v>
      </c>
      <c r="G28" s="197">
        <f>F28</f>
        <v>3994</v>
      </c>
      <c r="H28" s="197"/>
      <c r="I28" s="197"/>
      <c r="J28" s="22"/>
    </row>
    <row r="29" spans="1:10" ht="13.8" thickBot="1" x14ac:dyDescent="0.3">
      <c r="A29" s="76"/>
      <c r="B29" s="77"/>
      <c r="C29" s="77"/>
      <c r="D29" s="27"/>
      <c r="E29" s="27"/>
      <c r="F29" s="27"/>
      <c r="G29" s="27"/>
      <c r="H29" s="27"/>
      <c r="I29" s="27"/>
    </row>
    <row r="30" spans="1:10" ht="27" customHeight="1" thickBot="1" x14ac:dyDescent="0.3">
      <c r="A30" s="253" t="s">
        <v>39</v>
      </c>
      <c r="B30" s="254"/>
      <c r="C30" s="255"/>
      <c r="D30" s="197">
        <f>D26+D28</f>
        <v>33778.102648369168</v>
      </c>
      <c r="E30" s="197">
        <f>E26+E28</f>
        <v>37284.496345616535</v>
      </c>
      <c r="F30" s="197">
        <f>F26+F28</f>
        <v>39281.52156934431</v>
      </c>
      <c r="G30" s="197">
        <f>G26+G28</f>
        <v>41473.868827816725</v>
      </c>
      <c r="H30" s="197">
        <v>0</v>
      </c>
      <c r="I30" s="197">
        <v>0</v>
      </c>
    </row>
    <row r="31" spans="1:10" ht="13.8" thickBot="1" x14ac:dyDescent="0.3">
      <c r="A31" s="71"/>
      <c r="B31" s="72"/>
      <c r="C31" s="72"/>
      <c r="D31" s="29"/>
      <c r="E31" s="29"/>
      <c r="F31" s="29"/>
      <c r="G31" s="29"/>
      <c r="H31" s="29"/>
      <c r="I31" s="29"/>
    </row>
    <row r="32" spans="1:10" ht="24" customHeight="1" thickBot="1" x14ac:dyDescent="0.3">
      <c r="A32" s="253" t="s">
        <v>40</v>
      </c>
      <c r="B32" s="256"/>
      <c r="C32" s="257"/>
      <c r="D32" s="197">
        <f>D30/D5</f>
        <v>4222.2628310461459</v>
      </c>
      <c r="E32" s="197">
        <f>E30/E5</f>
        <v>3728.4496345616535</v>
      </c>
      <c r="F32" s="197">
        <f>F30/F5</f>
        <v>3273.4601307786925</v>
      </c>
      <c r="G32" s="197">
        <f>G30/G5</f>
        <v>2962.4192019869088</v>
      </c>
      <c r="H32" s="197">
        <v>0</v>
      </c>
      <c r="I32" s="197">
        <v>0</v>
      </c>
    </row>
    <row r="33" spans="1:10" ht="13.8" thickBot="1" x14ac:dyDescent="0.3">
      <c r="A33" s="71"/>
      <c r="B33" s="72"/>
      <c r="C33" s="72"/>
      <c r="D33" s="29"/>
      <c r="E33" s="29"/>
      <c r="F33" s="29"/>
      <c r="G33" s="29"/>
      <c r="H33" s="29"/>
      <c r="I33" s="29"/>
    </row>
    <row r="34" spans="1:10" ht="13.8" thickBot="1" x14ac:dyDescent="0.3">
      <c r="A34" s="193" t="s">
        <v>41</v>
      </c>
      <c r="B34" s="194"/>
      <c r="C34" s="194"/>
      <c r="D34" s="197">
        <f>'Pryse + Sensatiwiteitsanalise'!D4</f>
        <v>442</v>
      </c>
      <c r="E34" s="197">
        <f>$D$34</f>
        <v>442</v>
      </c>
      <c r="F34" s="197">
        <f>$D$34</f>
        <v>442</v>
      </c>
      <c r="G34" s="197">
        <f>$D$34</f>
        <v>442</v>
      </c>
      <c r="H34" s="197">
        <v>0</v>
      </c>
      <c r="I34" s="197">
        <v>0</v>
      </c>
    </row>
    <row r="35" spans="1:10" ht="13.8" thickBot="1" x14ac:dyDescent="0.3">
      <c r="A35" s="71"/>
      <c r="B35" s="72"/>
      <c r="C35" s="72"/>
      <c r="D35" s="29"/>
      <c r="E35" s="29"/>
      <c r="F35" s="29"/>
      <c r="G35" s="29"/>
      <c r="H35" s="29"/>
      <c r="I35" s="29"/>
    </row>
    <row r="36" spans="1:10" ht="13.8" thickBot="1" x14ac:dyDescent="0.3">
      <c r="A36" s="258" t="s">
        <v>42</v>
      </c>
      <c r="B36" s="259"/>
      <c r="C36" s="260"/>
      <c r="D36" s="185">
        <f>D32+D34</f>
        <v>4664.2628310461459</v>
      </c>
      <c r="E36" s="185">
        <f>E32+E34</f>
        <v>4170.4496345616535</v>
      </c>
      <c r="F36" s="185">
        <f>F32+F34</f>
        <v>3715.4601307786925</v>
      </c>
      <c r="G36" s="185">
        <f>G32+G34</f>
        <v>3404.4192019869088</v>
      </c>
      <c r="H36" s="185">
        <v>0</v>
      </c>
      <c r="I36" s="185">
        <v>0</v>
      </c>
    </row>
    <row r="37" spans="1:10" ht="13.8" thickBot="1" x14ac:dyDescent="0.3">
      <c r="A37" s="186" t="s">
        <v>118</v>
      </c>
      <c r="B37" s="187"/>
      <c r="C37" s="188"/>
      <c r="D37" s="185">
        <f>'Pryse + Sensatiwiteitsanalise'!B4</f>
        <v>4200</v>
      </c>
      <c r="E37" s="185">
        <f>$D$37</f>
        <v>4200</v>
      </c>
      <c r="F37" s="185">
        <f>$D$37</f>
        <v>4200</v>
      </c>
      <c r="G37" s="185">
        <f>$D$37</f>
        <v>4200</v>
      </c>
      <c r="H37" s="185">
        <v>0</v>
      </c>
      <c r="I37" s="185">
        <v>0</v>
      </c>
    </row>
    <row r="38" spans="1:10" ht="13.8" thickBot="1" x14ac:dyDescent="0.3"/>
    <row r="39" spans="1:10" customFormat="1" ht="14.4" x14ac:dyDescent="0.3">
      <c r="A39" s="278" t="s">
        <v>116</v>
      </c>
      <c r="B39" s="279"/>
      <c r="C39" s="280"/>
      <c r="D39" s="179">
        <f>D6-D26</f>
        <v>279.89735163082878</v>
      </c>
      <c r="E39" s="179">
        <f>E6-E26</f>
        <v>4289.5036543834649</v>
      </c>
      <c r="F39" s="179">
        <f>F6-F26</f>
        <v>9808.4784306556903</v>
      </c>
      <c r="G39" s="179">
        <f>G6-G26</f>
        <v>15132.131172183275</v>
      </c>
      <c r="H39" s="179"/>
      <c r="I39" s="181"/>
    </row>
    <row r="40" spans="1:10" customFormat="1" ht="15" thickBot="1" x14ac:dyDescent="0.35">
      <c r="A40" s="281" t="s">
        <v>117</v>
      </c>
      <c r="B40" s="282"/>
      <c r="C40" s="283"/>
      <c r="D40" s="182">
        <f>D6-D30</f>
        <v>-3714.1026483691676</v>
      </c>
      <c r="E40" s="182">
        <f>E6-E30</f>
        <v>295.50365438346489</v>
      </c>
      <c r="F40" s="182">
        <f>F6-F30</f>
        <v>5814.4784306556903</v>
      </c>
      <c r="G40" s="182">
        <f>G6-G30</f>
        <v>11138.131172183275</v>
      </c>
      <c r="H40" s="182"/>
      <c r="I40" s="184"/>
    </row>
    <row r="41" spans="1:10" ht="14.4" x14ac:dyDescent="0.25">
      <c r="A41" s="89" t="s">
        <v>45</v>
      </c>
      <c r="B41" s="88"/>
      <c r="C41" s="88"/>
      <c r="D41" s="88"/>
      <c r="E41" s="88"/>
      <c r="F41" s="88"/>
      <c r="G41" s="88"/>
      <c r="H41" s="87"/>
      <c r="I41" s="90"/>
      <c r="J41" s="90"/>
    </row>
    <row r="42" spans="1:10" ht="14.4" x14ac:dyDescent="0.25">
      <c r="A42" s="86" t="s">
        <v>46</v>
      </c>
      <c r="B42" s="85"/>
      <c r="C42" s="85"/>
      <c r="D42" s="85"/>
      <c r="E42" s="85"/>
      <c r="F42" s="85"/>
      <c r="G42" s="85"/>
      <c r="H42" s="84"/>
      <c r="I42" s="90"/>
      <c r="J42" s="90"/>
    </row>
    <row r="43" spans="1:10" ht="15" thickBot="1" x14ac:dyDescent="0.3">
      <c r="A43" s="83" t="s">
        <v>47</v>
      </c>
      <c r="B43" s="82"/>
      <c r="C43" s="82"/>
      <c r="D43" s="82"/>
      <c r="E43" s="82"/>
      <c r="F43" s="82"/>
      <c r="G43" s="82"/>
      <c r="H43" s="81"/>
      <c r="I43" s="90"/>
      <c r="J43" s="90"/>
    </row>
    <row r="44" spans="1:10" x14ac:dyDescent="0.25">
      <c r="A44" s="261" t="s">
        <v>48</v>
      </c>
      <c r="B44" s="262"/>
      <c r="C44" s="262"/>
      <c r="D44" s="262"/>
      <c r="E44" s="262"/>
      <c r="F44" s="262"/>
      <c r="G44" s="262"/>
      <c r="H44" s="263"/>
    </row>
    <row r="45" spans="1:10" x14ac:dyDescent="0.25">
      <c r="A45" s="264"/>
      <c r="B45" s="265"/>
      <c r="C45" s="265"/>
      <c r="D45" s="265"/>
      <c r="E45" s="265"/>
      <c r="F45" s="265"/>
      <c r="G45" s="265"/>
      <c r="H45" s="266"/>
    </row>
    <row r="46" spans="1:10" x14ac:dyDescent="0.25">
      <c r="A46" s="264"/>
      <c r="B46" s="265"/>
      <c r="C46" s="265"/>
      <c r="D46" s="265"/>
      <c r="E46" s="265"/>
      <c r="F46" s="265"/>
      <c r="G46" s="265"/>
      <c r="H46" s="266"/>
    </row>
    <row r="47" spans="1:10" ht="13.8" thickBot="1" x14ac:dyDescent="0.3">
      <c r="A47" s="267"/>
      <c r="B47" s="268"/>
      <c r="C47" s="268"/>
      <c r="D47" s="268"/>
      <c r="E47" s="268"/>
      <c r="F47" s="268"/>
      <c r="G47" s="268"/>
      <c r="H47" s="269"/>
    </row>
  </sheetData>
  <mergeCells count="12">
    <mergeCell ref="A44:H47"/>
    <mergeCell ref="A1:D1"/>
    <mergeCell ref="E1:G1"/>
    <mergeCell ref="A36:C36"/>
    <mergeCell ref="A3:C3"/>
    <mergeCell ref="A8:C8"/>
    <mergeCell ref="A26:C26"/>
    <mergeCell ref="A28:C28"/>
    <mergeCell ref="A30:C30"/>
    <mergeCell ref="A32:C32"/>
    <mergeCell ref="A39:C39"/>
    <mergeCell ref="A40:C40"/>
  </mergeCells>
  <phoneticPr fontId="0" type="noConversion"/>
  <conditionalFormatting sqref="D39:I40">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onditionalFormatting>
  <pageMargins left="0.35433070866141736" right="0.35433070866141736" top="0.59055118110236227" bottom="0.59055118110236227" header="0.31496062992125984" footer="0.31496062992125984"/>
  <pageSetup paperSize="9" scale="62" fitToHeight="0" orientation="portrait" verticalDpi="300" r:id="rId1"/>
  <headerFooter alignWithMargins="0">
    <oddHeader>&amp;F</oddHeader>
    <oddFooter>&amp;A&amp;RPage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EB078C1C8474F8AAD7AD9366D8E54" ma:contentTypeVersion="19" ma:contentTypeDescription="Create a new document." ma:contentTypeScope="" ma:versionID="f067c3b21b4b898d5ec7e227a0bb26eb">
  <xsd:schema xmlns:xsd="http://www.w3.org/2001/XMLSchema" xmlns:xs="http://www.w3.org/2001/XMLSchema" xmlns:p="http://schemas.microsoft.com/office/2006/metadata/properties" xmlns:ns2="25435354-646d-4f90-a923-d4d04749eaf7" xmlns:ns3="5d7b95ce-97cf-4a61-8884-fde260c16070" targetNamespace="http://schemas.microsoft.com/office/2006/metadata/properties" ma:root="true" ma:fieldsID="58b85da5961b648019cc234b526c8ef2" ns2:_="" ns3:_="">
    <xsd:import namespace="25435354-646d-4f90-a923-d4d04749eaf7"/>
    <xsd:import namespace="5d7b95ce-97cf-4a61-8884-fde260c160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435354-646d-4f90-a923-d4d04749e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362023-a8c1-4b5e-9a31-595cfc7316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7b95ce-97cf-4a61-8884-fde260c160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09ad402-32d3-4889-bd98-4915c3de7cc5}" ma:internalName="TaxCatchAll" ma:showField="CatchAllData" ma:web="5d7b95ce-97cf-4a61-8884-fde260c160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7b95ce-97cf-4a61-8884-fde260c16070" xsi:nil="true"/>
    <lcf76f155ced4ddcb4097134ff3c332f xmlns="25435354-646d-4f90-a923-d4d04749eaf7">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FB3913-FF2B-44AF-9B0F-40C5AD71303F}">
  <ds:schemaRefs>
    <ds:schemaRef ds:uri="http://schemas.microsoft.com/office/2006/metadata/longProperties"/>
  </ds:schemaRefs>
</ds:datastoreItem>
</file>

<file path=customXml/itemProps2.xml><?xml version="1.0" encoding="utf-8"?>
<ds:datastoreItem xmlns:ds="http://schemas.openxmlformats.org/officeDocument/2006/customXml" ds:itemID="{7F732591-0B2F-4D75-AE10-ED0A3C899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435354-646d-4f90-a923-d4d04749eaf7"/>
    <ds:schemaRef ds:uri="5d7b95ce-97cf-4a61-8884-fde260c16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67EF28-23BA-4A0B-BA39-CBD516DA4160}">
  <ds:schemaRefs>
    <ds:schemaRef ds:uri="http://schemas.microsoft.com/office/2006/metadata/properties"/>
    <ds:schemaRef ds:uri="http://schemas.microsoft.com/office/infopath/2007/PartnerControls"/>
    <ds:schemaRef ds:uri="5d7b95ce-97cf-4a61-8884-fde260c16070"/>
    <ds:schemaRef ds:uri="25435354-646d-4f90-a923-d4d04749eaf7"/>
  </ds:schemaRefs>
</ds:datastoreItem>
</file>

<file path=customXml/itemProps4.xml><?xml version="1.0" encoding="utf-8"?>
<ds:datastoreItem xmlns:ds="http://schemas.openxmlformats.org/officeDocument/2006/customXml" ds:itemID="{9BA07289-FBB4-4D07-B7D6-BB8BC48DF6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Pryse + Sensatiwiteitsanalise</vt:lpstr>
      <vt:lpstr>W-Roundup R mielies </vt:lpstr>
      <vt:lpstr>W-BT Mielies vermin till</vt:lpstr>
      <vt:lpstr>Mielie Vermin Bewerk</vt:lpstr>
      <vt:lpstr>Sojabone</vt:lpstr>
      <vt:lpstr>Sojabone verminderde bewerking</vt:lpstr>
      <vt:lpstr>Sojabone Vermin bewerk</vt:lpstr>
      <vt:lpstr>Graansorghum</vt:lpstr>
      <vt:lpstr>Bes-mielies</vt:lpstr>
      <vt:lpstr>Crop Comparison</vt:lpstr>
      <vt:lpstr>Grafieke</vt:lpstr>
      <vt:lpstr>'Mielie Vermin Bewerk'!Opbrengspeil</vt:lpstr>
      <vt:lpstr>Opbrengspeil</vt:lpstr>
      <vt:lpstr>'Bes-mielies'!Print_Area</vt:lpstr>
      <vt:lpstr>'Crop Comparison'!Print_Area</vt:lpstr>
      <vt:lpstr>Graansorghum!Print_Area</vt:lpstr>
      <vt:lpstr>'Mielie Vermin Bewerk'!Print_Area</vt:lpstr>
      <vt:lpstr>Sojabone!Print_Area</vt:lpstr>
      <vt:lpstr>'Sojabone Vermin bewerk'!Print_Area</vt:lpstr>
      <vt:lpstr>'Sojabone verminderde bewerking'!Print_Area</vt:lpstr>
      <vt:lpstr>'W-BT Mielies vermin till'!Print_Area</vt:lpstr>
      <vt:lpstr>'W-Roundup R mielies '!Print_Area</vt:lpstr>
      <vt:lpstr>'Sojabone Vermin bewerk'!Sojaopbrengspeil</vt:lpstr>
      <vt:lpstr>Sojaopbrengspeil</vt:lpstr>
      <vt:lpstr>Sojaverminopbrengspeil</vt:lpstr>
      <vt:lpstr>Sorgopbrengspeil</vt:lpstr>
      <vt:lpstr>Verminopbrengspeil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Private</dc:creator>
  <cp:lastModifiedBy>Marguerite Pienaar</cp:lastModifiedBy>
  <cp:lastPrinted>2018-08-16T09:17:40Z</cp:lastPrinted>
  <dcterms:created xsi:type="dcterms:W3CDTF">2007-01-09T12:07:13Z</dcterms:created>
  <dcterms:modified xsi:type="dcterms:W3CDTF">2025-09-30T11:11:10Z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Petru Fourie</vt:lpwstr>
  </property>
  <property fmtid="{D5CDD505-2E9C-101B-9397-08002B2CF9AE}" pid="3" name="Order">
    <vt:lpwstr>16553400.0000000</vt:lpwstr>
  </property>
  <property fmtid="{D5CDD505-2E9C-101B-9397-08002B2CF9AE}" pid="4" name="display_urn:schemas-microsoft-com:office:office#Author">
    <vt:lpwstr>Petru Fourie</vt:lpwstr>
  </property>
  <property fmtid="{D5CDD505-2E9C-101B-9397-08002B2CF9AE}" pid="5" name="MediaServiceImageTags">
    <vt:lpwstr/>
  </property>
  <property fmtid="{D5CDD505-2E9C-101B-9397-08002B2CF9AE}" pid="6" name="ContentTypeId">
    <vt:lpwstr>0x010100ED8EB078C1C8474F8AAD7AD9366D8E54</vt:lpwstr>
  </property>
</Properties>
</file>