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rainsa2019.sharepoint.com/sites/Bedryfsbediening/Shared Documents/Produksie/Produksie Begrotings/Somer gewas streke/Somer begrotings/2025-26/Jul/"/>
    </mc:Choice>
  </mc:AlternateContent>
  <xr:revisionPtr revIDLastSave="494" documentId="13_ncr:1_{5710D3D1-AB4C-42D0-B3A2-45F52ADA4962}" xr6:coauthVersionLast="47" xr6:coauthVersionMax="47" xr10:uidLastSave="{7AAE78D4-0635-42C4-9B7F-EB9B3DF162C6}"/>
  <bookViews>
    <workbookView xWindow="-108" yWindow="-108" windowWidth="23256" windowHeight="12456" tabRatio="919" activeTab="7" xr2:uid="{00000000-000D-0000-FFFF-FFFF00000000}"/>
  </bookViews>
  <sheets>
    <sheet name="Pryse + Sensatiwiteitsanalise" sheetId="38" r:id="rId1"/>
    <sheet name="W-Mielie " sheetId="2" r:id="rId2"/>
    <sheet name="W-BT Mielies" sheetId="22" r:id="rId3"/>
    <sheet name="Sonneblom" sheetId="20" r:id="rId4"/>
    <sheet name="Sojabone" sheetId="34" r:id="rId5"/>
    <sheet name="Bes-mielies" sheetId="10" r:id="rId6"/>
    <sheet name="Crop Comparison" sheetId="39" r:id="rId7"/>
    <sheet name="Grafieke" sheetId="40" r:id="rId8"/>
  </sheets>
  <externalReferences>
    <externalReference r:id="rId9"/>
    <externalReference r:id="rId10"/>
    <externalReference r:id="rId11"/>
    <externalReference r:id="rId12"/>
    <externalReference r:id="rId13"/>
  </externalReferences>
  <definedNames>
    <definedName name="BTopbrengspeil">'[1]W-BT Mielies'!$K$9:$K$14</definedName>
    <definedName name="Cultivar">[2]Seedprices!$A$3:$A$49</definedName>
    <definedName name="Obrengspeil">'W-BT Mielies'!$K$9:$K$14</definedName>
    <definedName name="Price80DP">[2]Seedprices!$B$3:$B$49</definedName>
    <definedName name="_xlnm.Print_Area" localSheetId="5">'Bes-mielies'!$A$1:$I$47</definedName>
    <definedName name="_xlnm.Print_Area" localSheetId="4">Sojabone!$A$1:$I$42</definedName>
    <definedName name="_xlnm.Print_Area" localSheetId="3">Sonneblom!$A$1:$I$42</definedName>
    <definedName name="_xlnm.Print_Area" localSheetId="2">'W-BT Mielies'!$A$1:$I$46</definedName>
    <definedName name="_xlnm.Print_Area" localSheetId="1">'W-Mielie '!$A$1:$I$46</definedName>
    <definedName name="RRLopbrengspeil">'[3]W-RR mielies Laer opbrengs '!$M$9:$M$14</definedName>
    <definedName name="Sojaopbrengspeil" localSheetId="7">[1]Sojabone!$K$9:$K$13</definedName>
    <definedName name="Sojaopbrengspeil">Sojabone!$K$9:$K$12</definedName>
    <definedName name="Sonopbrengspeil" localSheetId="7">[1]Sonneblom!$K$9:$K$13</definedName>
    <definedName name="Sonopbrengspeil">Sonneblom!$K$9:$K$13</definedName>
    <definedName name="Sorgopbrengspeil">[1]Graansorghum!$K$9:$K$13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5" i="39" l="1"/>
  <c r="B83" i="39"/>
  <c r="B82" i="39"/>
  <c r="C82" i="39"/>
  <c r="C21" i="39"/>
  <c r="C22" i="39"/>
  <c r="C23" i="39"/>
  <c r="C24" i="39"/>
  <c r="C25" i="39"/>
  <c r="C26" i="39"/>
  <c r="C27" i="39"/>
  <c r="C20" i="39"/>
  <c r="C18" i="39"/>
  <c r="C12" i="39"/>
  <c r="C13" i="39"/>
  <c r="C14" i="39"/>
  <c r="C15" i="39"/>
  <c r="C16" i="39"/>
  <c r="C11" i="39"/>
  <c r="C4" i="39"/>
  <c r="B30" i="39"/>
  <c r="B21" i="39"/>
  <c r="B22" i="39"/>
  <c r="B23" i="39"/>
  <c r="B24" i="39"/>
  <c r="B25" i="39"/>
  <c r="B26" i="39"/>
  <c r="B27" i="39"/>
  <c r="B20" i="39"/>
  <c r="B18" i="39"/>
  <c r="B12" i="39"/>
  <c r="B13" i="39"/>
  <c r="B14" i="39"/>
  <c r="B15" i="39"/>
  <c r="B16" i="39"/>
  <c r="B17" i="39"/>
  <c r="B11" i="39"/>
  <c r="B4" i="39"/>
  <c r="E16" i="39"/>
  <c r="D16" i="39"/>
  <c r="D15" i="39"/>
  <c r="E15" i="39"/>
  <c r="E29" i="38"/>
  <c r="D30" i="39"/>
  <c r="B21" i="40" s="1"/>
  <c r="D4" i="39"/>
  <c r="B55" i="40"/>
  <c r="B57" i="40"/>
  <c r="F59" i="40" s="1"/>
  <c r="B56" i="40"/>
  <c r="B59" i="40"/>
  <c r="B25" i="38" l="1"/>
  <c r="F54" i="40"/>
  <c r="C55" i="40"/>
  <c r="C56" i="40"/>
  <c r="C57" i="40"/>
  <c r="C59" i="40" l="1"/>
  <c r="F56" i="40" s="1"/>
  <c r="F27" i="39" l="1"/>
  <c r="F22" i="39"/>
  <c r="F20" i="39"/>
  <c r="F18" i="39"/>
  <c r="F17" i="39"/>
  <c r="F16" i="39"/>
  <c r="F15" i="39"/>
  <c r="F14" i="39"/>
  <c r="F13" i="39"/>
  <c r="F12" i="39"/>
  <c r="F11" i="39"/>
  <c r="F4" i="39"/>
  <c r="D27" i="39"/>
  <c r="D22" i="39"/>
  <c r="D20" i="39"/>
  <c r="D18" i="39"/>
  <c r="D14" i="39"/>
  <c r="D13" i="39"/>
  <c r="D12" i="39"/>
  <c r="D11" i="39"/>
  <c r="D28" i="39" l="1"/>
  <c r="D25" i="2"/>
  <c r="E27" i="39"/>
  <c r="D32" i="39" l="1"/>
  <c r="B20" i="40"/>
  <c r="B24" i="38"/>
  <c r="B38" i="38"/>
  <c r="F26" i="39" l="1"/>
  <c r="F25" i="39"/>
  <c r="F24" i="39"/>
  <c r="F21" i="39"/>
  <c r="F25" i="34"/>
  <c r="F26" i="34" s="1"/>
  <c r="G25" i="34"/>
  <c r="G26" i="34" s="1"/>
  <c r="D25" i="34"/>
  <c r="E25" i="34"/>
  <c r="M9" i="22"/>
  <c r="D25" i="22"/>
  <c r="D33" i="2"/>
  <c r="E33" i="2" s="1"/>
  <c r="I25" i="2"/>
  <c r="E30" i="39"/>
  <c r="B38" i="40" s="1"/>
  <c r="F19" i="39"/>
  <c r="F23" i="39"/>
  <c r="F61" i="39"/>
  <c r="E12" i="39"/>
  <c r="E13" i="39"/>
  <c r="E14" i="39"/>
  <c r="C17" i="39"/>
  <c r="E18" i="39"/>
  <c r="E20" i="39"/>
  <c r="E21" i="39"/>
  <c r="E22" i="39"/>
  <c r="E23" i="39"/>
  <c r="E24" i="39"/>
  <c r="E25" i="39"/>
  <c r="E26" i="39"/>
  <c r="E11" i="39"/>
  <c r="E4" i="39"/>
  <c r="E61" i="39" s="1"/>
  <c r="D61" i="39"/>
  <c r="C61" i="39"/>
  <c r="B61" i="39"/>
  <c r="E6" i="39"/>
  <c r="E5" i="39"/>
  <c r="E60" i="39" s="1"/>
  <c r="D6" i="39"/>
  <c r="D5" i="39"/>
  <c r="B6" i="39"/>
  <c r="B5" i="39"/>
  <c r="F2" i="39"/>
  <c r="F59" i="39" s="1"/>
  <c r="E2" i="39"/>
  <c r="E59" i="39" s="1"/>
  <c r="D2" i="39"/>
  <c r="D59" i="39" s="1"/>
  <c r="C2" i="39"/>
  <c r="C59" i="39" s="1"/>
  <c r="B2" i="39"/>
  <c r="B59" i="39" s="1"/>
  <c r="M10" i="34"/>
  <c r="L13" i="34"/>
  <c r="K13" i="34"/>
  <c r="K12" i="34"/>
  <c r="K11" i="34"/>
  <c r="K10" i="34"/>
  <c r="M9" i="34"/>
  <c r="K9" i="34"/>
  <c r="L14" i="20"/>
  <c r="K14" i="20"/>
  <c r="K13" i="20"/>
  <c r="K12" i="20"/>
  <c r="K11" i="20"/>
  <c r="K10" i="20"/>
  <c r="K9" i="20"/>
  <c r="K14" i="22"/>
  <c r="K13" i="22"/>
  <c r="K12" i="22"/>
  <c r="K11" i="22"/>
  <c r="K10" i="22"/>
  <c r="K9" i="22"/>
  <c r="D33" i="34"/>
  <c r="F33" i="34" s="1"/>
  <c r="D36" i="34"/>
  <c r="F36" i="34" s="1"/>
  <c r="D36" i="20"/>
  <c r="E36" i="20" s="1"/>
  <c r="D33" i="20"/>
  <c r="G33" i="20" s="1"/>
  <c r="E25" i="20"/>
  <c r="F25" i="20"/>
  <c r="L11" i="20" s="1"/>
  <c r="G25" i="20"/>
  <c r="L12" i="20" s="1"/>
  <c r="H25" i="20"/>
  <c r="D25" i="20"/>
  <c r="E25" i="22"/>
  <c r="F25" i="22"/>
  <c r="G25" i="22"/>
  <c r="L12" i="22" s="1"/>
  <c r="H25" i="22"/>
  <c r="I25" i="22"/>
  <c r="L14" i="22" s="1"/>
  <c r="D36" i="22"/>
  <c r="I36" i="22" s="1"/>
  <c r="D33" i="22"/>
  <c r="F33" i="22" s="1"/>
  <c r="D36" i="2"/>
  <c r="G36" i="2" s="1"/>
  <c r="E25" i="2"/>
  <c r="F25" i="2"/>
  <c r="G25" i="2"/>
  <c r="H25" i="2"/>
  <c r="D37" i="10"/>
  <c r="E37" i="10" s="1"/>
  <c r="D34" i="10"/>
  <c r="E26" i="10"/>
  <c r="F26" i="10"/>
  <c r="D26" i="10"/>
  <c r="B44" i="38"/>
  <c r="B43" i="38"/>
  <c r="J38" i="38" s="1"/>
  <c r="B41" i="38"/>
  <c r="E42" i="38" s="1"/>
  <c r="B31" i="38"/>
  <c r="B18" i="38"/>
  <c r="B30" i="38"/>
  <c r="J25" i="38" s="1"/>
  <c r="B17" i="38"/>
  <c r="E16" i="38"/>
  <c r="E15" i="38" s="1"/>
  <c r="E14" i="38" s="1"/>
  <c r="Q16" i="38"/>
  <c r="Q17" i="38" s="1"/>
  <c r="Q18" i="38" s="1"/>
  <c r="Q29" i="38"/>
  <c r="Q28" i="38" s="1"/>
  <c r="Q27" i="38" s="1"/>
  <c r="M13" i="34"/>
  <c r="M14" i="20"/>
  <c r="E17" i="38"/>
  <c r="E18" i="38"/>
  <c r="F33" i="2"/>
  <c r="L10" i="34" l="1"/>
  <c r="E26" i="34"/>
  <c r="L9" i="34"/>
  <c r="D26" i="34"/>
  <c r="J39" i="38"/>
  <c r="H33" i="2"/>
  <c r="G33" i="2"/>
  <c r="B19" i="38"/>
  <c r="E3" i="2" s="1"/>
  <c r="H6" i="2" s="1"/>
  <c r="D60" i="39"/>
  <c r="D7" i="39"/>
  <c r="D8" i="39" s="1"/>
  <c r="E28" i="38"/>
  <c r="E27" i="38" s="1"/>
  <c r="E28" i="39"/>
  <c r="C5" i="39"/>
  <c r="C60" i="39" s="1"/>
  <c r="B7" i="39"/>
  <c r="B8" i="39" s="1"/>
  <c r="L11" i="34"/>
  <c r="B37" i="38"/>
  <c r="L13" i="20"/>
  <c r="J12" i="38"/>
  <c r="I12" i="38" s="1"/>
  <c r="H12" i="38" s="1"/>
  <c r="G12" i="38" s="1"/>
  <c r="E36" i="34"/>
  <c r="H36" i="20"/>
  <c r="G36" i="20"/>
  <c r="I33" i="2"/>
  <c r="D29" i="34"/>
  <c r="D31" i="34" s="1"/>
  <c r="D35" i="34" s="1"/>
  <c r="M10" i="20"/>
  <c r="E29" i="20"/>
  <c r="E31" i="20" s="1"/>
  <c r="M9" i="20"/>
  <c r="D29" i="20"/>
  <c r="D31" i="20" s="1"/>
  <c r="D35" i="20" s="1"/>
  <c r="E33" i="20"/>
  <c r="H33" i="20"/>
  <c r="F33" i="20"/>
  <c r="F36" i="20"/>
  <c r="D68" i="39"/>
  <c r="E29" i="22"/>
  <c r="E31" i="22" s="1"/>
  <c r="C30" i="39"/>
  <c r="D29" i="22"/>
  <c r="D31" i="22" s="1"/>
  <c r="D35" i="22" s="1"/>
  <c r="L10" i="22"/>
  <c r="F29" i="2"/>
  <c r="F31" i="2" s="1"/>
  <c r="F35" i="2" s="1"/>
  <c r="F28" i="39"/>
  <c r="L9" i="20"/>
  <c r="G33" i="34"/>
  <c r="E33" i="34"/>
  <c r="B45" i="38"/>
  <c r="E3" i="34" s="1"/>
  <c r="G6" i="34" s="1"/>
  <c r="G36" i="34"/>
  <c r="B60" i="39"/>
  <c r="F5" i="39"/>
  <c r="F60" i="39" s="1"/>
  <c r="F37" i="10"/>
  <c r="G36" i="22"/>
  <c r="L9" i="22"/>
  <c r="F36" i="22"/>
  <c r="H36" i="22"/>
  <c r="E36" i="2"/>
  <c r="C6" i="39"/>
  <c r="E41" i="38"/>
  <c r="E40" i="38" s="1"/>
  <c r="E43" i="38"/>
  <c r="E44" i="38" s="1"/>
  <c r="Q42" i="38"/>
  <c r="F34" i="10"/>
  <c r="E34" i="10"/>
  <c r="I33" i="22"/>
  <c r="G33" i="22"/>
  <c r="E33" i="22"/>
  <c r="B32" i="38"/>
  <c r="E3" i="20" s="1"/>
  <c r="E29" i="34"/>
  <c r="E31" i="34" s="1"/>
  <c r="H33" i="22"/>
  <c r="Q30" i="38"/>
  <c r="Q31" i="38" s="1"/>
  <c r="E7" i="39"/>
  <c r="E8" i="39" s="1"/>
  <c r="B39" i="40" s="1"/>
  <c r="L11" i="22"/>
  <c r="L13" i="22"/>
  <c r="L10" i="20"/>
  <c r="V38" i="38"/>
  <c r="I38" i="38"/>
  <c r="K38" i="38"/>
  <c r="L12" i="34"/>
  <c r="F6" i="39"/>
  <c r="H36" i="2"/>
  <c r="E30" i="38"/>
  <c r="E31" i="38" s="1"/>
  <c r="Q15" i="38"/>
  <c r="Q14" i="38" s="1"/>
  <c r="E36" i="22"/>
  <c r="F36" i="2"/>
  <c r="I36" i="2"/>
  <c r="M11" i="20"/>
  <c r="E3" i="22" l="1"/>
  <c r="D6" i="22" s="1"/>
  <c r="D38" i="22" s="1"/>
  <c r="E3" i="10"/>
  <c r="F6" i="10" s="1"/>
  <c r="F39" i="10" s="1"/>
  <c r="E32" i="39"/>
  <c r="E71" i="39" s="1"/>
  <c r="E72" i="39" s="1"/>
  <c r="E86" i="39" s="1"/>
  <c r="B37" i="40"/>
  <c r="B41" i="40" s="1"/>
  <c r="C39" i="40" s="1"/>
  <c r="J26" i="34"/>
  <c r="B4" i="40"/>
  <c r="B12" i="38"/>
  <c r="D34" i="39"/>
  <c r="D75" i="39" s="1"/>
  <c r="D76" i="39" s="1"/>
  <c r="D35" i="39"/>
  <c r="B22" i="40"/>
  <c r="H13" i="38"/>
  <c r="E68" i="39"/>
  <c r="E69" i="39" s="1"/>
  <c r="E83" i="39" s="1"/>
  <c r="C7" i="39"/>
  <c r="C8" i="39" s="1"/>
  <c r="B5" i="40" s="1"/>
  <c r="C28" i="39"/>
  <c r="B3" i="40" s="1"/>
  <c r="D6" i="2"/>
  <c r="D38" i="2" s="1"/>
  <c r="E35" i="20"/>
  <c r="I13" i="38"/>
  <c r="K12" i="38"/>
  <c r="L12" i="38" s="1"/>
  <c r="J13" i="38"/>
  <c r="V12" i="38"/>
  <c r="U12" i="38" s="1"/>
  <c r="F68" i="39"/>
  <c r="F69" i="39" s="1"/>
  <c r="F83" i="39" s="1"/>
  <c r="D69" i="39"/>
  <c r="D83" i="39" s="1"/>
  <c r="E35" i="34"/>
  <c r="F29" i="20"/>
  <c r="F31" i="20" s="1"/>
  <c r="F35" i="20" s="1"/>
  <c r="E35" i="22"/>
  <c r="M10" i="22"/>
  <c r="G29" i="2"/>
  <c r="G31" i="2" s="1"/>
  <c r="G35" i="2" s="1"/>
  <c r="E29" i="2"/>
  <c r="E31" i="2" s="1"/>
  <c r="E35" i="2" s="1"/>
  <c r="B28" i="39"/>
  <c r="G6" i="10"/>
  <c r="F7" i="39"/>
  <c r="F8" i="39" s="1"/>
  <c r="F6" i="2"/>
  <c r="F38" i="2" s="1"/>
  <c r="I6" i="22"/>
  <c r="I38" i="22" s="1"/>
  <c r="F6" i="34"/>
  <c r="F38" i="34" s="1"/>
  <c r="E6" i="34"/>
  <c r="E39" i="34" s="1"/>
  <c r="H6" i="34"/>
  <c r="D6" i="34"/>
  <c r="D38" i="34" s="1"/>
  <c r="I6" i="34"/>
  <c r="E6" i="2"/>
  <c r="D64" i="39"/>
  <c r="D82" i="39" s="1"/>
  <c r="I6" i="2"/>
  <c r="I38" i="2" s="1"/>
  <c r="G6" i="2"/>
  <c r="G38" i="2" s="1"/>
  <c r="H38" i="2"/>
  <c r="G38" i="34"/>
  <c r="C64" i="39"/>
  <c r="I25" i="38"/>
  <c r="K25" i="38"/>
  <c r="J26" i="38"/>
  <c r="V25" i="38"/>
  <c r="B64" i="39"/>
  <c r="B65" i="39" s="1"/>
  <c r="D6" i="20"/>
  <c r="H6" i="20"/>
  <c r="E6" i="20"/>
  <c r="I6" i="20"/>
  <c r="F6" i="20"/>
  <c r="G6" i="20"/>
  <c r="I29" i="2"/>
  <c r="H29" i="2"/>
  <c r="H31" i="2" s="1"/>
  <c r="H35" i="2" s="1"/>
  <c r="F12" i="38"/>
  <c r="F13" i="38" s="1"/>
  <c r="G13" i="38"/>
  <c r="H38" i="38"/>
  <c r="I39" i="38"/>
  <c r="E64" i="39"/>
  <c r="V39" i="38"/>
  <c r="W38" i="38"/>
  <c r="U38" i="38"/>
  <c r="K39" i="38"/>
  <c r="L38" i="38"/>
  <c r="Q43" i="38"/>
  <c r="Q44" i="38" s="1"/>
  <c r="Q41" i="38"/>
  <c r="Q40" i="38" s="1"/>
  <c r="M11" i="22"/>
  <c r="M11" i="34"/>
  <c r="B39" i="38" s="1"/>
  <c r="F29" i="34"/>
  <c r="F31" i="34" s="1"/>
  <c r="F35" i="34" s="1"/>
  <c r="F6" i="22" l="1"/>
  <c r="F38" i="22" s="1"/>
  <c r="H6" i="22"/>
  <c r="H38" i="22" s="1"/>
  <c r="I6" i="10"/>
  <c r="D6" i="10"/>
  <c r="D39" i="10" s="1"/>
  <c r="G6" i="22"/>
  <c r="G38" i="22" s="1"/>
  <c r="H6" i="10"/>
  <c r="D39" i="22"/>
  <c r="E6" i="22"/>
  <c r="E38" i="22" s="1"/>
  <c r="E6" i="10"/>
  <c r="E39" i="10" s="1"/>
  <c r="F41" i="40"/>
  <c r="F36" i="40" s="1"/>
  <c r="E65" i="39"/>
  <c r="E82" i="39"/>
  <c r="C38" i="40"/>
  <c r="C37" i="40"/>
  <c r="B24" i="40"/>
  <c r="F24" i="40"/>
  <c r="B7" i="40"/>
  <c r="C5" i="40" s="1"/>
  <c r="F7" i="40"/>
  <c r="C65" i="39"/>
  <c r="D71" i="39"/>
  <c r="D72" i="39" s="1"/>
  <c r="D86" i="39" s="1"/>
  <c r="D78" i="39"/>
  <c r="D79" i="39" s="1"/>
  <c r="C68" i="39"/>
  <c r="C69" i="39" s="1"/>
  <c r="C83" i="39" s="1"/>
  <c r="B11" i="38"/>
  <c r="W12" i="38"/>
  <c r="W13" i="38" s="1"/>
  <c r="F64" i="39"/>
  <c r="F65" i="39" s="1"/>
  <c r="F34" i="39"/>
  <c r="F75" i="39" s="1"/>
  <c r="F76" i="39" s="1"/>
  <c r="C32" i="39"/>
  <c r="C71" i="39" s="1"/>
  <c r="C72" i="39" s="1"/>
  <c r="C86" i="39" s="1"/>
  <c r="V13" i="38"/>
  <c r="K13" i="38"/>
  <c r="F82" i="39"/>
  <c r="E39" i="2"/>
  <c r="D39" i="34"/>
  <c r="E38" i="34"/>
  <c r="M12" i="20"/>
  <c r="G29" i="20"/>
  <c r="G31" i="20" s="1"/>
  <c r="G35" i="20" s="1"/>
  <c r="F29" i="22"/>
  <c r="B68" i="39"/>
  <c r="F39" i="2"/>
  <c r="G39" i="2"/>
  <c r="E38" i="2"/>
  <c r="D65" i="39"/>
  <c r="L13" i="38"/>
  <c r="M12" i="38"/>
  <c r="H39" i="2"/>
  <c r="G38" i="20"/>
  <c r="F39" i="20"/>
  <c r="F38" i="20"/>
  <c r="H38" i="20"/>
  <c r="I31" i="2"/>
  <c r="I35" i="2" s="1"/>
  <c r="I39" i="2"/>
  <c r="F39" i="34"/>
  <c r="D39" i="20"/>
  <c r="D38" i="20"/>
  <c r="E39" i="20"/>
  <c r="E38" i="20"/>
  <c r="V43" i="38"/>
  <c r="V42" i="38"/>
  <c r="V44" i="38"/>
  <c r="V41" i="38"/>
  <c r="V40" i="38"/>
  <c r="L25" i="38"/>
  <c r="K26" i="38"/>
  <c r="K44" i="38"/>
  <c r="K42" i="38"/>
  <c r="K41" i="38"/>
  <c r="K40" i="38"/>
  <c r="K43" i="38"/>
  <c r="E34" i="39"/>
  <c r="E75" i="39" s="1"/>
  <c r="E76" i="39" s="1"/>
  <c r="E35" i="39"/>
  <c r="E78" i="39" s="1"/>
  <c r="E79" i="39" s="1"/>
  <c r="I26" i="38"/>
  <c r="H25" i="38"/>
  <c r="U13" i="38"/>
  <c r="T12" i="38"/>
  <c r="I43" i="38"/>
  <c r="I44" i="38"/>
  <c r="I42" i="38"/>
  <c r="I40" i="38"/>
  <c r="I41" i="38"/>
  <c r="G38" i="38"/>
  <c r="H39" i="38"/>
  <c r="C34" i="39"/>
  <c r="C75" i="39" s="1"/>
  <c r="C76" i="39" s="1"/>
  <c r="J43" i="38"/>
  <c r="J41" i="38"/>
  <c r="J44" i="38"/>
  <c r="J40" i="38"/>
  <c r="J42" i="38"/>
  <c r="U25" i="38"/>
  <c r="W25" i="38"/>
  <c r="V26" i="38"/>
  <c r="M12" i="34"/>
  <c r="G29" i="34"/>
  <c r="U39" i="38"/>
  <c r="T38" i="38"/>
  <c r="B34" i="39"/>
  <c r="B75" i="39" s="1"/>
  <c r="B76" i="39" s="1"/>
  <c r="M38" i="38"/>
  <c r="L39" i="38"/>
  <c r="X38" i="38"/>
  <c r="W39" i="38"/>
  <c r="E85" i="39"/>
  <c r="E39" i="22" l="1"/>
  <c r="C41" i="40"/>
  <c r="F38" i="40" s="1"/>
  <c r="D85" i="39"/>
  <c r="F2" i="40"/>
  <c r="C22" i="40"/>
  <c r="C20" i="40"/>
  <c r="C21" i="40"/>
  <c r="F19" i="40"/>
  <c r="C4" i="40"/>
  <c r="C3" i="40"/>
  <c r="V15" i="38"/>
  <c r="X12" i="38"/>
  <c r="Y12" i="38" s="1"/>
  <c r="V14" i="38"/>
  <c r="V16" i="38"/>
  <c r="V18" i="38"/>
  <c r="C85" i="39"/>
  <c r="C35" i="39"/>
  <c r="C78" i="39" s="1"/>
  <c r="C79" i="39" s="1"/>
  <c r="V17" i="38"/>
  <c r="B69" i="39"/>
  <c r="G39" i="20"/>
  <c r="H29" i="20"/>
  <c r="M13" i="20"/>
  <c r="B26" i="38" s="1"/>
  <c r="I28" i="38" s="1"/>
  <c r="G29" i="22"/>
  <c r="G31" i="22" s="1"/>
  <c r="G35" i="22" s="1"/>
  <c r="F31" i="22"/>
  <c r="F35" i="22" s="1"/>
  <c r="F39" i="22"/>
  <c r="M12" i="22"/>
  <c r="B13" i="38" s="1"/>
  <c r="F16" i="38" s="1"/>
  <c r="M13" i="38"/>
  <c r="N12" i="38"/>
  <c r="N13" i="38" s="1"/>
  <c r="G31" i="34"/>
  <c r="G35" i="34" s="1"/>
  <c r="G39" i="34"/>
  <c r="M13" i="22"/>
  <c r="H29" i="22"/>
  <c r="S38" i="38"/>
  <c r="T39" i="38"/>
  <c r="L40" i="38"/>
  <c r="L42" i="38"/>
  <c r="L44" i="38"/>
  <c r="L41" i="38"/>
  <c r="L43" i="38"/>
  <c r="M39" i="38"/>
  <c r="N38" i="38"/>
  <c r="N39" i="38" s="1"/>
  <c r="H42" i="38"/>
  <c r="H44" i="38"/>
  <c r="H41" i="38"/>
  <c r="H40" i="38"/>
  <c r="H43" i="38"/>
  <c r="U42" i="38"/>
  <c r="U41" i="38"/>
  <c r="U43" i="38"/>
  <c r="U44" i="38"/>
  <c r="U40" i="38"/>
  <c r="X13" i="38"/>
  <c r="U17" i="38"/>
  <c r="U18" i="38"/>
  <c r="U16" i="38"/>
  <c r="U15" i="38"/>
  <c r="U14" i="38"/>
  <c r="G39" i="38"/>
  <c r="F38" i="38"/>
  <c r="F39" i="38" s="1"/>
  <c r="W14" i="38"/>
  <c r="W17" i="38"/>
  <c r="W18" i="38"/>
  <c r="W15" i="38"/>
  <c r="W16" i="38"/>
  <c r="S12" i="38"/>
  <c r="T13" i="38"/>
  <c r="W42" i="38"/>
  <c r="W44" i="38"/>
  <c r="W40" i="38"/>
  <c r="W43" i="38"/>
  <c r="W41" i="38"/>
  <c r="H26" i="38"/>
  <c r="G25" i="38"/>
  <c r="W26" i="38"/>
  <c r="X25" i="38"/>
  <c r="M25" i="38"/>
  <c r="L26" i="38"/>
  <c r="U26" i="38"/>
  <c r="T25" i="38"/>
  <c r="Y38" i="38"/>
  <c r="X39" i="38"/>
  <c r="V29" i="38"/>
  <c r="V30" i="38"/>
  <c r="V28" i="38"/>
  <c r="V31" i="38"/>
  <c r="V27" i="38"/>
  <c r="C7" i="40" l="1"/>
  <c r="F4" i="40" s="1"/>
  <c r="C24" i="40"/>
  <c r="F21" i="40" s="1"/>
  <c r="G39" i="22"/>
  <c r="J28" i="38"/>
  <c r="J31" i="38"/>
  <c r="J30" i="38"/>
  <c r="J29" i="38"/>
  <c r="J27" i="38"/>
  <c r="I31" i="38"/>
  <c r="K31" i="38"/>
  <c r="K27" i="38"/>
  <c r="H31" i="20"/>
  <c r="H35" i="20" s="1"/>
  <c r="H39" i="20"/>
  <c r="K30" i="38"/>
  <c r="I30" i="38"/>
  <c r="I27" i="38"/>
  <c r="I29" i="38"/>
  <c r="K28" i="38"/>
  <c r="K29" i="38"/>
  <c r="K14" i="38"/>
  <c r="I15" i="38"/>
  <c r="H14" i="38"/>
  <c r="H17" i="38"/>
  <c r="K18" i="38"/>
  <c r="M17" i="38"/>
  <c r="I17" i="38"/>
  <c r="K16" i="38"/>
  <c r="L18" i="38"/>
  <c r="J14" i="38"/>
  <c r="F18" i="38"/>
  <c r="L15" i="38"/>
  <c r="J15" i="38"/>
  <c r="G15" i="38"/>
  <c r="K15" i="38"/>
  <c r="J18" i="38"/>
  <c r="L16" i="38"/>
  <c r="J17" i="38"/>
  <c r="H16" i="38"/>
  <c r="I16" i="38"/>
  <c r="J16" i="38"/>
  <c r="N18" i="38"/>
  <c r="G16" i="38"/>
  <c r="N16" i="38"/>
  <c r="I18" i="38"/>
  <c r="F17" i="38"/>
  <c r="F15" i="38"/>
  <c r="H18" i="38"/>
  <c r="L17" i="38"/>
  <c r="F14" i="38"/>
  <c r="G17" i="38"/>
  <c r="H15" i="38"/>
  <c r="I14" i="38"/>
  <c r="G18" i="38"/>
  <c r="K17" i="38"/>
  <c r="L14" i="38"/>
  <c r="G14" i="38"/>
  <c r="N14" i="38"/>
  <c r="N15" i="38"/>
  <c r="M18" i="38"/>
  <c r="M15" i="38"/>
  <c r="M16" i="38"/>
  <c r="M14" i="38"/>
  <c r="N17" i="38"/>
  <c r="H31" i="22"/>
  <c r="H35" i="22" s="1"/>
  <c r="H39" i="22"/>
  <c r="N41" i="38"/>
  <c r="N44" i="38"/>
  <c r="N42" i="38"/>
  <c r="N43" i="38"/>
  <c r="N40" i="38"/>
  <c r="Y25" i="38"/>
  <c r="X26" i="38"/>
  <c r="M41" i="38"/>
  <c r="M40" i="38"/>
  <c r="M44" i="38"/>
  <c r="M42" i="38"/>
  <c r="M43" i="38"/>
  <c r="X40" i="38"/>
  <c r="X44" i="38"/>
  <c r="X41" i="38"/>
  <c r="X43" i="38"/>
  <c r="X42" i="38"/>
  <c r="W28" i="38"/>
  <c r="W27" i="38"/>
  <c r="W29" i="38"/>
  <c r="W31" i="38"/>
  <c r="W30" i="38"/>
  <c r="F42" i="38"/>
  <c r="F41" i="38"/>
  <c r="F40" i="38"/>
  <c r="F44" i="38"/>
  <c r="F43" i="38"/>
  <c r="T44" i="38"/>
  <c r="T42" i="38"/>
  <c r="T41" i="38"/>
  <c r="T40" i="38"/>
  <c r="T43" i="38"/>
  <c r="L30" i="38"/>
  <c r="L31" i="38"/>
  <c r="L27" i="38"/>
  <c r="L29" i="38"/>
  <c r="L28" i="38"/>
  <c r="F25" i="38"/>
  <c r="F26" i="38" s="1"/>
  <c r="G26" i="38"/>
  <c r="S13" i="38"/>
  <c r="R12" i="38"/>
  <c r="R13" i="38" s="1"/>
  <c r="X15" i="38"/>
  <c r="X16" i="38"/>
  <c r="X14" i="38"/>
  <c r="X18" i="38"/>
  <c r="X17" i="38"/>
  <c r="T17" i="38"/>
  <c r="T14" i="38"/>
  <c r="T15" i="38"/>
  <c r="T16" i="38"/>
  <c r="T18" i="38"/>
  <c r="H27" i="38"/>
  <c r="H29" i="38"/>
  <c r="H28" i="38"/>
  <c r="H31" i="38"/>
  <c r="H30" i="38"/>
  <c r="T26" i="38"/>
  <c r="S25" i="38"/>
  <c r="Y13" i="38"/>
  <c r="Z12" i="38"/>
  <c r="Z13" i="38" s="1"/>
  <c r="I29" i="22"/>
  <c r="M14" i="22"/>
  <c r="M26" i="38"/>
  <c r="N25" i="38"/>
  <c r="N26" i="38" s="1"/>
  <c r="Y39" i="38"/>
  <c r="Z38" i="38"/>
  <c r="Z39" i="38" s="1"/>
  <c r="G43" i="38"/>
  <c r="G41" i="38"/>
  <c r="G44" i="38"/>
  <c r="G40" i="38"/>
  <c r="G42" i="38"/>
  <c r="R38" i="38"/>
  <c r="R39" i="38" s="1"/>
  <c r="S39" i="38"/>
  <c r="U31" i="38"/>
  <c r="U28" i="38"/>
  <c r="U30" i="38"/>
  <c r="U27" i="38"/>
  <c r="U29" i="38"/>
  <c r="I31" i="22" l="1"/>
  <c r="I35" i="22" s="1"/>
  <c r="I39" i="22"/>
  <c r="N30" i="38"/>
  <c r="N28" i="38"/>
  <c r="N27" i="38"/>
  <c r="N29" i="38"/>
  <c r="N31" i="38"/>
  <c r="F28" i="38"/>
  <c r="F27" i="38"/>
  <c r="F29" i="38"/>
  <c r="F31" i="38"/>
  <c r="F30" i="38"/>
  <c r="Y26" i="38"/>
  <c r="Z25" i="38"/>
  <c r="Z26" i="38" s="1"/>
  <c r="R41" i="38"/>
  <c r="R44" i="38"/>
  <c r="R42" i="38"/>
  <c r="R40" i="38"/>
  <c r="R43" i="38"/>
  <c r="G27" i="38"/>
  <c r="G30" i="38"/>
  <c r="G29" i="38"/>
  <c r="G28" i="38"/>
  <c r="G31" i="38"/>
  <c r="X27" i="38"/>
  <c r="X31" i="38"/>
  <c r="X28" i="38"/>
  <c r="X30" i="38"/>
  <c r="X29" i="38"/>
  <c r="Y15" i="38"/>
  <c r="Y17" i="38"/>
  <c r="Y16" i="38"/>
  <c r="Y14" i="38"/>
  <c r="Y18" i="38"/>
  <c r="M28" i="38"/>
  <c r="M31" i="38"/>
  <c r="M27" i="38"/>
  <c r="M30" i="38"/>
  <c r="M29" i="38"/>
  <c r="Z16" i="38"/>
  <c r="Z18" i="38"/>
  <c r="Z17" i="38"/>
  <c r="Z14" i="38"/>
  <c r="Z15" i="38"/>
  <c r="Z44" i="38"/>
  <c r="Z43" i="38"/>
  <c r="Z41" i="38"/>
  <c r="Z42" i="38"/>
  <c r="Z40" i="38"/>
  <c r="S26" i="38"/>
  <c r="R25" i="38"/>
  <c r="R26" i="38" s="1"/>
  <c r="S18" i="38"/>
  <c r="S14" i="38"/>
  <c r="S15" i="38"/>
  <c r="S17" i="38"/>
  <c r="S16" i="38"/>
  <c r="S40" i="38"/>
  <c r="S43" i="38"/>
  <c r="S44" i="38"/>
  <c r="S41" i="38"/>
  <c r="S42" i="38"/>
  <c r="Y42" i="38"/>
  <c r="Y44" i="38"/>
  <c r="Y41" i="38"/>
  <c r="Y40" i="38"/>
  <c r="Y43" i="38"/>
  <c r="T30" i="38"/>
  <c r="T28" i="38"/>
  <c r="T29" i="38"/>
  <c r="T31" i="38"/>
  <c r="T27" i="38"/>
  <c r="R14" i="38"/>
  <c r="R15" i="38"/>
  <c r="R18" i="38"/>
  <c r="R17" i="38"/>
  <c r="R16" i="38"/>
  <c r="Z30" i="38" l="1"/>
  <c r="Z29" i="38"/>
  <c r="Z27" i="38"/>
  <c r="Z28" i="38"/>
  <c r="Z31" i="38"/>
  <c r="Y27" i="38"/>
  <c r="Y28" i="38"/>
  <c r="Y30" i="38"/>
  <c r="Y29" i="38"/>
  <c r="Y31" i="38"/>
  <c r="S31" i="38"/>
  <c r="S28" i="38"/>
  <c r="S27" i="38"/>
  <c r="S30" i="38"/>
  <c r="S29" i="38"/>
  <c r="R27" i="38"/>
  <c r="R29" i="38"/>
  <c r="R31" i="38"/>
  <c r="R28" i="38"/>
  <c r="R30" i="38"/>
  <c r="D29" i="2" l="1"/>
  <c r="B32" i="39"/>
  <c r="D30" i="10"/>
  <c r="F30" i="39"/>
  <c r="F32" i="39" s="1"/>
  <c r="D40" i="10" l="1"/>
  <c r="D32" i="10"/>
  <c r="D36" i="10" s="1"/>
  <c r="B71" i="39"/>
  <c r="B35" i="39"/>
  <c r="B78" i="39" s="1"/>
  <c r="B79" i="39" s="1"/>
  <c r="F71" i="39"/>
  <c r="F35" i="39"/>
  <c r="F78" i="39" s="1"/>
  <c r="F79" i="39" s="1"/>
  <c r="F30" i="10"/>
  <c r="E30" i="10"/>
  <c r="D39" i="2"/>
  <c r="D31" i="2"/>
  <c r="D35" i="2" s="1"/>
  <c r="F85" i="39" l="1"/>
  <c r="F72" i="39"/>
  <c r="F86" i="39" s="1"/>
  <c r="E32" i="10"/>
  <c r="E36" i="10" s="1"/>
  <c r="E40" i="10"/>
  <c r="B72" i="39"/>
  <c r="B86" i="39" s="1"/>
  <c r="F32" i="10"/>
  <c r="F36" i="10" s="1"/>
  <c r="F40" i="10"/>
</calcChain>
</file>

<file path=xl/sharedStrings.xml><?xml version="1.0" encoding="utf-8"?>
<sst xmlns="http://schemas.openxmlformats.org/spreadsheetml/2006/main" count="356" uniqueCount="129">
  <si>
    <t>Rand/ton</t>
  </si>
  <si>
    <t>Gewas</t>
  </si>
  <si>
    <t>SAFEX pryse (R/ton)</t>
  </si>
  <si>
    <t>Lopendekoste / Variable cost (R/ha)</t>
  </si>
  <si>
    <t>Huidig</t>
  </si>
  <si>
    <t>Oorhoofse koste / Overhead cost (R/ha)</t>
  </si>
  <si>
    <t>SAFEX prys / price(R/ton)</t>
  </si>
  <si>
    <t>Totale Koste / Total cost (R/ha)</t>
  </si>
  <si>
    <t>Produsenteprys/ Producer price</t>
  </si>
  <si>
    <t>Opbrengs / Yield (t/ha)</t>
  </si>
  <si>
    <t>Gemid Opbrengs / Average Yield (t/ha)</t>
  </si>
  <si>
    <t xml:space="preserve">Aftrekkings / Deductions </t>
  </si>
  <si>
    <t>Produsenteprys/ Producer price (R/ton)</t>
  </si>
  <si>
    <t>Huidige</t>
  </si>
  <si>
    <t>Produsent prys raming vir droëland SOJABONE vir die                                                    Producer price framework for dry land SOYBEANS for the</t>
  </si>
  <si>
    <t>Huidige Produkprys op plaas vir beste graad / Current product price for the best grade (R/TON) (Safex min bemarkingskoste/marketing cost)</t>
  </si>
  <si>
    <t>Beplanningsopbrengs / Estimated yields (ton/ha)</t>
  </si>
  <si>
    <t>Bruto produksiewaarde / Gross production value (R/ha)</t>
  </si>
  <si>
    <t>Direk Toedeelbare veranderlike koste / Direct Allocated Variable costs (R/ha)</t>
  </si>
  <si>
    <t>Saad / Seed</t>
  </si>
  <si>
    <t>Kunsmis / Fertiliser</t>
  </si>
  <si>
    <t>Kalk / Lime</t>
  </si>
  <si>
    <t>Brandstof / Fuel</t>
  </si>
  <si>
    <t>Reparasie / Reparation</t>
  </si>
  <si>
    <t>Onkruiddoders / Herbicide</t>
  </si>
  <si>
    <t>Plaagdoder / Pest control</t>
  </si>
  <si>
    <t>Insetversekering / Input insurance</t>
  </si>
  <si>
    <t>Besproeiingskoste / Irrigation cost</t>
  </si>
  <si>
    <t>Graanprysverskansing / Grain hedging</t>
  </si>
  <si>
    <t>Kontrakstroop / Contract Harvesting</t>
  </si>
  <si>
    <t>Oesversekering / Harvest insurance</t>
  </si>
  <si>
    <t>Lugspuit / Aerial spray</t>
  </si>
  <si>
    <t>Losarbeid / Casual labour</t>
  </si>
  <si>
    <t>Droogkoste / Drying cost</t>
  </si>
  <si>
    <t>Verpakking en Pakmateriaal / Packaging and packaging material</t>
  </si>
  <si>
    <t>Produksiekrediet rente / Interest on production R/ha</t>
  </si>
  <si>
    <t>Totale Direk Toedeelbare veranderlike koste / Total Direct Allocated Variable Cost  (R/ha)</t>
  </si>
  <si>
    <t>Totale Oorhoofse koste / Total overhead cost R/ha</t>
  </si>
  <si>
    <t>Totale Koste per ha voor fisiese bemarking R/ha / Total cost per ha before marketing cost R/ha</t>
  </si>
  <si>
    <t>Totale koste per ton voor fisiese bemarking R/Ton / Total cost per ton before marketing cost R/Ton</t>
  </si>
  <si>
    <t>Totale bemarkingskoste / Total marketing cost R/ton</t>
  </si>
  <si>
    <t>Verwagte minimum Safex prys SONDER wins/ Expected minimum Safex price, WITHOUT profit</t>
  </si>
  <si>
    <t>Huidige Safex prys / Current Safex price</t>
  </si>
  <si>
    <r>
      <t>Disclaimer:</t>
    </r>
    <r>
      <rPr>
        <sz val="11"/>
        <rFont val="Calibri"/>
        <family val="2"/>
      </rPr>
      <t xml:space="preserve"> The information herein has been obtained from various sources, the accuracy and/or completeness of which Grain SA does not</t>
    </r>
  </si>
  <si>
    <t>guarantee and for which Grain SA accepts no liability. Any prices or levels contained herein are preliminary and indicative only and do not</t>
  </si>
  <si>
    <t>represent bids or offers. These indications are provided solely for your information and consideration.</t>
  </si>
  <si>
    <t xml:space="preserve">                                        Thank you to the Maize Trust for partially funding this project</t>
  </si>
  <si>
    <t>Produsent prys raming vir droëland WIT BT MIELIES vir die                                                              Producer price framework for dry land WHITE BT MAIZE for the</t>
  </si>
  <si>
    <t>Datum opgedateer / Date updated</t>
  </si>
  <si>
    <t>OOS FS / EASTERN FS</t>
  </si>
  <si>
    <t>Total deductions (R/ton)</t>
  </si>
  <si>
    <t>SONNEBLOM / SUNFLOWER</t>
  </si>
  <si>
    <t>SOJABONE / SOYBEANS</t>
  </si>
  <si>
    <t>BT MIELIES / BT MAIZE</t>
  </si>
  <si>
    <t>Opbrengspeil</t>
  </si>
  <si>
    <t>Lopende koste</t>
  </si>
  <si>
    <t>Oorhoofse koste</t>
  </si>
  <si>
    <t>BTMielies</t>
  </si>
  <si>
    <t>Sonneblom</t>
  </si>
  <si>
    <t>Sojabone</t>
  </si>
  <si>
    <t>Produsent prys raming vir droëland SONNEBLOM vir die                                                                 Producer price framework for dry land SUNFLOWER for the</t>
  </si>
  <si>
    <t>MIELIES: SENSITIWITEITSANALISE - TOTALE KOSTES ( DIREKTE KOSTE + VASTE KOSTE) R/ton</t>
  </si>
  <si>
    <t>SONNEBLOM: SENSITIWITEITSANALISE - TOTALE KOSTES ( DIREKTE KOSTE + VASTE KOSTE) R/ton</t>
  </si>
  <si>
    <t>SOJABONE: SENSITIWITEITSANALISE - TOTALE KOSTES ( DIREKTE KOSTE + VASTE KOSTE) R/ton</t>
  </si>
  <si>
    <t>MIELIES: SENSITIWITEITSANALISE - DIREKTE KOSTE R/ton</t>
  </si>
  <si>
    <t>SONNEBLOM: SENSITIWITEITSANALISE - DIREKTE KOSTE R/ton</t>
  </si>
  <si>
    <t>SOJABONE: SENSITIWITEITSANALISE - DIREKTE KOSTE R/ton</t>
  </si>
  <si>
    <t>Produsent prys raming vir BESPROEIING MIELIES vir die  /                                                                        Producer price framework for IRRIGATION MAIZE for the</t>
  </si>
  <si>
    <t xml:space="preserve">Crop </t>
  </si>
  <si>
    <t xml:space="preserve">1) INCOME </t>
  </si>
  <si>
    <t>Yield target (ton/ha)</t>
  </si>
  <si>
    <t xml:space="preserve">SAFEX: Estimated Price </t>
  </si>
  <si>
    <t xml:space="preserve">Deductions </t>
  </si>
  <si>
    <t>Net Farm Gate Price</t>
  </si>
  <si>
    <t>GROSS INCOME (R/ha)</t>
  </si>
  <si>
    <t xml:space="preserve">2) VARIABLE EXPENDITURES </t>
  </si>
  <si>
    <t>TOTAL VARIABLE EXPENDITURE (R/ha)</t>
  </si>
  <si>
    <t>TOTAL FIXED COST (R/ha)</t>
  </si>
  <si>
    <t>TOTAL COST (R/ha)</t>
  </si>
  <si>
    <t>3) GROSS MARGIN  (R/ha)</t>
  </si>
  <si>
    <t>4) NETT MARGIN  (R/ha)</t>
  </si>
  <si>
    <r>
      <rPr>
        <b/>
        <sz val="11"/>
        <color indexed="8"/>
        <rFont val="Calibri"/>
        <family val="2"/>
      </rPr>
      <t>Disclaimer:</t>
    </r>
    <r>
      <rPr>
        <sz val="10"/>
        <rFont val="Arial"/>
        <family val="2"/>
      </rPr>
      <t xml:space="preserve"> The information herein has been obtained from various sources, the accuracy and/or completeness of which Grain SA does not guarantee and for which Grain SA accepts no liability. Any prices or levels contained herein are preliminary and indicative only and do not represent bids or offers. These indications are provided solely for your information and consideration.</t>
    </r>
  </si>
  <si>
    <t xml:space="preserve">SUMMARY </t>
  </si>
  <si>
    <t>LGO (ton/ha)</t>
  </si>
  <si>
    <t>Net Farm Gate Price (R/ha)</t>
  </si>
  <si>
    <t>Net Farm Gate Price (R/ton)</t>
  </si>
  <si>
    <t>Total variable &amp; fixed expenditure (R/ha)</t>
  </si>
  <si>
    <t>Total variable &amp; fixed expenditure (R/ton)</t>
  </si>
  <si>
    <t>Nett margin (R/ha)</t>
  </si>
  <si>
    <t>Net margin (R/ton)</t>
  </si>
  <si>
    <t>Break-even yields (t/ha)</t>
  </si>
  <si>
    <t>Break-even Safex price (t/ha)</t>
  </si>
  <si>
    <t>BREAK-EVEN &amp; PROFITABILITY (ONLY variable cost)</t>
  </si>
  <si>
    <t>BREAK-EVEN &amp; PROFITABILITY (variable &amp; fixed cost)</t>
  </si>
  <si>
    <t xml:space="preserve">2) EXPENDITURES </t>
  </si>
  <si>
    <t>Total variable cost (R/ha)</t>
  </si>
  <si>
    <t>Total variable cost (R/ton)</t>
  </si>
  <si>
    <t>3) MARGIN</t>
  </si>
  <si>
    <t>Gross margin (R/ha)</t>
  </si>
  <si>
    <t>Gross margin (R/ton)</t>
  </si>
  <si>
    <t>Produsent prys raming vir droëland WIT KONVENSIONELE MIELIES vir die                                                  Producer price framework for dry land WHITE CONVENTIONAL MAIZE for the</t>
  </si>
  <si>
    <t>SAFEX Jul'21 WM 1 prys/price  (R/ton)</t>
  </si>
  <si>
    <t>SAFEX Mei'21 Sun prys/price  (R/ton)</t>
  </si>
  <si>
    <t>SAFEX Mei'121 Soy prys/price  (R/ton)</t>
  </si>
  <si>
    <t>BRUTO MARGE / GROSS MARGIN  (R/ha)</t>
  </si>
  <si>
    <t>NETTO MARGE / NETT MARGIN  (R/ha)</t>
  </si>
  <si>
    <t>Winsgewendheid: Mielies</t>
  </si>
  <si>
    <t>Pointer</t>
  </si>
  <si>
    <t>Start</t>
  </si>
  <si>
    <t>% NM van tot</t>
  </si>
  <si>
    <t>Veranderlike koste</t>
  </si>
  <si>
    <t>Vaste koste</t>
  </si>
  <si>
    <t>End</t>
  </si>
  <si>
    <t>Totale inkomste</t>
  </si>
  <si>
    <t>Max</t>
  </si>
  <si>
    <t>Totaal</t>
  </si>
  <si>
    <t>Netto Marge</t>
  </si>
  <si>
    <t>Winsgewendheid: Sonneblom</t>
  </si>
  <si>
    <t>Winsgewendheid: Sojabone</t>
  </si>
  <si>
    <t>Winsgewendheid: Sorghum</t>
  </si>
  <si>
    <t>2025-26 season</t>
  </si>
  <si>
    <t>Mielies / Maize- Jul 26</t>
  </si>
  <si>
    <t>Sonneblom / Sunflower- Mei 26</t>
  </si>
  <si>
    <t>Sojabone / Soybeans- Mei 26</t>
  </si>
  <si>
    <t>PRODUKSIEJAAR   2025-26                     PRODUCTION YEAR 2025-26</t>
  </si>
  <si>
    <t>PRODUKSIEJAAR   2025-26                      PRODUCTION YEAR 2025-26</t>
  </si>
  <si>
    <t>PRODUKSIEJAAR   2025-26                    PRODUCTION YEAR 2025-26</t>
  </si>
  <si>
    <t>Gewasbeskerming/Crop protection</t>
  </si>
  <si>
    <r>
      <rPr>
        <b/>
        <sz val="11"/>
        <color indexed="30"/>
        <rFont val="Calibri"/>
        <family val="2"/>
      </rPr>
      <t>EASTERN FREE STATE</t>
    </r>
    <r>
      <rPr>
        <b/>
        <sz val="11"/>
        <color indexed="8"/>
        <rFont val="Calibri"/>
        <family val="2"/>
      </rPr>
      <t xml:space="preserve"> INCOME &amp; COST BUDGETS - SUMMER CROPS 2025/26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</si>
</sst>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0.00_)"/>
    <numFmt numFmtId="168" formatCode="0_)"/>
    <numFmt numFmtId="169" formatCode="_ * #,##0.0_ ;_ * \-#,##0.0_ ;_ * &quot;-&quot;?_ ;_ @_ "/>
    <numFmt numFmtId="170" formatCode="_ * #,##0_ ;_ * \-#,##0_ ;_ * &quot;-&quot;??_ ;_ @_ "/>
    <numFmt numFmtId="171" formatCode="0.0"/>
    <numFmt numFmtId="172" formatCode="_(&quot;$&quot;* #,##0.00_);_(&quot;$&quot;* \(#,##0.00\);_(&quot;$&quot;* &quot;-&quot;??_);_(@_)"/>
    <numFmt numFmtId="173" formatCode="&quot;R&quot;\ #,##0"/>
    <numFmt numFmtId="174" formatCode="&quot;R&quot;\ #,##0.00"/>
    <numFmt numFmtId="175" formatCode="_ [$R-1C09]\ * #,##0.00_ ;_ [$R-1C09]\ * \-#,##0.00_ ;_ [$R-1C09]\ * &quot;-&quot;??_ ;_ @_ "/>
    <numFmt numFmtId="176" formatCode="_ * #,##0.00_ ;_ * \-#,##0.00_ ;_ * &quot;-&quot;?_ ;_ @_ "/>
  </numFmts>
  <fonts count="36"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u/>
      <sz val="10"/>
      <color indexed="12"/>
      <name val="Courier"/>
      <family val="3"/>
    </font>
    <font>
      <b/>
      <sz val="12"/>
      <name val="Arial"/>
      <family val="2"/>
    </font>
    <font>
      <sz val="12"/>
      <name val="Arial"/>
      <family val="2"/>
    </font>
    <font>
      <sz val="10"/>
      <name val="Arial"/>
      <family val="2"/>
    </font>
    <font>
      <sz val="8"/>
      <name val="Arial"/>
      <family val="2"/>
    </font>
    <font>
      <sz val="10"/>
      <name val="Segoe UI"/>
      <family val="2"/>
    </font>
    <font>
      <sz val="10"/>
      <name val="Arial Black"/>
      <family val="2"/>
    </font>
    <font>
      <sz val="10"/>
      <name val="Arial"/>
      <family val="2"/>
    </font>
    <font>
      <b/>
      <sz val="11"/>
      <name val="Calibri"/>
      <family val="2"/>
    </font>
    <font>
      <sz val="11"/>
      <name val="Calibri"/>
      <family val="2"/>
    </font>
    <font>
      <u/>
      <sz val="7.5"/>
      <color indexed="12"/>
      <name val="Arial"/>
      <family val="2"/>
    </font>
    <font>
      <sz val="11"/>
      <color indexed="8"/>
      <name val="Calibri"/>
      <family val="2"/>
    </font>
    <font>
      <sz val="11"/>
      <name val="Times New Roman"/>
      <family val="1"/>
    </font>
    <font>
      <b/>
      <sz val="11"/>
      <color indexed="8"/>
      <name val="Calibri"/>
      <family val="2"/>
    </font>
    <font>
      <b/>
      <sz val="11"/>
      <color indexed="30"/>
      <name val="Calibri"/>
      <family val="2"/>
    </font>
    <font>
      <sz val="10"/>
      <color theme="1"/>
      <name val="Arial"/>
      <family val="2"/>
    </font>
    <font>
      <sz val="11"/>
      <color theme="1"/>
      <name val="Calibri"/>
      <family val="2"/>
      <scheme val="minor"/>
    </font>
    <font>
      <b/>
      <sz val="10"/>
      <color theme="1"/>
      <name val="Arial"/>
      <family val="2"/>
    </font>
    <font>
      <b/>
      <sz val="10"/>
      <color rgb="FFFF0000"/>
      <name val="Arial"/>
      <family val="2"/>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8"/>
      <color rgb="FF00B050"/>
      <name val="Arial"/>
      <family val="2"/>
    </font>
    <font>
      <b/>
      <sz val="11"/>
      <color rgb="FFFF0000"/>
      <name val="Calibri"/>
      <family val="2"/>
      <scheme val="minor"/>
    </font>
    <font>
      <b/>
      <sz val="11"/>
      <color theme="1"/>
      <name val="Calibri"/>
      <family val="2"/>
    </font>
    <font>
      <sz val="10"/>
      <name val="Arial"/>
      <family val="2"/>
    </font>
    <font>
      <b/>
      <sz val="11"/>
      <color theme="0"/>
      <name val="Calibri"/>
      <family val="2"/>
      <scheme val="minor"/>
    </font>
    <font>
      <b/>
      <sz val="11"/>
      <color theme="0"/>
      <name val="Arial"/>
      <family val="2"/>
    </font>
    <font>
      <sz val="10"/>
      <color theme="0"/>
      <name val="Arial"/>
      <family val="2"/>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96FDB"/>
        <bgColor indexed="64"/>
      </patternFill>
    </fill>
    <fill>
      <patternFill patternType="solid">
        <fgColor rgb="FF00B0F0"/>
        <bgColor indexed="64"/>
      </patternFill>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indexed="9"/>
      </patternFill>
    </fill>
    <fill>
      <patternFill patternType="solid">
        <fgColor rgb="FF3A6367"/>
        <bgColor indexed="64"/>
      </patternFill>
    </fill>
    <fill>
      <patternFill patternType="solid">
        <fgColor rgb="FFAD9244"/>
        <bgColor indexed="64"/>
      </patternFill>
    </fill>
    <fill>
      <patternFill patternType="solid">
        <fgColor theme="4" tint="-0.249977111117893"/>
        <bgColor indexed="64"/>
      </patternFill>
    </fill>
  </fills>
  <borders count="47">
    <border>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25">
    <xf numFmtId="0" fontId="0" fillId="0" borderId="0"/>
    <xf numFmtId="165" fontId="4" fillId="0" borderId="0" applyFont="0" applyFill="0" applyBorder="0" applyAlignment="0" applyProtection="0"/>
    <xf numFmtId="165"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10" fillId="0" borderId="0"/>
    <xf numFmtId="0" fontId="10" fillId="0" borderId="0"/>
    <xf numFmtId="0" fontId="10" fillId="0" borderId="0"/>
    <xf numFmtId="0" fontId="4" fillId="0" borderId="0"/>
    <xf numFmtId="0" fontId="4" fillId="0" borderId="0"/>
    <xf numFmtId="0" fontId="11" fillId="0" borderId="0"/>
    <xf numFmtId="0" fontId="10" fillId="0" borderId="0"/>
    <xf numFmtId="0" fontId="21" fillId="0" borderId="0"/>
    <xf numFmtId="0" fontId="21" fillId="0" borderId="0"/>
    <xf numFmtId="0" fontId="4" fillId="0" borderId="0"/>
    <xf numFmtId="0" fontId="21" fillId="0" borderId="0"/>
    <xf numFmtId="0" fontId="21" fillId="0" borderId="0"/>
    <xf numFmtId="0" fontId="18" fillId="0" borderId="0"/>
    <xf numFmtId="0" fontId="4" fillId="0" borderId="0"/>
    <xf numFmtId="0" fontId="4" fillId="0" borderId="0"/>
    <xf numFmtId="0" fontId="22" fillId="0" borderId="0"/>
    <xf numFmtId="0" fontId="21" fillId="0" borderId="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22" fillId="0" borderId="0"/>
    <xf numFmtId="0" fontId="10" fillId="0" borderId="0"/>
    <xf numFmtId="0" fontId="10" fillId="0" borderId="0"/>
    <xf numFmtId="0" fontId="22" fillId="0" borderId="0"/>
    <xf numFmtId="0" fontId="4" fillId="0" borderId="0"/>
    <xf numFmtId="0" fontId="10" fillId="0" borderId="0"/>
    <xf numFmtId="0" fontId="10" fillId="0" borderId="0"/>
    <xf numFmtId="0" fontId="11"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0" fontId="2" fillId="0" borderId="0"/>
    <xf numFmtId="9" fontId="32" fillId="0" borderId="0" applyFont="0" applyFill="0" applyBorder="0" applyAlignment="0" applyProtection="0"/>
  </cellStyleXfs>
  <cellXfs count="285">
    <xf numFmtId="0" fontId="0" fillId="0" borderId="0" xfId="0"/>
    <xf numFmtId="0" fontId="4" fillId="0" borderId="0" xfId="0" applyFont="1" applyProtection="1">
      <protection hidden="1"/>
    </xf>
    <xf numFmtId="0" fontId="4" fillId="0" borderId="2" xfId="0" applyFont="1" applyBorder="1" applyProtection="1">
      <protection hidden="1"/>
    </xf>
    <xf numFmtId="0" fontId="3" fillId="0" borderId="1" xfId="0" applyFont="1" applyBorder="1" applyAlignment="1" applyProtection="1">
      <alignment horizontal="centerContinuous"/>
      <protection hidden="1"/>
    </xf>
    <xf numFmtId="0" fontId="3" fillId="0" borderId="1" xfId="0" applyFont="1" applyBorder="1" applyAlignment="1" applyProtection="1">
      <alignment horizontal="left"/>
      <protection hidden="1"/>
    </xf>
    <xf numFmtId="0" fontId="4" fillId="0" borderId="1" xfId="0" applyFont="1" applyBorder="1" applyAlignment="1" applyProtection="1">
      <alignment horizontal="centerContinuous"/>
      <protection hidden="1"/>
    </xf>
    <xf numFmtId="0" fontId="4" fillId="0" borderId="4" xfId="0" applyFont="1" applyBorder="1" applyProtection="1">
      <protection hidden="1"/>
    </xf>
    <xf numFmtId="166" fontId="4" fillId="0" borderId="0" xfId="0" applyNumberFormat="1" applyFont="1" applyProtection="1">
      <protection hidden="1"/>
    </xf>
    <xf numFmtId="0" fontId="7" fillId="0" borderId="5" xfId="0" applyFont="1" applyBorder="1" applyAlignment="1" applyProtection="1">
      <alignment horizontal="left"/>
      <protection hidden="1"/>
    </xf>
    <xf numFmtId="0" fontId="7" fillId="0" borderId="4" xfId="0" applyFont="1" applyBorder="1" applyAlignment="1" applyProtection="1">
      <alignment horizontal="left"/>
      <protection hidden="1"/>
    </xf>
    <xf numFmtId="0" fontId="8" fillId="0" borderId="4" xfId="0" applyFont="1" applyBorder="1" applyProtection="1">
      <protection hidden="1"/>
    </xf>
    <xf numFmtId="0" fontId="5" fillId="0" borderId="1" xfId="0" applyFont="1" applyBorder="1" applyProtection="1">
      <protection hidden="1"/>
    </xf>
    <xf numFmtId="0" fontId="4" fillId="0" borderId="3" xfId="0" applyFont="1" applyBorder="1" applyProtection="1">
      <protection hidden="1"/>
    </xf>
    <xf numFmtId="168" fontId="3" fillId="2" borderId="6" xfId="0" applyNumberFormat="1" applyFont="1" applyFill="1" applyBorder="1" applyAlignment="1" applyProtection="1">
      <alignment horizontal="right"/>
      <protection hidden="1"/>
    </xf>
    <xf numFmtId="166" fontId="3" fillId="0" borderId="0" xfId="0" applyNumberFormat="1" applyFont="1" applyProtection="1">
      <protection hidden="1"/>
    </xf>
    <xf numFmtId="165" fontId="3" fillId="0" borderId="7" xfId="0" applyNumberFormat="1" applyFont="1" applyBorder="1" applyProtection="1">
      <protection hidden="1"/>
    </xf>
    <xf numFmtId="165" fontId="3" fillId="0" borderId="8" xfId="0" applyNumberFormat="1" applyFont="1" applyBorder="1" applyProtection="1">
      <protection hidden="1"/>
    </xf>
    <xf numFmtId="165" fontId="3" fillId="2" borderId="9" xfId="0" applyNumberFormat="1" applyFont="1" applyFill="1" applyBorder="1" applyProtection="1">
      <protection hidden="1"/>
    </xf>
    <xf numFmtId="165" fontId="3" fillId="0" borderId="9" xfId="0" applyNumberFormat="1" applyFont="1" applyBorder="1" applyProtection="1">
      <protection hidden="1"/>
    </xf>
    <xf numFmtId="165" fontId="4" fillId="0" borderId="0" xfId="0" applyNumberFormat="1" applyFont="1" applyProtection="1">
      <protection hidden="1"/>
    </xf>
    <xf numFmtId="165" fontId="3" fillId="0" borderId="0" xfId="0" applyNumberFormat="1" applyFont="1" applyProtection="1">
      <protection hidden="1"/>
    </xf>
    <xf numFmtId="165" fontId="3" fillId="0" borderId="10" xfId="0" applyNumberFormat="1" applyFont="1" applyBorder="1" applyProtection="1">
      <protection hidden="1"/>
    </xf>
    <xf numFmtId="165" fontId="3" fillId="2" borderId="6" xfId="0" applyNumberFormat="1" applyFont="1" applyFill="1" applyBorder="1" applyAlignment="1" applyProtection="1">
      <alignment horizontal="right"/>
      <protection hidden="1"/>
    </xf>
    <xf numFmtId="169" fontId="3" fillId="2" borderId="6" xfId="0" applyNumberFormat="1" applyFont="1" applyFill="1" applyBorder="1" applyProtection="1">
      <protection hidden="1"/>
    </xf>
    <xf numFmtId="169" fontId="3" fillId="2" borderId="3" xfId="0" applyNumberFormat="1" applyFont="1" applyFill="1" applyBorder="1" applyProtection="1">
      <protection hidden="1"/>
    </xf>
    <xf numFmtId="168" fontId="3" fillId="2" borderId="3" xfId="0" applyNumberFormat="1" applyFont="1" applyFill="1" applyBorder="1" applyAlignment="1" applyProtection="1">
      <alignment horizontal="right"/>
      <protection hidden="1"/>
    </xf>
    <xf numFmtId="165" fontId="3" fillId="0" borderId="11" xfId="0" applyNumberFormat="1" applyFont="1" applyBorder="1" applyProtection="1">
      <protection hidden="1"/>
    </xf>
    <xf numFmtId="165" fontId="3" fillId="0" borderId="12" xfId="0" applyNumberFormat="1" applyFont="1" applyBorder="1" applyProtection="1">
      <protection hidden="1"/>
    </xf>
    <xf numFmtId="165" fontId="3" fillId="2" borderId="10" xfId="0" applyNumberFormat="1" applyFont="1" applyFill="1" applyBorder="1" applyProtection="1">
      <protection hidden="1"/>
    </xf>
    <xf numFmtId="0" fontId="3" fillId="0" borderId="3" xfId="0" applyFont="1" applyBorder="1" applyAlignment="1" applyProtection="1">
      <alignment horizontal="left"/>
      <protection hidden="1"/>
    </xf>
    <xf numFmtId="0" fontId="4" fillId="0" borderId="0" xfId="67"/>
    <xf numFmtId="0" fontId="4" fillId="0" borderId="0" xfId="32"/>
    <xf numFmtId="0" fontId="4" fillId="0" borderId="13" xfId="67" applyBorder="1" applyAlignment="1">
      <alignment horizontal="center" vertical="center" wrapText="1"/>
    </xf>
    <xf numFmtId="0" fontId="4" fillId="0" borderId="1" xfId="67" applyBorder="1" applyAlignment="1">
      <alignment horizontal="center" vertical="center" wrapText="1"/>
    </xf>
    <xf numFmtId="0" fontId="24" fillId="2" borderId="6" xfId="67" applyFont="1" applyFill="1" applyBorder="1" applyAlignment="1">
      <alignment horizontal="center" vertical="center"/>
    </xf>
    <xf numFmtId="0" fontId="23" fillId="2" borderId="6" xfId="67" applyFont="1" applyFill="1" applyBorder="1" applyAlignment="1">
      <alignment horizontal="center" vertical="center"/>
    </xf>
    <xf numFmtId="0" fontId="24" fillId="2" borderId="1" xfId="67" applyFont="1" applyFill="1" applyBorder="1" applyAlignment="1">
      <alignment horizontal="center" vertical="center"/>
    </xf>
    <xf numFmtId="0" fontId="3" fillId="2" borderId="6" xfId="67" applyFont="1" applyFill="1" applyBorder="1" applyAlignment="1">
      <alignment horizontal="center" vertical="center"/>
    </xf>
    <xf numFmtId="173" fontId="24" fillId="2" borderId="6" xfId="67" applyNumberFormat="1" applyFont="1" applyFill="1" applyBorder="1" applyAlignment="1">
      <alignment horizontal="center" vertical="center"/>
    </xf>
    <xf numFmtId="0" fontId="3" fillId="0" borderId="14" xfId="67" applyFont="1" applyBorder="1" applyAlignment="1">
      <alignment horizontal="center" vertical="center"/>
    </xf>
    <xf numFmtId="173" fontId="24" fillId="0" borderId="14" xfId="67" applyNumberFormat="1" applyFont="1" applyBorder="1" applyAlignment="1">
      <alignment horizontal="center" vertical="center"/>
    </xf>
    <xf numFmtId="0" fontId="24" fillId="0" borderId="14" xfId="67" applyFont="1" applyBorder="1" applyAlignment="1">
      <alignment horizontal="center" vertical="center"/>
    </xf>
    <xf numFmtId="171" fontId="3" fillId="0" borderId="13" xfId="67" applyNumberFormat="1" applyFont="1" applyBorder="1" applyAlignment="1">
      <alignment horizontal="center" vertical="center"/>
    </xf>
    <xf numFmtId="1" fontId="3" fillId="4" borderId="15" xfId="67" applyNumberFormat="1" applyFont="1" applyFill="1" applyBorder="1" applyAlignment="1">
      <alignment horizontal="center" vertical="center"/>
    </xf>
    <xf numFmtId="1" fontId="3" fillId="4" borderId="16" xfId="67" applyNumberFormat="1" applyFont="1" applyFill="1" applyBorder="1" applyAlignment="1">
      <alignment horizontal="center" vertical="center"/>
    </xf>
    <xf numFmtId="1" fontId="3" fillId="5" borderId="16" xfId="67" applyNumberFormat="1" applyFont="1" applyFill="1" applyBorder="1" applyAlignment="1">
      <alignment horizontal="center" vertical="center"/>
    </xf>
    <xf numFmtId="1" fontId="3" fillId="5" borderId="17" xfId="67" applyNumberFormat="1" applyFont="1" applyFill="1" applyBorder="1" applyAlignment="1">
      <alignment horizontal="center" vertical="center"/>
    </xf>
    <xf numFmtId="1" fontId="3" fillId="4" borderId="18" xfId="67" applyNumberFormat="1" applyFont="1" applyFill="1" applyBorder="1" applyAlignment="1">
      <alignment horizontal="center" vertical="center"/>
    </xf>
    <xf numFmtId="1" fontId="3" fillId="4" borderId="19" xfId="67" applyNumberFormat="1" applyFont="1" applyFill="1" applyBorder="1" applyAlignment="1">
      <alignment horizontal="center" vertical="center"/>
    </xf>
    <xf numFmtId="1" fontId="3" fillId="5" borderId="19" xfId="67" applyNumberFormat="1" applyFont="1" applyFill="1" applyBorder="1" applyAlignment="1">
      <alignment horizontal="center" vertical="center"/>
    </xf>
    <xf numFmtId="1" fontId="3" fillId="5" borderId="20" xfId="67" applyNumberFormat="1" applyFont="1" applyFill="1" applyBorder="1" applyAlignment="1">
      <alignment horizontal="center" vertical="center"/>
    </xf>
    <xf numFmtId="171" fontId="24" fillId="0" borderId="13" xfId="67" applyNumberFormat="1" applyFont="1" applyBorder="1" applyAlignment="1">
      <alignment horizontal="center" vertical="center"/>
    </xf>
    <xf numFmtId="1" fontId="3" fillId="4" borderId="21" xfId="67" applyNumberFormat="1" applyFont="1" applyFill="1" applyBorder="1" applyAlignment="1">
      <alignment horizontal="center" vertical="center"/>
    </xf>
    <xf numFmtId="1" fontId="3" fillId="4" borderId="22" xfId="67" applyNumberFormat="1" applyFont="1" applyFill="1" applyBorder="1" applyAlignment="1">
      <alignment horizontal="center" vertical="center"/>
    </xf>
    <xf numFmtId="1" fontId="3" fillId="5" borderId="22" xfId="67" applyNumberFormat="1" applyFont="1" applyFill="1" applyBorder="1" applyAlignment="1">
      <alignment horizontal="center" vertical="center"/>
    </xf>
    <xf numFmtId="1" fontId="3" fillId="5" borderId="23" xfId="67" applyNumberFormat="1" applyFont="1" applyFill="1" applyBorder="1" applyAlignment="1">
      <alignment horizontal="center" vertical="center"/>
    </xf>
    <xf numFmtId="0" fontId="12" fillId="0" borderId="0" xfId="67" applyFont="1" applyAlignment="1">
      <alignment horizontal="center" vertical="center" textRotation="90" wrapText="1"/>
    </xf>
    <xf numFmtId="171" fontId="12" fillId="0" borderId="0" xfId="67" applyNumberFormat="1" applyFont="1" applyAlignment="1">
      <alignment horizontal="center" vertical="center"/>
    </xf>
    <xf numFmtId="1" fontId="12" fillId="0" borderId="0" xfId="67" applyNumberFormat="1" applyFont="1" applyAlignment="1">
      <alignment horizontal="center" vertical="center"/>
    </xf>
    <xf numFmtId="170" fontId="3" fillId="2" borderId="6" xfId="67" applyNumberFormat="1" applyFont="1" applyFill="1" applyBorder="1" applyAlignment="1">
      <alignment horizontal="center" vertical="center"/>
    </xf>
    <xf numFmtId="170" fontId="23" fillId="2" borderId="6" xfId="67" applyNumberFormat="1" applyFont="1" applyFill="1" applyBorder="1" applyAlignment="1">
      <alignment horizontal="center" vertical="center"/>
    </xf>
    <xf numFmtId="170" fontId="24" fillId="2" borderId="6" xfId="67" applyNumberFormat="1" applyFont="1" applyFill="1" applyBorder="1" applyAlignment="1">
      <alignment horizontal="center" vertical="center"/>
    </xf>
    <xf numFmtId="170" fontId="23" fillId="0" borderId="14" xfId="67" applyNumberFormat="1" applyFont="1" applyBorder="1" applyAlignment="1">
      <alignment horizontal="center" vertical="center"/>
    </xf>
    <xf numFmtId="170" fontId="24" fillId="0" borderId="14" xfId="67" applyNumberFormat="1" applyFont="1" applyBorder="1" applyAlignment="1">
      <alignment horizontal="center" vertical="center"/>
    </xf>
    <xf numFmtId="170" fontId="3" fillId="0" borderId="14" xfId="67" applyNumberFormat="1" applyFont="1" applyBorder="1" applyAlignment="1">
      <alignment horizontal="center" vertical="center"/>
    </xf>
    <xf numFmtId="169" fontId="3" fillId="0" borderId="0" xfId="0" applyNumberFormat="1" applyFont="1" applyProtection="1">
      <protection hidden="1"/>
    </xf>
    <xf numFmtId="165" fontId="3" fillId="0" borderId="0" xfId="0" applyNumberFormat="1" applyFont="1" applyAlignment="1" applyProtection="1">
      <alignment horizontal="right"/>
      <protection hidden="1"/>
    </xf>
    <xf numFmtId="0" fontId="15" fillId="2" borderId="5" xfId="32" applyFont="1" applyFill="1" applyBorder="1" applyAlignment="1">
      <alignment vertical="center"/>
    </xf>
    <xf numFmtId="0" fontId="4" fillId="2" borderId="10" xfId="32" applyFill="1" applyBorder="1" applyProtection="1">
      <protection hidden="1"/>
    </xf>
    <xf numFmtId="0" fontId="4" fillId="2" borderId="0" xfId="32" applyFill="1" applyProtection="1">
      <protection hidden="1"/>
    </xf>
    <xf numFmtId="0" fontId="15" fillId="2" borderId="24" xfId="32" applyFont="1" applyFill="1" applyBorder="1" applyAlignment="1">
      <alignment vertical="center"/>
    </xf>
    <xf numFmtId="0" fontId="4" fillId="2" borderId="25" xfId="32" applyFill="1" applyBorder="1" applyProtection="1">
      <protection hidden="1"/>
    </xf>
    <xf numFmtId="0" fontId="4" fillId="2" borderId="26" xfId="32" applyFill="1" applyBorder="1" applyProtection="1">
      <protection hidden="1"/>
    </xf>
    <xf numFmtId="0" fontId="3" fillId="0" borderId="13" xfId="32" applyFont="1" applyBorder="1" applyAlignment="1" applyProtection="1">
      <alignment horizontal="left"/>
      <protection hidden="1"/>
    </xf>
    <xf numFmtId="0" fontId="3" fillId="0" borderId="27" xfId="32" applyFont="1" applyBorder="1" applyAlignment="1" applyProtection="1">
      <alignment horizontal="left"/>
      <protection hidden="1"/>
    </xf>
    <xf numFmtId="0" fontId="3" fillId="0" borderId="24" xfId="32" applyFont="1" applyBorder="1" applyAlignment="1" applyProtection="1">
      <alignment horizontal="left"/>
      <protection hidden="1"/>
    </xf>
    <xf numFmtId="0" fontId="3" fillId="0" borderId="0" xfId="32" applyFont="1" applyAlignment="1" applyProtection="1">
      <alignment horizontal="left"/>
      <protection hidden="1"/>
    </xf>
    <xf numFmtId="0" fontId="3" fillId="0" borderId="28" xfId="32" applyFont="1" applyBorder="1" applyAlignment="1" applyProtection="1">
      <alignment horizontal="left"/>
      <protection hidden="1"/>
    </xf>
    <xf numFmtId="0" fontId="3" fillId="0" borderId="29" xfId="32" applyFont="1" applyBorder="1" applyAlignment="1" applyProtection="1">
      <alignment horizontal="left"/>
      <protection hidden="1"/>
    </xf>
    <xf numFmtId="0" fontId="3" fillId="0" borderId="30" xfId="32" applyFont="1" applyBorder="1" applyAlignment="1" applyProtection="1">
      <alignment horizontal="left"/>
      <protection hidden="1"/>
    </xf>
    <xf numFmtId="0" fontId="3" fillId="2" borderId="24" xfId="32" applyFont="1" applyFill="1" applyBorder="1" applyAlignment="1" applyProtection="1">
      <alignment horizontal="left"/>
      <protection hidden="1"/>
    </xf>
    <xf numFmtId="0" fontId="3" fillId="2" borderId="0" xfId="32" applyFont="1" applyFill="1" applyAlignment="1" applyProtection="1">
      <alignment horizontal="left"/>
      <protection hidden="1"/>
    </xf>
    <xf numFmtId="0" fontId="3" fillId="0" borderId="1" xfId="32" applyFont="1" applyBorder="1" applyAlignment="1" applyProtection="1">
      <alignment horizontal="left"/>
      <protection hidden="1"/>
    </xf>
    <xf numFmtId="0" fontId="3" fillId="0" borderId="13" xfId="0" applyFont="1" applyBorder="1" applyAlignment="1" applyProtection="1">
      <alignment horizontal="left"/>
      <protection hidden="1"/>
    </xf>
    <xf numFmtId="0" fontId="3" fillId="0" borderId="24" xfId="0" applyFont="1" applyBorder="1" applyAlignment="1" applyProtection="1">
      <alignment horizontal="left"/>
      <protection hidden="1"/>
    </xf>
    <xf numFmtId="0" fontId="3" fillId="0" borderId="0" xfId="0" applyFont="1" applyAlignment="1" applyProtection="1">
      <alignment horizontal="left"/>
      <protection hidden="1"/>
    </xf>
    <xf numFmtId="0" fontId="14" fillId="2" borderId="31" xfId="32" applyFont="1" applyFill="1" applyBorder="1" applyAlignment="1">
      <alignment vertical="center"/>
    </xf>
    <xf numFmtId="0" fontId="4" fillId="2" borderId="2" xfId="32" applyFill="1" applyBorder="1" applyProtection="1">
      <protection hidden="1"/>
    </xf>
    <xf numFmtId="0" fontId="4" fillId="2" borderId="4" xfId="32" applyFill="1" applyBorder="1" applyProtection="1">
      <protection hidden="1"/>
    </xf>
    <xf numFmtId="0" fontId="25" fillId="0" borderId="0" xfId="48" applyFont="1"/>
    <xf numFmtId="165" fontId="25" fillId="0" borderId="0" xfId="48" applyNumberFormat="1" applyFont="1"/>
    <xf numFmtId="169" fontId="3" fillId="2" borderId="6" xfId="76" applyNumberFormat="1" applyFont="1" applyFill="1" applyBorder="1" applyProtection="1">
      <protection hidden="1"/>
    </xf>
    <xf numFmtId="165" fontId="3" fillId="0" borderId="7" xfId="76" applyNumberFormat="1" applyFont="1" applyBorder="1" applyProtection="1">
      <protection hidden="1"/>
    </xf>
    <xf numFmtId="165" fontId="3" fillId="0" borderId="8" xfId="76" applyNumberFormat="1" applyFont="1" applyBorder="1" applyProtection="1">
      <protection hidden="1"/>
    </xf>
    <xf numFmtId="0" fontId="0" fillId="6" borderId="32" xfId="0" applyFill="1" applyBorder="1"/>
    <xf numFmtId="0" fontId="0" fillId="6" borderId="0" xfId="0" applyFill="1"/>
    <xf numFmtId="165" fontId="27" fillId="6" borderId="34" xfId="16" applyFont="1" applyFill="1" applyBorder="1" applyAlignment="1"/>
    <xf numFmtId="165" fontId="28" fillId="6" borderId="34" xfId="16" applyFont="1" applyFill="1" applyBorder="1" applyAlignment="1"/>
    <xf numFmtId="165" fontId="28" fillId="6" borderId="0" xfId="16" applyFont="1" applyFill="1" applyBorder="1" applyAlignment="1">
      <alignment horizontal="center" vertical="center" wrapText="1"/>
    </xf>
    <xf numFmtId="173" fontId="28" fillId="6" borderId="0" xfId="0" applyNumberFormat="1" applyFont="1" applyFill="1"/>
    <xf numFmtId="0" fontId="25" fillId="6" borderId="0" xfId="0" applyFont="1" applyFill="1"/>
    <xf numFmtId="0" fontId="25" fillId="0" borderId="0" xfId="0" applyFont="1"/>
    <xf numFmtId="173" fontId="28" fillId="6" borderId="35" xfId="0" applyNumberFormat="1" applyFont="1" applyFill="1" applyBorder="1"/>
    <xf numFmtId="0" fontId="26" fillId="6" borderId="34" xfId="0" applyFont="1" applyFill="1" applyBorder="1"/>
    <xf numFmtId="173" fontId="27" fillId="6" borderId="0" xfId="16" applyNumberFormat="1" applyFont="1" applyFill="1" applyBorder="1" applyAlignment="1">
      <alignment horizontal="center" vertical="center" wrapText="1"/>
    </xf>
    <xf numFmtId="175" fontId="28" fillId="6" borderId="0" xfId="16" applyNumberFormat="1" applyFont="1" applyFill="1" applyBorder="1" applyAlignment="1"/>
    <xf numFmtId="165" fontId="27" fillId="6" borderId="0" xfId="16" applyFont="1" applyFill="1" applyBorder="1" applyAlignment="1">
      <alignment horizontal="center" vertical="center" wrapText="1"/>
    </xf>
    <xf numFmtId="175" fontId="28" fillId="6" borderId="35" xfId="16" applyNumberFormat="1" applyFont="1" applyFill="1" applyBorder="1" applyAlignment="1"/>
    <xf numFmtId="175" fontId="27" fillId="6" borderId="0" xfId="16" applyNumberFormat="1" applyFont="1" applyFill="1" applyBorder="1" applyAlignment="1"/>
    <xf numFmtId="175" fontId="27" fillId="6" borderId="35" xfId="16" applyNumberFormat="1" applyFont="1" applyFill="1" applyBorder="1" applyAlignment="1"/>
    <xf numFmtId="175" fontId="0" fillId="0" borderId="0" xfId="0" applyNumberFormat="1"/>
    <xf numFmtId="0" fontId="26" fillId="6" borderId="37" xfId="0" applyFont="1" applyFill="1" applyBorder="1"/>
    <xf numFmtId="173" fontId="26" fillId="6" borderId="38" xfId="0" applyNumberFormat="1" applyFont="1" applyFill="1" applyBorder="1"/>
    <xf numFmtId="0" fontId="0" fillId="7" borderId="0" xfId="0" applyFill="1" applyAlignment="1">
      <alignment vertical="center" wrapText="1"/>
    </xf>
    <xf numFmtId="0" fontId="0" fillId="7" borderId="0" xfId="0" applyFill="1" applyAlignment="1">
      <alignment wrapText="1"/>
    </xf>
    <xf numFmtId="0" fontId="0" fillId="7" borderId="0" xfId="0" applyFill="1"/>
    <xf numFmtId="0" fontId="26" fillId="7" borderId="39" xfId="0" applyFont="1" applyFill="1" applyBorder="1"/>
    <xf numFmtId="0" fontId="0" fillId="7" borderId="32" xfId="0" applyFill="1" applyBorder="1"/>
    <xf numFmtId="0" fontId="26" fillId="7" borderId="34" xfId="0" applyFont="1" applyFill="1" applyBorder="1"/>
    <xf numFmtId="0" fontId="26" fillId="7" borderId="4" xfId="0" applyFont="1" applyFill="1" applyBorder="1" applyAlignment="1">
      <alignment horizontal="center" wrapText="1"/>
    </xf>
    <xf numFmtId="165" fontId="28" fillId="7" borderId="34" xfId="16" applyFont="1" applyFill="1" applyBorder="1" applyAlignment="1">
      <alignment horizontal="left"/>
    </xf>
    <xf numFmtId="175" fontId="0" fillId="7" borderId="0" xfId="0" applyNumberFormat="1" applyFill="1"/>
    <xf numFmtId="0" fontId="0" fillId="7" borderId="34" xfId="0" applyFill="1" applyBorder="1"/>
    <xf numFmtId="165" fontId="0" fillId="7" borderId="0" xfId="0" applyNumberFormat="1" applyFill="1"/>
    <xf numFmtId="165" fontId="27" fillId="8" borderId="34" xfId="16" applyFont="1" applyFill="1" applyBorder="1" applyAlignment="1"/>
    <xf numFmtId="165" fontId="0" fillId="8" borderId="0" xfId="0" applyNumberFormat="1" applyFill="1"/>
    <xf numFmtId="175" fontId="0" fillId="8" borderId="0" xfId="0" applyNumberFormat="1" applyFill="1"/>
    <xf numFmtId="2" fontId="0" fillId="7" borderId="35" xfId="0" applyNumberFormat="1" applyFill="1" applyBorder="1"/>
    <xf numFmtId="2" fontId="0" fillId="7" borderId="40" xfId="0" applyNumberFormat="1" applyFill="1" applyBorder="1"/>
    <xf numFmtId="165" fontId="14" fillId="9" borderId="34" xfId="17" applyFont="1" applyFill="1" applyBorder="1" applyAlignment="1"/>
    <xf numFmtId="175" fontId="3" fillId="9" borderId="0" xfId="0" applyNumberFormat="1" applyFont="1" applyFill="1"/>
    <xf numFmtId="2" fontId="0" fillId="8" borderId="35" xfId="0" applyNumberFormat="1" applyFill="1" applyBorder="1"/>
    <xf numFmtId="0" fontId="14" fillId="9" borderId="34" xfId="32" applyFont="1" applyFill="1" applyBorder="1"/>
    <xf numFmtId="0" fontId="4" fillId="3" borderId="34" xfId="32" applyFill="1" applyBorder="1"/>
    <xf numFmtId="0" fontId="4" fillId="6" borderId="0" xfId="67" applyFill="1"/>
    <xf numFmtId="0" fontId="4" fillId="6" borderId="0" xfId="32" applyFill="1"/>
    <xf numFmtId="171" fontId="4" fillId="6" borderId="0" xfId="32" applyNumberFormat="1" applyFill="1" applyAlignment="1">
      <alignment horizontal="center"/>
    </xf>
    <xf numFmtId="0" fontId="7" fillId="6" borderId="0" xfId="67" applyFont="1" applyFill="1"/>
    <xf numFmtId="3" fontId="4" fillId="6" borderId="0" xfId="32" applyNumberFormat="1" applyFill="1"/>
    <xf numFmtId="0" fontId="26" fillId="6" borderId="0" xfId="32" applyFont="1" applyFill="1"/>
    <xf numFmtId="173" fontId="26" fillId="6" borderId="0" xfId="32" applyNumberFormat="1" applyFont="1" applyFill="1" applyAlignment="1">
      <alignment horizontal="center"/>
    </xf>
    <xf numFmtId="14" fontId="3" fillId="6" borderId="0" xfId="67" applyNumberFormat="1" applyFont="1" applyFill="1"/>
    <xf numFmtId="165" fontId="4" fillId="6" borderId="0" xfId="67" applyNumberFormat="1" applyFill="1" applyAlignment="1">
      <alignment horizontal="center"/>
    </xf>
    <xf numFmtId="165" fontId="3" fillId="6" borderId="0" xfId="67" applyNumberFormat="1" applyFont="1" applyFill="1" applyAlignment="1">
      <alignment horizontal="center"/>
    </xf>
    <xf numFmtId="165" fontId="4" fillId="6" borderId="0" xfId="67" applyNumberFormat="1" applyFill="1" applyAlignment="1">
      <alignment horizontal="center" vertical="center"/>
    </xf>
    <xf numFmtId="0" fontId="3" fillId="6" borderId="0" xfId="67" applyFont="1" applyFill="1" applyAlignment="1">
      <alignment horizontal="center" vertical="center"/>
    </xf>
    <xf numFmtId="0" fontId="4" fillId="6" borderId="0" xfId="67" applyFill="1" applyAlignment="1">
      <alignment horizontal="center" vertical="center"/>
    </xf>
    <xf numFmtId="2" fontId="4" fillId="6" borderId="0" xfId="67" applyNumberFormat="1" applyFill="1" applyAlignment="1">
      <alignment horizontal="center" vertical="center"/>
    </xf>
    <xf numFmtId="165" fontId="4" fillId="6" borderId="0" xfId="67" applyNumberFormat="1" applyFill="1" applyAlignment="1">
      <alignment horizontal="center" vertical="center" wrapText="1"/>
    </xf>
    <xf numFmtId="0" fontId="29" fillId="6" borderId="0" xfId="67" applyFont="1" applyFill="1"/>
    <xf numFmtId="0" fontId="3" fillId="6" borderId="0" xfId="67" applyFont="1" applyFill="1" applyAlignment="1">
      <alignment horizontal="center"/>
    </xf>
    <xf numFmtId="0" fontId="4" fillId="6" borderId="0" xfId="37" applyFill="1"/>
    <xf numFmtId="15" fontId="4" fillId="6" borderId="0" xfId="37" applyNumberFormat="1" applyFill="1"/>
    <xf numFmtId="173" fontId="30" fillId="6" borderId="0" xfId="32" applyNumberFormat="1" applyFont="1" applyFill="1" applyAlignment="1" applyProtection="1">
      <alignment horizontal="center"/>
      <protection locked="0"/>
    </xf>
    <xf numFmtId="165" fontId="24" fillId="6" borderId="0" xfId="67" applyNumberFormat="1" applyFont="1" applyFill="1" applyAlignment="1" applyProtection="1">
      <alignment horizontal="center"/>
      <protection locked="0"/>
    </xf>
    <xf numFmtId="165" fontId="4" fillId="6" borderId="0" xfId="67" applyNumberFormat="1" applyFill="1" applyAlignment="1">
      <alignment horizontal="right"/>
    </xf>
    <xf numFmtId="174" fontId="4" fillId="6" borderId="0" xfId="67" applyNumberFormat="1" applyFill="1" applyAlignment="1">
      <alignment horizontal="right"/>
    </xf>
    <xf numFmtId="0" fontId="4" fillId="6" borderId="0" xfId="67" applyFill="1" applyProtection="1">
      <protection locked="0"/>
    </xf>
    <xf numFmtId="173" fontId="30" fillId="6" borderId="0" xfId="37" applyNumberFormat="1" applyFont="1" applyFill="1" applyAlignment="1" applyProtection="1">
      <alignment horizontal="center"/>
      <protection locked="0"/>
    </xf>
    <xf numFmtId="0" fontId="26" fillId="6" borderId="38" xfId="32" applyFont="1" applyFill="1" applyBorder="1"/>
    <xf numFmtId="0" fontId="26" fillId="6" borderId="38" xfId="32" applyFont="1" applyFill="1" applyBorder="1" applyAlignment="1">
      <alignment horizontal="center"/>
    </xf>
    <xf numFmtId="0" fontId="26" fillId="6" borderId="38" xfId="37" applyFont="1" applyFill="1" applyBorder="1" applyAlignment="1">
      <alignment horizontal="center" wrapText="1"/>
    </xf>
    <xf numFmtId="0" fontId="4" fillId="6" borderId="0" xfId="67" applyFill="1" applyAlignment="1">
      <alignment horizontal="left" vertical="center"/>
    </xf>
    <xf numFmtId="0" fontId="3" fillId="6" borderId="0" xfId="67" applyFont="1" applyFill="1" applyAlignment="1">
      <alignment horizontal="left" vertical="center"/>
    </xf>
    <xf numFmtId="0" fontId="4" fillId="6" borderId="0" xfId="67" applyFill="1" applyAlignment="1">
      <alignment horizontal="left" vertical="center" wrapText="1"/>
    </xf>
    <xf numFmtId="0" fontId="3" fillId="6" borderId="0" xfId="67" applyFont="1" applyFill="1" applyAlignment="1">
      <alignment horizontal="left" vertical="center" wrapText="1"/>
    </xf>
    <xf numFmtId="0" fontId="3" fillId="6" borderId="41" xfId="0" applyFont="1" applyFill="1" applyBorder="1" applyAlignment="1" applyProtection="1">
      <alignment horizontal="left" wrapText="1"/>
      <protection hidden="1"/>
    </xf>
    <xf numFmtId="174" fontId="3" fillId="6" borderId="30" xfId="67" applyNumberFormat="1" applyFont="1" applyFill="1" applyBorder="1" applyAlignment="1">
      <alignment horizontal="right"/>
    </xf>
    <xf numFmtId="0" fontId="31" fillId="6" borderId="39" xfId="0" applyFont="1" applyFill="1" applyBorder="1"/>
    <xf numFmtId="173" fontId="19" fillId="2" borderId="43" xfId="0" applyNumberFormat="1" applyFont="1" applyFill="1" applyBorder="1"/>
    <xf numFmtId="173" fontId="19" fillId="2" borderId="29" xfId="0" applyNumberFormat="1" applyFont="1" applyFill="1" applyBorder="1"/>
    <xf numFmtId="173" fontId="19" fillId="2" borderId="44" xfId="0" applyNumberFormat="1" applyFont="1" applyFill="1" applyBorder="1"/>
    <xf numFmtId="173" fontId="19" fillId="2" borderId="42" xfId="0" applyNumberFormat="1" applyFont="1" applyFill="1" applyBorder="1"/>
    <xf numFmtId="173" fontId="19" fillId="2" borderId="4" xfId="0" applyNumberFormat="1" applyFont="1" applyFill="1" applyBorder="1"/>
    <xf numFmtId="173" fontId="19" fillId="2" borderId="2" xfId="0" applyNumberFormat="1" applyFont="1" applyFill="1" applyBorder="1"/>
    <xf numFmtId="0" fontId="3" fillId="10" borderId="1" xfId="0" applyFont="1" applyFill="1" applyBorder="1" applyProtection="1">
      <protection hidden="1"/>
    </xf>
    <xf numFmtId="0" fontId="3" fillId="10" borderId="3" xfId="0" applyFont="1" applyFill="1" applyBorder="1" applyProtection="1">
      <protection hidden="1"/>
    </xf>
    <xf numFmtId="0" fontId="3" fillId="11" borderId="1" xfId="0" applyFont="1" applyFill="1" applyBorder="1" applyProtection="1">
      <protection hidden="1"/>
    </xf>
    <xf numFmtId="165" fontId="3" fillId="11" borderId="1" xfId="0" applyNumberFormat="1" applyFont="1" applyFill="1" applyBorder="1" applyAlignment="1" applyProtection="1">
      <alignment horizontal="left"/>
      <protection hidden="1"/>
    </xf>
    <xf numFmtId="0" fontId="4" fillId="11" borderId="1" xfId="0" applyFont="1" applyFill="1" applyBorder="1" applyProtection="1">
      <protection hidden="1"/>
    </xf>
    <xf numFmtId="0" fontId="4" fillId="11" borderId="3" xfId="0" applyFont="1" applyFill="1" applyBorder="1" applyProtection="1">
      <protection hidden="1"/>
    </xf>
    <xf numFmtId="0" fontId="3" fillId="11" borderId="13" xfId="32" applyFont="1" applyFill="1" applyBorder="1" applyAlignment="1" applyProtection="1">
      <alignment horizontal="left"/>
      <protection hidden="1"/>
    </xf>
    <xf numFmtId="0" fontId="3" fillId="11" borderId="1" xfId="0" applyFont="1" applyFill="1" applyBorder="1" applyAlignment="1" applyProtection="1">
      <alignment horizontal="left"/>
      <protection hidden="1"/>
    </xf>
    <xf numFmtId="167" fontId="3" fillId="11" borderId="3" xfId="0" applyNumberFormat="1" applyFont="1" applyFill="1" applyBorder="1" applyAlignment="1" applyProtection="1">
      <alignment horizontal="left"/>
      <protection hidden="1"/>
    </xf>
    <xf numFmtId="165" fontId="3" fillId="11" borderId="6" xfId="0" applyNumberFormat="1" applyFont="1" applyFill="1" applyBorder="1" applyAlignment="1" applyProtection="1">
      <alignment horizontal="right"/>
      <protection hidden="1"/>
    </xf>
    <xf numFmtId="165" fontId="3" fillId="11" borderId="6" xfId="0" applyNumberFormat="1" applyFont="1" applyFill="1" applyBorder="1" applyProtection="1">
      <protection hidden="1"/>
    </xf>
    <xf numFmtId="165" fontId="3" fillId="11" borderId="6" xfId="76" applyNumberFormat="1" applyFont="1" applyFill="1" applyBorder="1" applyProtection="1">
      <protection hidden="1"/>
    </xf>
    <xf numFmtId="165" fontId="3" fillId="10" borderId="6" xfId="0" applyNumberFormat="1" applyFont="1" applyFill="1" applyBorder="1" applyProtection="1">
      <protection hidden="1"/>
    </xf>
    <xf numFmtId="0" fontId="3" fillId="10" borderId="13" xfId="0" applyFont="1" applyFill="1" applyBorder="1" applyAlignment="1" applyProtection="1">
      <alignment horizontal="left"/>
      <protection hidden="1"/>
    </xf>
    <xf numFmtId="0" fontId="3" fillId="10" borderId="1" xfId="0" applyFont="1" applyFill="1" applyBorder="1" applyAlignment="1" applyProtection="1">
      <alignment horizontal="left"/>
      <protection hidden="1"/>
    </xf>
    <xf numFmtId="0" fontId="4" fillId="10" borderId="3" xfId="0" applyFont="1" applyFill="1" applyBorder="1" applyProtection="1">
      <protection hidden="1"/>
    </xf>
    <xf numFmtId="0" fontId="3" fillId="10" borderId="13" xfId="32" applyFont="1" applyFill="1" applyBorder="1" applyAlignment="1" applyProtection="1">
      <alignment horizontal="left"/>
      <protection hidden="1"/>
    </xf>
    <xf numFmtId="0" fontId="3" fillId="11" borderId="13" xfId="0" applyFont="1" applyFill="1" applyBorder="1" applyAlignment="1" applyProtection="1">
      <alignment horizontal="left"/>
      <protection hidden="1"/>
    </xf>
    <xf numFmtId="165" fontId="3" fillId="10" borderId="3" xfId="0" applyNumberFormat="1" applyFont="1" applyFill="1" applyBorder="1" applyProtection="1">
      <protection hidden="1"/>
    </xf>
    <xf numFmtId="165" fontId="3" fillId="11" borderId="3" xfId="0" applyNumberFormat="1" applyFont="1" applyFill="1" applyBorder="1" applyProtection="1">
      <protection hidden="1"/>
    </xf>
    <xf numFmtId="0" fontId="3" fillId="11" borderId="1" xfId="32" applyFont="1" applyFill="1" applyBorder="1" applyAlignment="1" applyProtection="1">
      <alignment horizontal="left"/>
      <protection hidden="1"/>
    </xf>
    <xf numFmtId="0" fontId="3" fillId="10" borderId="1" xfId="32" applyFont="1" applyFill="1" applyBorder="1" applyAlignment="1" applyProtection="1">
      <alignment horizontal="left"/>
      <protection hidden="1"/>
    </xf>
    <xf numFmtId="0" fontId="4" fillId="10" borderId="3" xfId="32" applyFill="1" applyBorder="1" applyProtection="1">
      <protection hidden="1"/>
    </xf>
    <xf numFmtId="167" fontId="3" fillId="11" borderId="3" xfId="32" applyNumberFormat="1" applyFont="1" applyFill="1" applyBorder="1" applyAlignment="1" applyProtection="1">
      <alignment horizontal="left"/>
      <protection hidden="1"/>
    </xf>
    <xf numFmtId="0" fontId="26" fillId="10" borderId="30" xfId="0" applyFont="1" applyFill="1" applyBorder="1" applyAlignment="1">
      <alignment horizontal="center" wrapText="1"/>
    </xf>
    <xf numFmtId="165" fontId="27" fillId="11" borderId="34" xfId="16" applyFont="1" applyFill="1" applyBorder="1" applyAlignment="1"/>
    <xf numFmtId="0" fontId="26" fillId="11" borderId="0" xfId="0" applyFont="1" applyFill="1"/>
    <xf numFmtId="165" fontId="27" fillId="11" borderId="0" xfId="16" applyFont="1" applyFill="1" applyBorder="1" applyAlignment="1">
      <alignment horizontal="center" vertical="center" wrapText="1"/>
    </xf>
    <xf numFmtId="0" fontId="26" fillId="11" borderId="34" xfId="0" applyFont="1" applyFill="1" applyBorder="1"/>
    <xf numFmtId="175" fontId="27" fillId="11" borderId="0" xfId="16" applyNumberFormat="1" applyFont="1" applyFill="1" applyBorder="1" applyAlignment="1"/>
    <xf numFmtId="175" fontId="27" fillId="11" borderId="36" xfId="16" applyNumberFormat="1" applyFont="1" applyFill="1" applyBorder="1" applyAlignment="1"/>
    <xf numFmtId="0" fontId="4" fillId="10" borderId="6" xfId="0" applyFont="1" applyFill="1" applyBorder="1" applyProtection="1">
      <protection hidden="1"/>
    </xf>
    <xf numFmtId="165" fontId="4" fillId="10" borderId="6" xfId="0" applyNumberFormat="1" applyFont="1" applyFill="1" applyBorder="1" applyProtection="1">
      <protection hidden="1"/>
    </xf>
    <xf numFmtId="0" fontId="2" fillId="0" borderId="0" xfId="123"/>
    <xf numFmtId="0" fontId="2" fillId="0" borderId="24" xfId="123" applyBorder="1"/>
    <xf numFmtId="0" fontId="2" fillId="0" borderId="10" xfId="123" applyBorder="1"/>
    <xf numFmtId="1" fontId="2" fillId="0" borderId="10" xfId="123" applyNumberFormat="1" applyBorder="1"/>
    <xf numFmtId="1" fontId="2" fillId="0" borderId="0" xfId="123" applyNumberFormat="1"/>
    <xf numFmtId="0" fontId="2" fillId="0" borderId="5" xfId="123" applyBorder="1"/>
    <xf numFmtId="1" fontId="2" fillId="0" borderId="4" xfId="123" applyNumberFormat="1" applyBorder="1"/>
    <xf numFmtId="0" fontId="2" fillId="0" borderId="2" xfId="123" applyBorder="1"/>
    <xf numFmtId="0" fontId="2" fillId="0" borderId="4" xfId="123" applyBorder="1"/>
    <xf numFmtId="1" fontId="2" fillId="0" borderId="2" xfId="123" applyNumberFormat="1" applyBorder="1"/>
    <xf numFmtId="2" fontId="24" fillId="0" borderId="13" xfId="67" applyNumberFormat="1" applyFont="1" applyBorder="1" applyAlignment="1">
      <alignment horizontal="center" vertical="center"/>
    </xf>
    <xf numFmtId="171" fontId="3" fillId="5" borderId="19" xfId="67" applyNumberFormat="1" applyFont="1" applyFill="1" applyBorder="1" applyAlignment="1">
      <alignment horizontal="center" vertical="center"/>
    </xf>
    <xf numFmtId="176" fontId="3" fillId="2" borderId="6" xfId="0" applyNumberFormat="1" applyFont="1" applyFill="1" applyBorder="1" applyProtection="1">
      <protection hidden="1"/>
    </xf>
    <xf numFmtId="9" fontId="3" fillId="2" borderId="9" xfId="124" applyFont="1" applyFill="1" applyBorder="1" applyProtection="1">
      <protection hidden="1"/>
    </xf>
    <xf numFmtId="9" fontId="4" fillId="0" borderId="0" xfId="0" applyNumberFormat="1" applyFont="1" applyProtection="1">
      <protection hidden="1"/>
    </xf>
    <xf numFmtId="0" fontId="1" fillId="6" borderId="0" xfId="0" applyFont="1" applyFill="1"/>
    <xf numFmtId="0" fontId="33" fillId="10" borderId="33" xfId="0" applyFont="1" applyFill="1" applyBorder="1"/>
    <xf numFmtId="0" fontId="33" fillId="10" borderId="30" xfId="0" applyFont="1" applyFill="1" applyBorder="1" applyAlignment="1">
      <alignment horizontal="center" wrapText="1"/>
    </xf>
    <xf numFmtId="0" fontId="3" fillId="0" borderId="13" xfId="67" applyFont="1" applyBorder="1" applyAlignment="1">
      <alignment horizontal="center" vertical="center"/>
    </xf>
    <xf numFmtId="0" fontId="3" fillId="0" borderId="3" xfId="67" applyFont="1" applyBorder="1" applyAlignment="1">
      <alignment horizontal="center" vertical="center"/>
    </xf>
    <xf numFmtId="0" fontId="3" fillId="6" borderId="0" xfId="0" applyFont="1" applyFill="1" applyAlignment="1" applyProtection="1">
      <alignment horizontal="center" wrapText="1"/>
      <protection hidden="1"/>
    </xf>
    <xf numFmtId="0" fontId="3" fillId="0" borderId="14" xfId="67" applyFont="1" applyBorder="1" applyAlignment="1">
      <alignment horizontal="center" vertical="center" textRotation="90" wrapText="1"/>
    </xf>
    <xf numFmtId="0" fontId="3" fillId="0" borderId="9" xfId="67" applyFont="1" applyBorder="1" applyAlignment="1">
      <alignment horizontal="center" vertical="center" textRotation="90" wrapText="1"/>
    </xf>
    <xf numFmtId="0" fontId="3" fillId="0" borderId="42" xfId="67" applyFont="1" applyBorder="1" applyAlignment="1">
      <alignment horizontal="center" vertical="center" textRotation="90" wrapText="1"/>
    </xf>
    <xf numFmtId="0" fontId="3" fillId="0" borderId="13" xfId="67" applyFont="1" applyBorder="1" applyAlignment="1">
      <alignment vertical="center" wrapText="1"/>
    </xf>
    <xf numFmtId="0" fontId="3" fillId="0" borderId="3" xfId="67" applyFont="1" applyBorder="1" applyAlignment="1">
      <alignment vertical="center" wrapText="1"/>
    </xf>
    <xf numFmtId="0" fontId="3" fillId="0" borderId="1" xfId="67" applyFont="1" applyBorder="1" applyAlignment="1">
      <alignment horizontal="center" vertical="center"/>
    </xf>
    <xf numFmtId="0" fontId="3" fillId="6" borderId="41" xfId="0" applyFont="1" applyFill="1" applyBorder="1" applyAlignment="1" applyProtection="1">
      <alignment horizontal="left" wrapText="1"/>
      <protection hidden="1"/>
    </xf>
    <xf numFmtId="0" fontId="4" fillId="0" borderId="31" xfId="0" applyFont="1" applyBorder="1" applyAlignment="1" applyProtection="1">
      <alignment horizontal="left" vertical="center"/>
      <protection hidden="1"/>
    </xf>
    <xf numFmtId="0" fontId="4" fillId="0" borderId="26" xfId="0" applyFont="1" applyBorder="1" applyAlignment="1" applyProtection="1">
      <alignment horizontal="left" vertical="center"/>
      <protection hidden="1"/>
    </xf>
    <xf numFmtId="0" fontId="4" fillId="0" borderId="25" xfId="0" applyFont="1" applyBorder="1" applyAlignment="1" applyProtection="1">
      <alignment horizontal="left" vertical="center"/>
      <protection hidden="1"/>
    </xf>
    <xf numFmtId="0" fontId="4" fillId="0" borderId="24"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34" fillId="10" borderId="13" xfId="32" applyFont="1" applyFill="1" applyBorder="1" applyAlignment="1" applyProtection="1">
      <alignment horizontal="left" wrapText="1"/>
      <protection hidden="1"/>
    </xf>
    <xf numFmtId="0" fontId="35" fillId="10" borderId="1" xfId="32" applyFont="1" applyFill="1" applyBorder="1" applyAlignment="1">
      <alignment wrapText="1"/>
    </xf>
    <xf numFmtId="0" fontId="34" fillId="10" borderId="1" xfId="32" applyFont="1" applyFill="1" applyBorder="1" applyAlignment="1" applyProtection="1">
      <alignment wrapText="1"/>
      <protection hidden="1"/>
    </xf>
    <xf numFmtId="0" fontId="3" fillId="11" borderId="13" xfId="32" applyFont="1" applyFill="1" applyBorder="1" applyAlignment="1" applyProtection="1">
      <alignment horizontal="left" wrapText="1"/>
      <protection hidden="1"/>
    </xf>
    <xf numFmtId="0" fontId="4" fillId="11" borderId="1" xfId="32" applyFill="1" applyBorder="1" applyAlignment="1">
      <alignment horizontal="left" wrapText="1"/>
    </xf>
    <xf numFmtId="0" fontId="4" fillId="11" borderId="3" xfId="32" applyFill="1" applyBorder="1" applyAlignment="1">
      <alignment horizontal="left" wrapText="1"/>
    </xf>
    <xf numFmtId="0" fontId="3" fillId="10" borderId="13" xfId="0" applyFont="1" applyFill="1" applyBorder="1" applyAlignment="1" applyProtection="1">
      <alignment horizontal="left" wrapText="1"/>
      <protection hidden="1"/>
    </xf>
    <xf numFmtId="0" fontId="0" fillId="10" borderId="1" xfId="0" applyFill="1" applyBorder="1" applyAlignment="1">
      <alignment horizontal="left" wrapText="1"/>
    </xf>
    <xf numFmtId="0" fontId="0" fillId="10" borderId="3" xfId="0" applyFill="1" applyBorder="1" applyAlignment="1">
      <alignment horizontal="left" wrapText="1"/>
    </xf>
    <xf numFmtId="0" fontId="3" fillId="11" borderId="1" xfId="32" applyFont="1" applyFill="1" applyBorder="1" applyAlignment="1" applyProtection="1">
      <alignment horizontal="left" wrapText="1"/>
      <protection hidden="1"/>
    </xf>
    <xf numFmtId="0" fontId="3" fillId="11" borderId="3" xfId="32" applyFont="1" applyFill="1" applyBorder="1" applyAlignment="1" applyProtection="1">
      <alignment horizontal="left" wrapText="1"/>
      <protection hidden="1"/>
    </xf>
    <xf numFmtId="0" fontId="3" fillId="11" borderId="13" xfId="0" applyFont="1" applyFill="1" applyBorder="1" applyAlignment="1" applyProtection="1">
      <alignment horizontal="left" wrapText="1"/>
      <protection hidden="1"/>
    </xf>
    <xf numFmtId="0" fontId="0" fillId="11" borderId="1" xfId="0" applyFill="1" applyBorder="1" applyAlignment="1">
      <alignment horizontal="left" wrapText="1"/>
    </xf>
    <xf numFmtId="0" fontId="3" fillId="10" borderId="13" xfId="32" applyFont="1" applyFill="1" applyBorder="1" applyAlignment="1" applyProtection="1">
      <alignment horizontal="left" wrapText="1" readingOrder="1"/>
      <protection hidden="1"/>
    </xf>
    <xf numFmtId="0" fontId="3" fillId="10" borderId="1" xfId="32" applyFont="1" applyFill="1" applyBorder="1" applyAlignment="1" applyProtection="1">
      <alignment horizontal="left" wrapText="1" readingOrder="1"/>
      <protection hidden="1"/>
    </xf>
    <xf numFmtId="0" fontId="3" fillId="10" borderId="3" xfId="32" applyFont="1" applyFill="1" applyBorder="1" applyAlignment="1" applyProtection="1">
      <alignment horizontal="left" wrapText="1" readingOrder="1"/>
      <protection hidden="1"/>
    </xf>
    <xf numFmtId="166" fontId="3" fillId="11" borderId="13" xfId="32" applyNumberFormat="1" applyFont="1" applyFill="1" applyBorder="1" applyAlignment="1" applyProtection="1">
      <alignment horizontal="left" wrapText="1"/>
      <protection hidden="1"/>
    </xf>
    <xf numFmtId="166" fontId="3" fillId="11" borderId="1" xfId="32" applyNumberFormat="1" applyFont="1" applyFill="1" applyBorder="1" applyAlignment="1" applyProtection="1">
      <alignment horizontal="left" wrapText="1"/>
      <protection hidden="1"/>
    </xf>
    <xf numFmtId="166" fontId="3" fillId="11" borderId="3" xfId="32" applyNumberFormat="1" applyFont="1" applyFill="1" applyBorder="1" applyAlignment="1" applyProtection="1">
      <alignment horizontal="left" wrapText="1"/>
      <protection hidden="1"/>
    </xf>
    <xf numFmtId="0" fontId="19" fillId="2" borderId="28" xfId="0" applyFont="1" applyFill="1" applyBorder="1" applyAlignment="1">
      <alignment wrapText="1"/>
    </xf>
    <xf numFmtId="0" fontId="0" fillId="0" borderId="29" xfId="0" applyBorder="1" applyAlignment="1">
      <alignment wrapText="1"/>
    </xf>
    <xf numFmtId="0" fontId="19" fillId="2" borderId="45" xfId="0" applyFont="1" applyFill="1" applyBorder="1" applyAlignment="1">
      <alignment wrapText="1"/>
    </xf>
    <xf numFmtId="0" fontId="0" fillId="0" borderId="41" xfId="0" applyBorder="1" applyAlignment="1">
      <alignment wrapText="1"/>
    </xf>
    <xf numFmtId="0" fontId="25" fillId="0" borderId="0" xfId="48" applyFont="1" applyAlignment="1">
      <alignment horizontal="center"/>
    </xf>
    <xf numFmtId="0" fontId="23" fillId="10" borderId="13" xfId="32" applyFont="1" applyFill="1" applyBorder="1" applyAlignment="1" applyProtection="1">
      <alignment horizontal="left" wrapText="1" readingOrder="1"/>
      <protection hidden="1"/>
    </xf>
    <xf numFmtId="0" fontId="23" fillId="10" borderId="1" xfId="32" applyFont="1" applyFill="1" applyBorder="1" applyAlignment="1" applyProtection="1">
      <alignment horizontal="left" wrapText="1" readingOrder="1"/>
      <protection hidden="1"/>
    </xf>
    <xf numFmtId="0" fontId="23" fillId="10" borderId="3" xfId="32" applyFont="1" applyFill="1" applyBorder="1" applyAlignment="1" applyProtection="1">
      <alignment horizontal="left" wrapText="1" readingOrder="1"/>
      <protection hidden="1"/>
    </xf>
    <xf numFmtId="0" fontId="3" fillId="10" borderId="13" xfId="32" applyFont="1" applyFill="1" applyBorder="1" applyAlignment="1" applyProtection="1">
      <alignment horizontal="left" wrapText="1"/>
      <protection hidden="1"/>
    </xf>
    <xf numFmtId="0" fontId="4" fillId="10" borderId="1" xfId="32" applyFill="1" applyBorder="1" applyAlignment="1">
      <alignment horizontal="left" wrapText="1"/>
    </xf>
    <xf numFmtId="0" fontId="4" fillId="10" borderId="3" xfId="32" applyFill="1" applyBorder="1" applyAlignment="1">
      <alignment horizontal="left" wrapText="1"/>
    </xf>
    <xf numFmtId="0" fontId="19" fillId="2" borderId="29" xfId="0" applyFont="1" applyFill="1" applyBorder="1" applyAlignment="1">
      <alignment wrapText="1"/>
    </xf>
    <xf numFmtId="0" fontId="19" fillId="2" borderId="44" xfId="0" applyFont="1" applyFill="1" applyBorder="1" applyAlignment="1">
      <alignment wrapText="1"/>
    </xf>
    <xf numFmtId="0" fontId="19" fillId="2" borderId="41" xfId="0" applyFont="1" applyFill="1" applyBorder="1" applyAlignment="1">
      <alignment wrapText="1"/>
    </xf>
    <xf numFmtId="0" fontId="19" fillId="2" borderId="46" xfId="0" applyFont="1" applyFill="1" applyBorder="1" applyAlignment="1">
      <alignment wrapText="1"/>
    </xf>
    <xf numFmtId="0" fontId="0" fillId="6" borderId="33" xfId="0" applyFill="1" applyBorder="1" applyAlignment="1">
      <alignment vertical="center" wrapText="1"/>
    </xf>
    <xf numFmtId="0" fontId="0" fillId="6" borderId="30" xfId="0" applyFill="1" applyBorder="1" applyAlignment="1">
      <alignment vertical="center" wrapText="1"/>
    </xf>
    <xf numFmtId="0" fontId="0" fillId="6" borderId="30" xfId="0" applyFill="1" applyBorder="1" applyAlignment="1">
      <alignment wrapText="1"/>
    </xf>
    <xf numFmtId="0" fontId="2" fillId="12" borderId="31" xfId="123" applyFill="1" applyBorder="1" applyAlignment="1">
      <alignment horizontal="center"/>
    </xf>
    <xf numFmtId="0" fontId="2" fillId="12" borderId="26" xfId="123" applyFill="1" applyBorder="1" applyAlignment="1">
      <alignment horizontal="center"/>
    </xf>
    <xf numFmtId="0" fontId="2" fillId="12" borderId="25" xfId="123" applyFill="1" applyBorder="1" applyAlignment="1">
      <alignment horizontal="center"/>
    </xf>
  </cellXfs>
  <cellStyles count="125">
    <cellStyle name="Comma 2" xfId="1" xr:uid="{00000000-0005-0000-0000-000000000000}"/>
    <cellStyle name="Comma 2 2" xfId="2" xr:uid="{00000000-0005-0000-0000-000001000000}"/>
    <cellStyle name="Comma 2 3" xfId="3" xr:uid="{00000000-0005-0000-0000-000002000000}"/>
    <cellStyle name="Comma 2 4" xfId="4" xr:uid="{00000000-0005-0000-0000-000003000000}"/>
    <cellStyle name="Comma 3" xfId="5" xr:uid="{00000000-0005-0000-0000-000004000000}"/>
    <cellStyle name="Comma 3 2" xfId="6" xr:uid="{00000000-0005-0000-0000-000005000000}"/>
    <cellStyle name="Comma 3 3" xfId="7" xr:uid="{00000000-0005-0000-0000-000006000000}"/>
    <cellStyle name="Comma 3 3 2" xfId="8" xr:uid="{00000000-0005-0000-0000-000007000000}"/>
    <cellStyle name="Comma 3 4" xfId="9" xr:uid="{00000000-0005-0000-0000-000008000000}"/>
    <cellStyle name="Comma 4" xfId="10" xr:uid="{00000000-0005-0000-0000-000009000000}"/>
    <cellStyle name="Comma 4 2" xfId="11" xr:uid="{00000000-0005-0000-0000-00000A000000}"/>
    <cellStyle name="Comma 5" xfId="12" xr:uid="{00000000-0005-0000-0000-00000B000000}"/>
    <cellStyle name="Comma 5 2" xfId="13" xr:uid="{00000000-0005-0000-0000-00000C000000}"/>
    <cellStyle name="Comma 5 3" xfId="14" xr:uid="{00000000-0005-0000-0000-00000D000000}"/>
    <cellStyle name="Comma 5 3 2" xfId="15" xr:uid="{00000000-0005-0000-0000-00000E000000}"/>
    <cellStyle name="Comma 6" xfId="16" xr:uid="{00000000-0005-0000-0000-00000F000000}"/>
    <cellStyle name="Comma 6 2" xfId="17" xr:uid="{00000000-0005-0000-0000-000010000000}"/>
    <cellStyle name="Comma 6 3" xfId="18" xr:uid="{00000000-0005-0000-0000-000011000000}"/>
    <cellStyle name="Comma 6 3 2" xfId="19" xr:uid="{00000000-0005-0000-0000-000012000000}"/>
    <cellStyle name="Comma 7" xfId="20" xr:uid="{00000000-0005-0000-0000-000013000000}"/>
    <cellStyle name="Comma 7 2" xfId="21" xr:uid="{00000000-0005-0000-0000-000014000000}"/>
    <cellStyle name="Comma 7 3" xfId="22" xr:uid="{00000000-0005-0000-0000-000015000000}"/>
    <cellStyle name="Currency 2" xfId="23" xr:uid="{00000000-0005-0000-0000-000016000000}"/>
    <cellStyle name="Currency 3" xfId="24" xr:uid="{00000000-0005-0000-0000-000017000000}"/>
    <cellStyle name="Currency 3 2" xfId="25" xr:uid="{00000000-0005-0000-0000-000018000000}"/>
    <cellStyle name="Currency 3 3" xfId="26" xr:uid="{00000000-0005-0000-0000-000019000000}"/>
    <cellStyle name="Hyperlink 2" xfId="27" xr:uid="{00000000-0005-0000-0000-00001A000000}"/>
    <cellStyle name="Hyperlink 2 2" xfId="28" xr:uid="{00000000-0005-0000-0000-00001B000000}"/>
    <cellStyle name="Hyperlink 2 3" xfId="29" xr:uid="{00000000-0005-0000-0000-00001C000000}"/>
    <cellStyle name="Hyperlink 3" xfId="30" xr:uid="{00000000-0005-0000-0000-00001D000000}"/>
    <cellStyle name="Hyperlink 3 2" xfId="31" xr:uid="{00000000-0005-0000-0000-00001E000000}"/>
    <cellStyle name="Normal" xfId="0" builtinId="0"/>
    <cellStyle name="Normal 10" xfId="123" xr:uid="{78C85415-9CE2-47EC-86C4-08A8A56EA17B}"/>
    <cellStyle name="Normal 2" xfId="32" xr:uid="{00000000-0005-0000-0000-000020000000}"/>
    <cellStyle name="Normal 2 2" xfId="33" xr:uid="{00000000-0005-0000-0000-000021000000}"/>
    <cellStyle name="Normal 2 2 2" xfId="34" xr:uid="{00000000-0005-0000-0000-000022000000}"/>
    <cellStyle name="Normal 2 2 2 2" xfId="35" xr:uid="{00000000-0005-0000-0000-000023000000}"/>
    <cellStyle name="Normal 2 2 2 3" xfId="36" xr:uid="{00000000-0005-0000-0000-000024000000}"/>
    <cellStyle name="Normal 2 2 3" xfId="37" xr:uid="{00000000-0005-0000-0000-000025000000}"/>
    <cellStyle name="Normal 2 2 4" xfId="38" xr:uid="{00000000-0005-0000-0000-000026000000}"/>
    <cellStyle name="Normal 2 2 5" xfId="39" xr:uid="{00000000-0005-0000-0000-000027000000}"/>
    <cellStyle name="Normal 2 3" xfId="40" xr:uid="{00000000-0005-0000-0000-000028000000}"/>
    <cellStyle name="Normal 2 3 2" xfId="41" xr:uid="{00000000-0005-0000-0000-000029000000}"/>
    <cellStyle name="Normal 2 3 3" xfId="42" xr:uid="{00000000-0005-0000-0000-00002A000000}"/>
    <cellStyle name="Normal 2 4" xfId="43" xr:uid="{00000000-0005-0000-0000-00002B000000}"/>
    <cellStyle name="Normal 2 5" xfId="44" xr:uid="{00000000-0005-0000-0000-00002C000000}"/>
    <cellStyle name="Normal 2 6" xfId="45" xr:uid="{00000000-0005-0000-0000-00002D000000}"/>
    <cellStyle name="Normal 3" xfId="46" xr:uid="{00000000-0005-0000-0000-00002E000000}"/>
    <cellStyle name="Normal 3 2" xfId="47" xr:uid="{00000000-0005-0000-0000-00002F000000}"/>
    <cellStyle name="Normal 3 2 2" xfId="48" xr:uid="{00000000-0005-0000-0000-000030000000}"/>
    <cellStyle name="Normal 3 2 3" xfId="49" xr:uid="{00000000-0005-0000-0000-000031000000}"/>
    <cellStyle name="Normal 3 2 4" xfId="50" xr:uid="{00000000-0005-0000-0000-000032000000}"/>
    <cellStyle name="Normal 3 2 4 2" xfId="51" xr:uid="{00000000-0005-0000-0000-000033000000}"/>
    <cellStyle name="Normal 3 2 4 3" xfId="52" xr:uid="{00000000-0005-0000-0000-000034000000}"/>
    <cellStyle name="Normal 3 2 5" xfId="53" xr:uid="{00000000-0005-0000-0000-000035000000}"/>
    <cellStyle name="Normal 3 3" xfId="54" xr:uid="{00000000-0005-0000-0000-000036000000}"/>
    <cellStyle name="Normal 3 4" xfId="55" xr:uid="{00000000-0005-0000-0000-000037000000}"/>
    <cellStyle name="Normal 3 5" xfId="56" xr:uid="{00000000-0005-0000-0000-000038000000}"/>
    <cellStyle name="Normal 3 6" xfId="57" xr:uid="{00000000-0005-0000-0000-000039000000}"/>
    <cellStyle name="Normal 4" xfId="58" xr:uid="{00000000-0005-0000-0000-00003A000000}"/>
    <cellStyle name="Normal 4 2" xfId="59" xr:uid="{00000000-0005-0000-0000-00003B000000}"/>
    <cellStyle name="Normal 4 2 2" xfId="60" xr:uid="{00000000-0005-0000-0000-00003C000000}"/>
    <cellStyle name="Normal 4 2 3" xfId="61" xr:uid="{00000000-0005-0000-0000-00003D000000}"/>
    <cellStyle name="Normal 4 3" xfId="62" xr:uid="{00000000-0005-0000-0000-00003E000000}"/>
    <cellStyle name="Normal 5" xfId="63" xr:uid="{00000000-0005-0000-0000-00003F000000}"/>
    <cellStyle name="Normal 5 2" xfId="64" xr:uid="{00000000-0005-0000-0000-000040000000}"/>
    <cellStyle name="Normal 5 3" xfId="65" xr:uid="{00000000-0005-0000-0000-000041000000}"/>
    <cellStyle name="Normal 5 4" xfId="66" xr:uid="{00000000-0005-0000-0000-000042000000}"/>
    <cellStyle name="Normal 6" xfId="67" xr:uid="{00000000-0005-0000-0000-000043000000}"/>
    <cellStyle name="Normal 6 2" xfId="68" xr:uid="{00000000-0005-0000-0000-000044000000}"/>
    <cellStyle name="Normal 6 3" xfId="69" xr:uid="{00000000-0005-0000-0000-000045000000}"/>
    <cellStyle name="Normal 6 3 2" xfId="70" xr:uid="{00000000-0005-0000-0000-000046000000}"/>
    <cellStyle name="Normal 6 3 3" xfId="71" xr:uid="{00000000-0005-0000-0000-000047000000}"/>
    <cellStyle name="Normal 7" xfId="72" xr:uid="{00000000-0005-0000-0000-000048000000}"/>
    <cellStyle name="Normal 7 2" xfId="73" xr:uid="{00000000-0005-0000-0000-000049000000}"/>
    <cellStyle name="Normal 8" xfId="74" xr:uid="{00000000-0005-0000-0000-00004A000000}"/>
    <cellStyle name="Normal 8 2" xfId="75" xr:uid="{00000000-0005-0000-0000-00004B000000}"/>
    <cellStyle name="Normal 9" xfId="76" xr:uid="{00000000-0005-0000-0000-00004C000000}"/>
    <cellStyle name="Normal 9 2" xfId="77" xr:uid="{00000000-0005-0000-0000-00004D000000}"/>
    <cellStyle name="Percent" xfId="124" builtinId="5"/>
    <cellStyle name="Percent 10" xfId="78" xr:uid="{00000000-0005-0000-0000-00004E000000}"/>
    <cellStyle name="Percent 10 2" xfId="79" xr:uid="{00000000-0005-0000-0000-00004F000000}"/>
    <cellStyle name="Percent 10 3" xfId="80" xr:uid="{00000000-0005-0000-0000-000050000000}"/>
    <cellStyle name="Percent 10 4" xfId="81" xr:uid="{00000000-0005-0000-0000-000051000000}"/>
    <cellStyle name="Percent 2" xfId="82" xr:uid="{00000000-0005-0000-0000-000052000000}"/>
    <cellStyle name="Percent 2 2" xfId="83" xr:uid="{00000000-0005-0000-0000-000053000000}"/>
    <cellStyle name="Percent 2 3" xfId="84" xr:uid="{00000000-0005-0000-0000-000054000000}"/>
    <cellStyle name="Percent 2 3 2" xfId="85" xr:uid="{00000000-0005-0000-0000-000055000000}"/>
    <cellStyle name="Percent 2 3 3" xfId="86" xr:uid="{00000000-0005-0000-0000-000056000000}"/>
    <cellStyle name="Percent 2 3 4" xfId="87" xr:uid="{00000000-0005-0000-0000-000057000000}"/>
    <cellStyle name="Percent 2 4" xfId="88" xr:uid="{00000000-0005-0000-0000-000058000000}"/>
    <cellStyle name="Percent 2 5" xfId="89" xr:uid="{00000000-0005-0000-0000-000059000000}"/>
    <cellStyle name="Percent 2 5 2" xfId="90" xr:uid="{00000000-0005-0000-0000-00005A000000}"/>
    <cellStyle name="Percent 2 5 3" xfId="91" xr:uid="{00000000-0005-0000-0000-00005B000000}"/>
    <cellStyle name="Percent 2 6" xfId="92" xr:uid="{00000000-0005-0000-0000-00005C000000}"/>
    <cellStyle name="Percent 3" xfId="93" xr:uid="{00000000-0005-0000-0000-00005D000000}"/>
    <cellStyle name="Percent 3 2" xfId="94" xr:uid="{00000000-0005-0000-0000-00005E000000}"/>
    <cellStyle name="Percent 4" xfId="95" xr:uid="{00000000-0005-0000-0000-00005F000000}"/>
    <cellStyle name="Percent 4 2" xfId="96" xr:uid="{00000000-0005-0000-0000-000060000000}"/>
    <cellStyle name="Percent 5" xfId="97" xr:uid="{00000000-0005-0000-0000-000061000000}"/>
    <cellStyle name="Percent 5 2" xfId="98" xr:uid="{00000000-0005-0000-0000-000062000000}"/>
    <cellStyle name="Percent 5 2 2" xfId="99" xr:uid="{00000000-0005-0000-0000-000063000000}"/>
    <cellStyle name="Percent 5 2 3" xfId="100" xr:uid="{00000000-0005-0000-0000-000064000000}"/>
    <cellStyle name="Percent 5 2 3 2" xfId="101" xr:uid="{00000000-0005-0000-0000-000065000000}"/>
    <cellStyle name="Percent 5 2 3 3" xfId="102" xr:uid="{00000000-0005-0000-0000-000066000000}"/>
    <cellStyle name="Percent 5 3" xfId="103" xr:uid="{00000000-0005-0000-0000-000067000000}"/>
    <cellStyle name="Percent 5 3 2" xfId="104" xr:uid="{00000000-0005-0000-0000-000068000000}"/>
    <cellStyle name="Percent 6" xfId="105" xr:uid="{00000000-0005-0000-0000-000069000000}"/>
    <cellStyle name="Percent 6 2" xfId="106" xr:uid="{00000000-0005-0000-0000-00006A000000}"/>
    <cellStyle name="Percent 6 3" xfId="107" xr:uid="{00000000-0005-0000-0000-00006B000000}"/>
    <cellStyle name="Percent 6 3 2" xfId="108" xr:uid="{00000000-0005-0000-0000-00006C000000}"/>
    <cellStyle name="Percent 7" xfId="109" xr:uid="{00000000-0005-0000-0000-00006D000000}"/>
    <cellStyle name="Percent 7 2" xfId="110" xr:uid="{00000000-0005-0000-0000-00006E000000}"/>
    <cellStyle name="Percent 7 3" xfId="111" xr:uid="{00000000-0005-0000-0000-00006F000000}"/>
    <cellStyle name="Percent 7 4" xfId="112" xr:uid="{00000000-0005-0000-0000-000070000000}"/>
    <cellStyle name="Percent 7 4 2" xfId="113" xr:uid="{00000000-0005-0000-0000-000071000000}"/>
    <cellStyle name="Percent 7 4 3" xfId="114" xr:uid="{00000000-0005-0000-0000-000072000000}"/>
    <cellStyle name="Percent 7 5" xfId="115" xr:uid="{00000000-0005-0000-0000-000073000000}"/>
    <cellStyle name="Percent 7 5 2" xfId="116" xr:uid="{00000000-0005-0000-0000-000074000000}"/>
    <cellStyle name="Percent 8" xfId="117" xr:uid="{00000000-0005-0000-0000-000075000000}"/>
    <cellStyle name="Percent 8 2" xfId="118" xr:uid="{00000000-0005-0000-0000-000076000000}"/>
    <cellStyle name="Percent 8 3" xfId="119" xr:uid="{00000000-0005-0000-0000-000077000000}"/>
    <cellStyle name="Percent 8 3 2" xfId="120" xr:uid="{00000000-0005-0000-0000-000078000000}"/>
    <cellStyle name="Percent 9" xfId="121" xr:uid="{00000000-0005-0000-0000-000079000000}"/>
    <cellStyle name="Percent 9 2" xfId="122" xr:uid="{00000000-0005-0000-0000-00007A000000}"/>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2E07A736-8B86-4465-8BED-A19F2E5E0FAC}"/>
  </tableStyles>
  <colors>
    <mruColors>
      <color rgb="FFAD9244"/>
      <color rgb="FF3A6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333333"/>
                </a:solidFill>
                <a:latin typeface="Calibri"/>
                <a:ea typeface="Calibri"/>
                <a:cs typeface="Calibri"/>
              </a:defRPr>
            </a:pPr>
            <a:r>
              <a:rPr lang="en-ZA"/>
              <a:t>Margin Comparison / Marge Vergelyking:  Eastern Free State Region</a:t>
            </a:r>
          </a:p>
        </c:rich>
      </c:tx>
      <c:overlay val="0"/>
      <c:spPr>
        <a:noFill/>
        <a:ln w="25400">
          <a:noFill/>
        </a:ln>
      </c:spPr>
    </c:title>
    <c:autoTitleDeleted val="0"/>
    <c:plotArea>
      <c:layout>
        <c:manualLayout>
          <c:layoutTarget val="inner"/>
          <c:xMode val="edge"/>
          <c:yMode val="edge"/>
          <c:x val="0.11253032797088575"/>
          <c:y val="0.10834119249397398"/>
          <c:w val="0.82062236981754888"/>
          <c:h val="0.81925350826629662"/>
        </c:manualLayout>
      </c:layout>
      <c:barChart>
        <c:barDir val="col"/>
        <c:grouping val="clustered"/>
        <c:varyColors val="0"/>
        <c:ser>
          <c:idx val="0"/>
          <c:order val="0"/>
          <c:tx>
            <c:strRef>
              <c:f>'Crop Comparison'!$A$34</c:f>
              <c:strCache>
                <c:ptCount val="1"/>
                <c:pt idx="0">
                  <c:v>3) GROSS MARGIN  (R/ha)</c:v>
                </c:pt>
              </c:strCache>
            </c:strRef>
          </c:tx>
          <c:spPr>
            <a:solidFill>
              <a:schemeClr val="bg1"/>
            </a:solidFill>
            <a:ln w="25400">
              <a:solidFill>
                <a:schemeClr val="accent1"/>
              </a:solidFill>
            </a:ln>
            <a:effectLst/>
          </c:spPr>
          <c:invertIfNegative val="0"/>
          <c:dLbls>
            <c:dLbl>
              <c:idx val="2"/>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5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6="http://schemas.microsoft.com/office/drawing/2014/chart" uri="{C3380CC4-5D6E-409C-BE32-E72D297353CC}">
                  <c16:uniqueId val="{00000000-D736-41FC-BE48-CE453A3255F8}"/>
                </c:ext>
              </c:extLst>
            </c:dLbl>
            <c:dLbl>
              <c:idx val="4"/>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5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6="http://schemas.microsoft.com/office/drawing/2014/chart" uri="{C3380CC4-5D6E-409C-BE32-E72D297353CC}">
                  <c16:uniqueId val="{00000001-D736-41FC-BE48-CE453A3255F8}"/>
                </c:ext>
              </c:extLst>
            </c:dLbl>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Comparison'!$B$2:$F$2</c:f>
              <c:strCache>
                <c:ptCount val="3"/>
                <c:pt idx="0">
                  <c:v>Maize (Bt)</c:v>
                </c:pt>
                <c:pt idx="1">
                  <c:v>Sunflower</c:v>
                </c:pt>
                <c:pt idx="2">
                  <c:v>Soy bean</c:v>
                </c:pt>
              </c:strCache>
            </c:strRef>
          </c:cat>
          <c:val>
            <c:numRef>
              <c:f>'Crop Comparison'!$B$34:$F$34</c:f>
              <c:numCache>
                <c:formatCode>"R"\ #\ ##0</c:formatCode>
                <c:ptCount val="3"/>
                <c:pt idx="0">
                  <c:v>5315.4155212669866</c:v>
                </c:pt>
                <c:pt idx="1">
                  <c:v>4350.7111516260939</c:v>
                </c:pt>
                <c:pt idx="2">
                  <c:v>3233.7915939919058</c:v>
                </c:pt>
              </c:numCache>
            </c:numRef>
          </c:val>
          <c:extLst>
            <c:ext xmlns:c16="http://schemas.microsoft.com/office/drawing/2014/chart" uri="{C3380CC4-5D6E-409C-BE32-E72D297353CC}">
              <c16:uniqueId val="{00000002-D736-41FC-BE48-CE453A3255F8}"/>
            </c:ext>
          </c:extLst>
        </c:ser>
        <c:ser>
          <c:idx val="1"/>
          <c:order val="1"/>
          <c:tx>
            <c:strRef>
              <c:f>'Crop Comparison'!$A$35</c:f>
              <c:strCache>
                <c:ptCount val="1"/>
                <c:pt idx="0">
                  <c:v>4) NETT MARGIN  (R/ha)</c:v>
                </c:pt>
              </c:strCache>
            </c:strRef>
          </c:tx>
          <c:spPr>
            <a:noFill/>
            <a:ln w="25400">
              <a:solidFill>
                <a:srgbClr val="FF0000"/>
              </a:solidFill>
            </a:ln>
          </c:spPr>
          <c:invertIfNegative val="0"/>
          <c:dLbls>
            <c:spPr>
              <a:noFill/>
              <a:ln>
                <a:solidFill>
                  <a:srgbClr val="FF0000"/>
                </a:solid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Comparison'!$B$2:$F$2</c:f>
              <c:strCache>
                <c:ptCount val="3"/>
                <c:pt idx="0">
                  <c:v>Maize (Bt)</c:v>
                </c:pt>
                <c:pt idx="1">
                  <c:v>Sunflower</c:v>
                </c:pt>
                <c:pt idx="2">
                  <c:v>Soy bean</c:v>
                </c:pt>
              </c:strCache>
            </c:strRef>
          </c:cat>
          <c:val>
            <c:numRef>
              <c:f>'Crop Comparison'!$B$35:$F$35</c:f>
              <c:numCache>
                <c:formatCode>"R"\ #\ ##0</c:formatCode>
                <c:ptCount val="3"/>
                <c:pt idx="0">
                  <c:v>3475.7855212669856</c:v>
                </c:pt>
                <c:pt idx="1">
                  <c:v>2588.4311516260932</c:v>
                </c:pt>
                <c:pt idx="2">
                  <c:v>1277.7715939919053</c:v>
                </c:pt>
              </c:numCache>
            </c:numRef>
          </c:val>
          <c:extLst>
            <c:ext xmlns:c16="http://schemas.microsoft.com/office/drawing/2014/chart" uri="{C3380CC4-5D6E-409C-BE32-E72D297353CC}">
              <c16:uniqueId val="{00000003-D736-41FC-BE48-CE453A3255F8}"/>
            </c:ext>
          </c:extLst>
        </c:ser>
        <c:dLbls>
          <c:showLegendKey val="0"/>
          <c:showVal val="0"/>
          <c:showCatName val="0"/>
          <c:showSerName val="0"/>
          <c:showPercent val="0"/>
          <c:showBubbleSize val="0"/>
        </c:dLbls>
        <c:gapWidth val="150"/>
        <c:axId val="134204975"/>
        <c:axId val="1"/>
      </c:barChart>
      <c:catAx>
        <c:axId val="134204975"/>
        <c:scaling>
          <c:orientation val="minMax"/>
        </c:scaling>
        <c:delete val="0"/>
        <c:axPos val="b"/>
        <c:numFmt formatCode="General" sourceLinked="1"/>
        <c:majorTickMark val="none"/>
        <c:minorTickMark val="none"/>
        <c:tickLblPos val="nextTo"/>
        <c:spPr>
          <a:ln w="9525">
            <a:noFill/>
          </a:ln>
        </c:spPr>
        <c:txPr>
          <a:bodyPr rot="0" vert="horz"/>
          <a:lstStyle/>
          <a:p>
            <a:pPr>
              <a:defRPr sz="105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 ##0" sourceLinked="1"/>
        <c:majorTickMark val="none"/>
        <c:minorTickMark val="none"/>
        <c:tickLblPos val="nextTo"/>
        <c:spPr>
          <a:ln w="9525">
            <a:noFill/>
          </a:ln>
        </c:spPr>
        <c:txPr>
          <a:bodyPr rot="0" vert="horz"/>
          <a:lstStyle/>
          <a:p>
            <a:pPr>
              <a:defRPr sz="1100" b="0" i="0" u="none" strike="noStrike" baseline="0">
                <a:solidFill>
                  <a:srgbClr val="333333"/>
                </a:solidFill>
                <a:latin typeface="Calibri"/>
                <a:ea typeface="Calibri"/>
                <a:cs typeface="Calibri"/>
              </a:defRPr>
            </a:pPr>
            <a:endParaRPr lang="en-US"/>
          </a:p>
        </c:txPr>
        <c:crossAx val="134204975"/>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Maize profitability</a:t>
            </a:r>
          </a:p>
        </c:rich>
      </c:tx>
      <c:overlay val="0"/>
    </c:title>
    <c:autoTitleDeleted val="0"/>
    <c:plotArea>
      <c:layout/>
      <c:doughnutChart>
        <c:varyColors val="1"/>
        <c:ser>
          <c:idx val="0"/>
          <c:order val="0"/>
          <c:tx>
            <c:strRef>
              <c:f>Grafieke!$A$1</c:f>
              <c:strCache>
                <c:ptCount val="1"/>
                <c:pt idx="0">
                  <c:v>Winsgewendheid: Mielies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81-4B23-9BD9-AFBD73F0699D}"/>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81-4B23-9BD9-AFBD73F0699D}"/>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81-4B23-9BD9-AFBD73F0699D}"/>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81-4B23-9BD9-AFBD73F0699D}"/>
              </c:ext>
            </c:extLst>
          </c:dPt>
          <c:dPt>
            <c:idx val="4"/>
            <c:bubble3D val="0"/>
            <c:spPr>
              <a:noFill/>
              <a:ln>
                <a:noFill/>
              </a:ln>
              <a:effectLst/>
            </c:spPr>
            <c:extLst>
              <c:ext xmlns:c16="http://schemas.microsoft.com/office/drawing/2014/chart" uri="{C3380CC4-5D6E-409C-BE32-E72D297353CC}">
                <c16:uniqueId val="{00000009-2581-4B23-9BD9-AFBD73F0699D}"/>
              </c:ext>
            </c:extLst>
          </c:dPt>
          <c:dLbls>
            <c:dLbl>
              <c:idx val="0"/>
              <c:delete val="1"/>
              <c:extLst>
                <c:ext xmlns:c15="http://schemas.microsoft.com/office/drawing/2012/chart" uri="{CE6537A1-D6FC-4f65-9D91-7224C49458BB}"/>
                <c:ext xmlns:c16="http://schemas.microsoft.com/office/drawing/2014/chart" uri="{C3380CC4-5D6E-409C-BE32-E72D297353CC}">
                  <c16:uniqueId val="{00000001-2581-4B23-9BD9-AFBD73F0699D}"/>
                </c:ext>
              </c:extLst>
            </c:dLbl>
            <c:dLbl>
              <c:idx val="1"/>
              <c:tx>
                <c:rich>
                  <a:bodyPr/>
                  <a:lstStyle/>
                  <a:p>
                    <a:r>
                      <a:rPr lang="en-US" sz="1100">
                        <a:solidFill>
                          <a:schemeClr val="bg1"/>
                        </a:solidFill>
                      </a:rPr>
                      <a:t>Variable</a:t>
                    </a:r>
                    <a:r>
                      <a:rPr lang="en-US" sz="1100" baseline="0">
                        <a:solidFill>
                          <a:schemeClr val="bg1"/>
                        </a:solidFill>
                      </a:rPr>
                      <a:t> costs</a:t>
                    </a:r>
                    <a:endParaRPr lang="en-US" sz="1100">
                      <a:solidFill>
                        <a:schemeClr val="bg1"/>
                      </a:solidFill>
                    </a:endParaRP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581-4B23-9BD9-AFBD73F0699D}"/>
                </c:ext>
              </c:extLst>
            </c:dLbl>
            <c:dLbl>
              <c:idx val="2"/>
              <c:tx>
                <c:rich>
                  <a:bodyPr/>
                  <a:lstStyle/>
                  <a:p>
                    <a:r>
                      <a:rPr lang="en-US" sz="1100">
                        <a:solidFill>
                          <a:schemeClr val="bg1"/>
                        </a:solidFill>
                      </a:rPr>
                      <a:t>Fixed</a:t>
                    </a:r>
                    <a:r>
                      <a:rPr lang="en-US" sz="1100" baseline="0">
                        <a:solidFill>
                          <a:schemeClr val="bg1"/>
                        </a:solidFill>
                      </a:rPr>
                      <a:t> cost</a:t>
                    </a:r>
                    <a:endParaRPr lang="en-US" sz="1100">
                      <a:solidFill>
                        <a:schemeClr val="bg1"/>
                      </a:solidFill>
                    </a:endParaRP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2581-4B23-9BD9-AFBD73F0699D}"/>
                </c:ext>
              </c:extLst>
            </c:dLbl>
            <c:dLbl>
              <c:idx val="3"/>
              <c:tx>
                <c:rich>
                  <a:bodyPr/>
                  <a:lstStyle/>
                  <a:p>
                    <a:r>
                      <a:rPr lang="en-US" sz="1100">
                        <a:solidFill>
                          <a:schemeClr val="bg1"/>
                        </a:solidFill>
                      </a:rPr>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2581-4B23-9BD9-AFBD73F0699D}"/>
                </c:ext>
              </c:extLst>
            </c:dLbl>
            <c:dLbl>
              <c:idx val="4"/>
              <c:delete val="1"/>
              <c:extLst>
                <c:ext xmlns:c15="http://schemas.microsoft.com/office/drawing/2012/chart" uri="{CE6537A1-D6FC-4f65-9D91-7224C49458BB}"/>
                <c:ext xmlns:c16="http://schemas.microsoft.com/office/drawing/2014/chart" uri="{C3380CC4-5D6E-409C-BE32-E72D297353CC}">
                  <c16:uniqueId val="{00000009-2581-4B23-9BD9-AFBD73F0699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41.557710369743113</c:v>
                </c:pt>
                <c:pt idx="2">
                  <c:v>4.3411853149913595</c:v>
                </c:pt>
                <c:pt idx="3">
                  <c:v>54.101104315265516</c:v>
                </c:pt>
                <c:pt idx="4" formatCode="General">
                  <c:v>100</c:v>
                </c:pt>
              </c:numCache>
            </c:numRef>
          </c:val>
          <c:extLst>
            <c:ext xmlns:c16="http://schemas.microsoft.com/office/drawing/2014/chart" uri="{C3380CC4-5D6E-409C-BE32-E72D297353CC}">
              <c16:uniqueId val="{0000000A-2581-4B23-9BD9-AFBD73F0699D}"/>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explosion val="2"/>
          <c:dPt>
            <c:idx val="0"/>
            <c:bubble3D val="0"/>
            <c:spPr>
              <a:noFill/>
              <a:ln>
                <a:noFill/>
              </a:ln>
              <a:effectLst/>
            </c:spPr>
            <c:extLst>
              <c:ext xmlns:c16="http://schemas.microsoft.com/office/drawing/2014/chart" uri="{C3380CC4-5D6E-409C-BE32-E72D297353CC}">
                <c16:uniqueId val="{0000000C-2581-4B23-9BD9-AFBD73F0699D}"/>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2581-4B23-9BD9-AFBD73F0699D}"/>
              </c:ext>
            </c:extLst>
          </c:dPt>
          <c:dPt>
            <c:idx val="2"/>
            <c:bubble3D val="0"/>
            <c:spPr>
              <a:noFill/>
              <a:ln>
                <a:noFill/>
              </a:ln>
              <a:effectLst/>
            </c:spPr>
            <c:extLst>
              <c:ext xmlns:c16="http://schemas.microsoft.com/office/drawing/2014/chart" uri="{C3380CC4-5D6E-409C-BE32-E72D297353CC}">
                <c16:uniqueId val="{00000010-2581-4B23-9BD9-AFBD73F0699D}"/>
              </c:ext>
            </c:extLst>
          </c:dPt>
          <c:val>
            <c:numRef>
              <c:f>Grafieke!$F$2:$F$4</c:f>
              <c:numCache>
                <c:formatCode>General</c:formatCode>
                <c:ptCount val="3"/>
                <c:pt idx="0" formatCode="0">
                  <c:v>54.101104315265516</c:v>
                </c:pt>
                <c:pt idx="1">
                  <c:v>1</c:v>
                </c:pt>
                <c:pt idx="2" formatCode="0">
                  <c:v>144.8988956847345</c:v>
                </c:pt>
              </c:numCache>
            </c:numRef>
          </c:val>
          <c:extLst>
            <c:ext xmlns:c16="http://schemas.microsoft.com/office/drawing/2014/chart" uri="{C3380CC4-5D6E-409C-BE32-E72D297353CC}">
              <c16:uniqueId val="{00000011-2581-4B23-9BD9-AFBD73F0699D}"/>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Sunflower profitability</a:t>
            </a:r>
          </a:p>
        </c:rich>
      </c:tx>
      <c:overlay val="0"/>
    </c:title>
    <c:autoTitleDeleted val="0"/>
    <c:plotArea>
      <c:layout/>
      <c:doughnutChart>
        <c:varyColors val="1"/>
        <c:ser>
          <c:idx val="0"/>
          <c:order val="0"/>
          <c:tx>
            <c:strRef>
              <c:f>Grafieke!$A$18</c:f>
              <c:strCache>
                <c:ptCount val="1"/>
                <c:pt idx="0">
                  <c:v>Winsgewendheid: Sonneblom</c:v>
                </c:pt>
              </c:strCache>
            </c:strRef>
          </c:tx>
          <c:spPr>
            <a:solidFill>
              <a:srgbClr val="FFFF00"/>
            </a:solidFill>
          </c:spPr>
          <c:dPt>
            <c:idx val="0"/>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641-4FCD-BC3B-73F969989EA1}"/>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641-4FCD-BC3B-73F969989EA1}"/>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641-4FCD-BC3B-73F969989EA1}"/>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641-4FCD-BC3B-73F969989EA1}"/>
              </c:ext>
            </c:extLst>
          </c:dPt>
          <c:dPt>
            <c:idx val="4"/>
            <c:bubble3D val="0"/>
            <c:spPr>
              <a:noFill/>
              <a:ln>
                <a:noFill/>
              </a:ln>
              <a:effectLst/>
            </c:spPr>
            <c:extLst>
              <c:ext xmlns:c16="http://schemas.microsoft.com/office/drawing/2014/chart" uri="{C3380CC4-5D6E-409C-BE32-E72D297353CC}">
                <c16:uniqueId val="{00000009-F641-4FCD-BC3B-73F969989EA1}"/>
              </c:ext>
            </c:extLst>
          </c:dPt>
          <c:dLbls>
            <c:dLbl>
              <c:idx val="0"/>
              <c:delete val="1"/>
              <c:extLst>
                <c:ext xmlns:c15="http://schemas.microsoft.com/office/drawing/2012/chart" uri="{CE6537A1-D6FC-4f65-9D91-7224C49458BB}"/>
                <c:ext xmlns:c16="http://schemas.microsoft.com/office/drawing/2014/chart" uri="{C3380CC4-5D6E-409C-BE32-E72D297353CC}">
                  <c16:uniqueId val="{00000001-F641-4FCD-BC3B-73F969989EA1}"/>
                </c:ext>
              </c:extLst>
            </c:dLbl>
            <c:dLbl>
              <c:idx val="1"/>
              <c:tx>
                <c:rich>
                  <a:bodyPr/>
                  <a:lstStyle/>
                  <a:p>
                    <a:r>
                      <a:rPr lang="en-US"/>
                      <a:t>Variable cost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641-4FCD-BC3B-73F969989EA1}"/>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F641-4FCD-BC3B-73F969989EA1}"/>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F641-4FCD-BC3B-73F969989EA1}"/>
                </c:ext>
              </c:extLst>
            </c:dLbl>
            <c:dLbl>
              <c:idx val="4"/>
              <c:delete val="1"/>
              <c:extLst>
                <c:ext xmlns:c15="http://schemas.microsoft.com/office/drawing/2012/chart" uri="{CE6537A1-D6FC-4f65-9D91-7224C49458BB}"/>
                <c:ext xmlns:c16="http://schemas.microsoft.com/office/drawing/2014/chart" uri="{C3380CC4-5D6E-409C-BE32-E72D297353CC}">
                  <c16:uniqueId val="{00000009-F641-4FCD-BC3B-73F969989EA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Grafieke!$C$19:$C$23</c:f>
              <c:numCache>
                <c:formatCode>0</c:formatCode>
                <c:ptCount val="5"/>
                <c:pt idx="0" formatCode="General">
                  <c:v>0</c:v>
                </c:pt>
                <c:pt idx="1">
                  <c:v>35.05678455239952</c:v>
                </c:pt>
                <c:pt idx="2">
                  <c:v>8.6157918654903778</c:v>
                </c:pt>
                <c:pt idx="3">
                  <c:v>56.3274235821101</c:v>
                </c:pt>
                <c:pt idx="4" formatCode="General">
                  <c:v>100</c:v>
                </c:pt>
              </c:numCache>
            </c:numRef>
          </c:val>
          <c:extLst>
            <c:ext xmlns:c16="http://schemas.microsoft.com/office/drawing/2014/chart" uri="{C3380CC4-5D6E-409C-BE32-E72D297353CC}">
              <c16:uniqueId val="{0000000A-F641-4FCD-BC3B-73F969989EA1}"/>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Grafieke!$D$18</c:f>
              <c:strCache>
                <c:ptCount val="1"/>
                <c:pt idx="0">
                  <c:v>Pointer</c:v>
                </c:pt>
              </c:strCache>
            </c:strRef>
          </c:tx>
          <c:dPt>
            <c:idx val="0"/>
            <c:bubble3D val="0"/>
            <c:spPr>
              <a:noFill/>
              <a:ln>
                <a:noFill/>
              </a:ln>
              <a:effectLst/>
            </c:spPr>
            <c:extLst>
              <c:ext xmlns:c16="http://schemas.microsoft.com/office/drawing/2014/chart" uri="{C3380CC4-5D6E-409C-BE32-E72D297353CC}">
                <c16:uniqueId val="{0000000C-F641-4FCD-BC3B-73F969989EA1}"/>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F641-4FCD-BC3B-73F969989EA1}"/>
              </c:ext>
            </c:extLst>
          </c:dPt>
          <c:dPt>
            <c:idx val="2"/>
            <c:bubble3D val="0"/>
            <c:spPr>
              <a:noFill/>
              <a:ln>
                <a:noFill/>
              </a:ln>
              <a:effectLst/>
            </c:spPr>
            <c:extLst>
              <c:ext xmlns:c16="http://schemas.microsoft.com/office/drawing/2014/chart" uri="{C3380CC4-5D6E-409C-BE32-E72D297353CC}">
                <c16:uniqueId val="{00000010-F641-4FCD-BC3B-73F969989EA1}"/>
              </c:ext>
            </c:extLst>
          </c:dPt>
          <c:val>
            <c:numRef>
              <c:f>Grafieke!$F$19:$F$21</c:f>
              <c:numCache>
                <c:formatCode>General</c:formatCode>
                <c:ptCount val="3"/>
                <c:pt idx="0" formatCode="0">
                  <c:v>56.3274235821101</c:v>
                </c:pt>
                <c:pt idx="1">
                  <c:v>1</c:v>
                </c:pt>
                <c:pt idx="2" formatCode="0">
                  <c:v>142.6725764178899</c:v>
                </c:pt>
              </c:numCache>
            </c:numRef>
          </c:val>
          <c:extLst>
            <c:ext xmlns:c16="http://schemas.microsoft.com/office/drawing/2014/chart" uri="{C3380CC4-5D6E-409C-BE32-E72D297353CC}">
              <c16:uniqueId val="{00000011-F641-4FCD-BC3B-73F969989EA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Soybean profitability</a:t>
            </a:r>
          </a:p>
        </c:rich>
      </c:tx>
      <c:overlay val="0"/>
    </c:title>
    <c:autoTitleDeleted val="0"/>
    <c:plotArea>
      <c:layout/>
      <c:doughnutChart>
        <c:varyColors val="1"/>
        <c:ser>
          <c:idx val="0"/>
          <c:order val="0"/>
          <c:tx>
            <c:strRef>
              <c:f>Grafieke!$A$35</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328-46AB-827E-D874170FD17E}"/>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328-46AB-827E-D874170FD17E}"/>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328-46AB-827E-D874170FD17E}"/>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328-46AB-827E-D874170FD17E}"/>
              </c:ext>
            </c:extLst>
          </c:dPt>
          <c:dPt>
            <c:idx val="4"/>
            <c:bubble3D val="0"/>
            <c:spPr>
              <a:noFill/>
              <a:ln>
                <a:noFill/>
              </a:ln>
              <a:effectLst/>
            </c:spPr>
            <c:extLst>
              <c:ext xmlns:c16="http://schemas.microsoft.com/office/drawing/2014/chart" uri="{C3380CC4-5D6E-409C-BE32-E72D297353CC}">
                <c16:uniqueId val="{00000009-3328-46AB-827E-D874170FD17E}"/>
              </c:ext>
            </c:extLst>
          </c:dPt>
          <c:dLbls>
            <c:dLbl>
              <c:idx val="0"/>
              <c:delete val="1"/>
              <c:extLst>
                <c:ext xmlns:c15="http://schemas.microsoft.com/office/drawing/2012/chart" uri="{CE6537A1-D6FC-4f65-9D91-7224C49458BB}"/>
                <c:ext xmlns:c16="http://schemas.microsoft.com/office/drawing/2014/chart" uri="{C3380CC4-5D6E-409C-BE32-E72D297353CC}">
                  <c16:uniqueId val="{00000001-3328-46AB-827E-D874170FD17E}"/>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3328-46AB-827E-D874170FD17E}"/>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3328-46AB-827E-D874170FD17E}"/>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3328-46AB-827E-D874170FD17E}"/>
                </c:ext>
              </c:extLst>
            </c:dLbl>
            <c:dLbl>
              <c:idx val="4"/>
              <c:delete val="1"/>
              <c:extLst>
                <c:ext xmlns:c15="http://schemas.microsoft.com/office/drawing/2012/chart" uri="{CE6537A1-D6FC-4f65-9D91-7224C49458BB}"/>
                <c:ext xmlns:c16="http://schemas.microsoft.com/office/drawing/2014/chart" uri="{C3380CC4-5D6E-409C-BE32-E72D297353CC}">
                  <c16:uniqueId val="{00000009-3328-46AB-827E-D874170FD17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Grafieke!$C$36:$C$40</c:f>
              <c:numCache>
                <c:formatCode>0</c:formatCode>
                <c:ptCount val="5"/>
                <c:pt idx="0" formatCode="General">
                  <c:v>0</c:v>
                </c:pt>
                <c:pt idx="1">
                  <c:v>39.501886029902138</c:v>
                </c:pt>
                <c:pt idx="2">
                  <c:v>7.9133974387675377</c:v>
                </c:pt>
                <c:pt idx="3">
                  <c:v>52.584716531330308</c:v>
                </c:pt>
                <c:pt idx="4" formatCode="General">
                  <c:v>100</c:v>
                </c:pt>
              </c:numCache>
            </c:numRef>
          </c:val>
          <c:extLst>
            <c:ext xmlns:c16="http://schemas.microsoft.com/office/drawing/2014/chart" uri="{C3380CC4-5D6E-409C-BE32-E72D297353CC}">
              <c16:uniqueId val="{0000000A-3328-46AB-827E-D874170FD17E}"/>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Grafieke!$D$35</c:f>
              <c:strCache>
                <c:ptCount val="1"/>
                <c:pt idx="0">
                  <c:v>Pointer</c:v>
                </c:pt>
              </c:strCache>
            </c:strRef>
          </c:tx>
          <c:dPt>
            <c:idx val="0"/>
            <c:bubble3D val="0"/>
            <c:spPr>
              <a:noFill/>
            </c:spPr>
            <c:extLst>
              <c:ext xmlns:c16="http://schemas.microsoft.com/office/drawing/2014/chart" uri="{C3380CC4-5D6E-409C-BE32-E72D297353CC}">
                <c16:uniqueId val="{0000000C-3328-46AB-827E-D874170FD17E}"/>
              </c:ext>
            </c:extLst>
          </c:dPt>
          <c:dPt>
            <c:idx val="1"/>
            <c:bubble3D val="0"/>
            <c:spPr>
              <a:solidFill>
                <a:schemeClr val="tx1"/>
              </a:solidFill>
            </c:spPr>
            <c:extLst>
              <c:ext xmlns:c16="http://schemas.microsoft.com/office/drawing/2014/chart" uri="{C3380CC4-5D6E-409C-BE32-E72D297353CC}">
                <c16:uniqueId val="{0000000E-3328-46AB-827E-D874170FD17E}"/>
              </c:ext>
            </c:extLst>
          </c:dPt>
          <c:dPt>
            <c:idx val="2"/>
            <c:bubble3D val="0"/>
            <c:spPr>
              <a:noFill/>
            </c:spPr>
            <c:extLst>
              <c:ext xmlns:c16="http://schemas.microsoft.com/office/drawing/2014/chart" uri="{C3380CC4-5D6E-409C-BE32-E72D297353CC}">
                <c16:uniqueId val="{00000010-3328-46AB-827E-D874170FD17E}"/>
              </c:ext>
            </c:extLst>
          </c:dPt>
          <c:val>
            <c:numRef>
              <c:f>Grafieke!$F$36:$F$38</c:f>
              <c:numCache>
                <c:formatCode>General</c:formatCode>
                <c:ptCount val="3"/>
                <c:pt idx="0" formatCode="0">
                  <c:v>52.584716531330308</c:v>
                </c:pt>
                <c:pt idx="1">
                  <c:v>1</c:v>
                </c:pt>
                <c:pt idx="2" formatCode="0">
                  <c:v>146.41528346866968</c:v>
                </c:pt>
              </c:numCache>
            </c:numRef>
          </c:val>
          <c:extLst>
            <c:ext xmlns:c16="http://schemas.microsoft.com/office/drawing/2014/chart" uri="{C3380CC4-5D6E-409C-BE32-E72D297353CC}">
              <c16:uniqueId val="{00000011-3328-46AB-827E-D874170FD17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Mieliewinsgewendheid</a:t>
            </a:r>
          </a:p>
        </c:rich>
      </c:tx>
      <c:overlay val="0"/>
    </c:title>
    <c:autoTitleDeleted val="0"/>
    <c:plotArea>
      <c:layout/>
      <c:doughnutChart>
        <c:varyColors val="1"/>
        <c:ser>
          <c:idx val="0"/>
          <c:order val="0"/>
          <c:tx>
            <c:strRef>
              <c:f>Grafieke!$A$1</c:f>
              <c:strCache>
                <c:ptCount val="1"/>
                <c:pt idx="0">
                  <c:v>Winsgewendheid: Mielies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57-4F96-B7CD-CFBAF422A0FA}"/>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57-4F96-B7CD-CFBAF422A0FA}"/>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157-4F96-B7CD-CFBAF422A0FA}"/>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157-4F96-B7CD-CFBAF422A0FA}"/>
              </c:ext>
            </c:extLst>
          </c:dPt>
          <c:dPt>
            <c:idx val="4"/>
            <c:bubble3D val="0"/>
            <c:spPr>
              <a:noFill/>
              <a:ln>
                <a:noFill/>
              </a:ln>
              <a:effectLst/>
            </c:spPr>
            <c:extLst>
              <c:ext xmlns:c16="http://schemas.microsoft.com/office/drawing/2014/chart" uri="{C3380CC4-5D6E-409C-BE32-E72D297353CC}">
                <c16:uniqueId val="{00000009-8157-4F96-B7CD-CFBAF422A0FA}"/>
              </c:ext>
            </c:extLst>
          </c:dPt>
          <c:dLbls>
            <c:dLbl>
              <c:idx val="0"/>
              <c:delete val="1"/>
              <c:extLst>
                <c:ext xmlns:c15="http://schemas.microsoft.com/office/drawing/2012/chart" uri="{CE6537A1-D6FC-4f65-9D91-7224C49458BB}"/>
                <c:ext xmlns:c16="http://schemas.microsoft.com/office/drawing/2014/chart" uri="{C3380CC4-5D6E-409C-BE32-E72D297353CC}">
                  <c16:uniqueId val="{00000001-8157-4F96-B7CD-CFBAF422A0FA}"/>
                </c:ext>
              </c:extLst>
            </c:dLbl>
            <c:dLbl>
              <c:idx val="1"/>
              <c:tx>
                <c:rich>
                  <a:bodyPr/>
                  <a:lstStyle/>
                  <a:p>
                    <a:r>
                      <a:rPr lang="en-US" sz="1100">
                        <a:solidFill>
                          <a:schemeClr val="bg1"/>
                        </a:solidFill>
                      </a:rPr>
                      <a:t>Veranderlike</a:t>
                    </a:r>
                    <a:r>
                      <a:rPr lang="en-US" sz="1100" baseline="0">
                        <a:solidFill>
                          <a:schemeClr val="bg1"/>
                        </a:solidFill>
                      </a:rPr>
                      <a:t> koste</a:t>
                    </a:r>
                    <a:endParaRPr lang="en-US" sz="1100">
                      <a:solidFill>
                        <a:schemeClr val="bg1"/>
                      </a:solidFill>
                    </a:endParaRP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157-4F96-B7CD-CFBAF422A0FA}"/>
                </c:ext>
              </c:extLst>
            </c:dLbl>
            <c:dLbl>
              <c:idx val="2"/>
              <c:tx>
                <c:rich>
                  <a:bodyPr/>
                  <a:lstStyle/>
                  <a:p>
                    <a:r>
                      <a:rPr lang="en-US" sz="1100">
                        <a:solidFill>
                          <a:schemeClr val="bg1"/>
                        </a:solidFill>
                      </a:rPr>
                      <a:t>Vaste</a:t>
                    </a:r>
                    <a:r>
                      <a:rPr lang="en-US" sz="1100" baseline="0">
                        <a:solidFill>
                          <a:schemeClr val="bg1"/>
                        </a:solidFill>
                      </a:rPr>
                      <a:t> koste</a:t>
                    </a:r>
                    <a:endParaRPr lang="en-US" sz="1100">
                      <a:solidFill>
                        <a:schemeClr val="bg1"/>
                      </a:solidFill>
                    </a:endParaRP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8157-4F96-B7CD-CFBAF422A0FA}"/>
                </c:ext>
              </c:extLst>
            </c:dLbl>
            <c:dLbl>
              <c:idx val="3"/>
              <c:tx>
                <c:rich>
                  <a:bodyPr/>
                  <a:lstStyle/>
                  <a:p>
                    <a:r>
                      <a:rPr lang="en-US" sz="1100">
                        <a:solidFill>
                          <a:schemeClr val="bg1"/>
                        </a:solidFill>
                      </a:rPr>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8157-4F96-B7CD-CFBAF422A0FA}"/>
                </c:ext>
              </c:extLst>
            </c:dLbl>
            <c:dLbl>
              <c:idx val="4"/>
              <c:delete val="1"/>
              <c:extLst>
                <c:ext xmlns:c15="http://schemas.microsoft.com/office/drawing/2012/chart" uri="{CE6537A1-D6FC-4f65-9D91-7224C49458BB}"/>
                <c:ext xmlns:c16="http://schemas.microsoft.com/office/drawing/2014/chart" uri="{C3380CC4-5D6E-409C-BE32-E72D297353CC}">
                  <c16:uniqueId val="{00000009-8157-4F96-B7CD-CFBAF422A0F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41.557710369743113</c:v>
                </c:pt>
                <c:pt idx="2">
                  <c:v>4.3411853149913595</c:v>
                </c:pt>
                <c:pt idx="3">
                  <c:v>54.101104315265516</c:v>
                </c:pt>
                <c:pt idx="4" formatCode="General">
                  <c:v>100</c:v>
                </c:pt>
              </c:numCache>
            </c:numRef>
          </c:val>
          <c:extLst>
            <c:ext xmlns:c16="http://schemas.microsoft.com/office/drawing/2014/chart" uri="{C3380CC4-5D6E-409C-BE32-E72D297353CC}">
              <c16:uniqueId val="{0000000A-8157-4F96-B7CD-CFBAF422A0FA}"/>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8157-4F96-B7CD-CFBAF422A0FA}"/>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8157-4F96-B7CD-CFBAF422A0FA}"/>
              </c:ext>
            </c:extLst>
          </c:dPt>
          <c:dPt>
            <c:idx val="2"/>
            <c:bubble3D val="0"/>
            <c:spPr>
              <a:noFill/>
              <a:ln>
                <a:noFill/>
              </a:ln>
              <a:effectLst/>
            </c:spPr>
            <c:extLst>
              <c:ext xmlns:c16="http://schemas.microsoft.com/office/drawing/2014/chart" uri="{C3380CC4-5D6E-409C-BE32-E72D297353CC}">
                <c16:uniqueId val="{00000010-8157-4F96-B7CD-CFBAF422A0FA}"/>
              </c:ext>
            </c:extLst>
          </c:dPt>
          <c:val>
            <c:numRef>
              <c:f>Grafieke!$F$2:$F$4</c:f>
              <c:numCache>
                <c:formatCode>General</c:formatCode>
                <c:ptCount val="3"/>
                <c:pt idx="0" formatCode="0">
                  <c:v>54.101104315265516</c:v>
                </c:pt>
                <c:pt idx="1">
                  <c:v>1</c:v>
                </c:pt>
                <c:pt idx="2" formatCode="0">
                  <c:v>144.8988956847345</c:v>
                </c:pt>
              </c:numCache>
            </c:numRef>
          </c:val>
          <c:extLst>
            <c:ext xmlns:c16="http://schemas.microsoft.com/office/drawing/2014/chart" uri="{C3380CC4-5D6E-409C-BE32-E72D297353CC}">
              <c16:uniqueId val="{00000011-8157-4F96-B7CD-CFBAF422A0F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Sonneblomwinsgewendheid</a:t>
            </a:r>
          </a:p>
        </c:rich>
      </c:tx>
      <c:overlay val="0"/>
    </c:title>
    <c:autoTitleDeleted val="0"/>
    <c:plotArea>
      <c:layout/>
      <c:doughnutChart>
        <c:varyColors val="1"/>
        <c:ser>
          <c:idx val="0"/>
          <c:order val="0"/>
          <c:tx>
            <c:strRef>
              <c:f>Grafieke!$A$18</c:f>
              <c:strCache>
                <c:ptCount val="1"/>
                <c:pt idx="0">
                  <c:v>Winsgewendheid: Sonneblom</c:v>
                </c:pt>
              </c:strCache>
            </c:strRef>
          </c:tx>
          <c:spPr>
            <a:solidFill>
              <a:srgbClr val="FFFF00"/>
            </a:solidFill>
          </c:spPr>
          <c:dPt>
            <c:idx val="0"/>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982-451B-AFE4-EF4BA26EC4D5}"/>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982-451B-AFE4-EF4BA26EC4D5}"/>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5982-451B-AFE4-EF4BA26EC4D5}"/>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5982-451B-AFE4-EF4BA26EC4D5}"/>
              </c:ext>
            </c:extLst>
          </c:dPt>
          <c:dPt>
            <c:idx val="4"/>
            <c:bubble3D val="0"/>
            <c:spPr>
              <a:noFill/>
              <a:ln>
                <a:noFill/>
              </a:ln>
              <a:effectLst/>
            </c:spPr>
            <c:extLst>
              <c:ext xmlns:c16="http://schemas.microsoft.com/office/drawing/2014/chart" uri="{C3380CC4-5D6E-409C-BE32-E72D297353CC}">
                <c16:uniqueId val="{00000009-5982-451B-AFE4-EF4BA26EC4D5}"/>
              </c:ext>
            </c:extLst>
          </c:dPt>
          <c:dLbls>
            <c:dLbl>
              <c:idx val="0"/>
              <c:delete val="1"/>
              <c:extLst>
                <c:ext xmlns:c15="http://schemas.microsoft.com/office/drawing/2012/chart" uri="{CE6537A1-D6FC-4f65-9D91-7224C49458BB}"/>
                <c:ext xmlns:c16="http://schemas.microsoft.com/office/drawing/2014/chart" uri="{C3380CC4-5D6E-409C-BE32-E72D297353CC}">
                  <c16:uniqueId val="{00000001-5982-451B-AFE4-EF4BA26EC4D5}"/>
                </c:ext>
              </c:extLst>
            </c:dLbl>
            <c:dLbl>
              <c:idx val="1"/>
              <c:tx>
                <c:rich>
                  <a:bodyPr/>
                  <a:lstStyle/>
                  <a:p>
                    <a:r>
                      <a:rPr lang="en-US"/>
                      <a:t>Veranderlike</a:t>
                    </a:r>
                    <a:r>
                      <a:rPr lang="en-US" baseline="0"/>
                      <a:t> koste</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982-451B-AFE4-EF4BA26EC4D5}"/>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5982-451B-AFE4-EF4BA26EC4D5}"/>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5982-451B-AFE4-EF4BA26EC4D5}"/>
                </c:ext>
              </c:extLst>
            </c:dLbl>
            <c:dLbl>
              <c:idx val="4"/>
              <c:delete val="1"/>
              <c:extLst>
                <c:ext xmlns:c15="http://schemas.microsoft.com/office/drawing/2012/chart" uri="{CE6537A1-D6FC-4f65-9D91-7224C49458BB}"/>
                <c:ext xmlns:c16="http://schemas.microsoft.com/office/drawing/2014/chart" uri="{C3380CC4-5D6E-409C-BE32-E72D297353CC}">
                  <c16:uniqueId val="{00000009-5982-451B-AFE4-EF4BA26EC4D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Grafieke!$C$19:$C$23</c:f>
              <c:numCache>
                <c:formatCode>0</c:formatCode>
                <c:ptCount val="5"/>
                <c:pt idx="0" formatCode="General">
                  <c:v>0</c:v>
                </c:pt>
                <c:pt idx="1">
                  <c:v>35.05678455239952</c:v>
                </c:pt>
                <c:pt idx="2">
                  <c:v>8.6157918654903778</c:v>
                </c:pt>
                <c:pt idx="3">
                  <c:v>56.3274235821101</c:v>
                </c:pt>
                <c:pt idx="4" formatCode="General">
                  <c:v>100</c:v>
                </c:pt>
              </c:numCache>
            </c:numRef>
          </c:val>
          <c:extLst>
            <c:ext xmlns:c16="http://schemas.microsoft.com/office/drawing/2014/chart" uri="{C3380CC4-5D6E-409C-BE32-E72D297353CC}">
              <c16:uniqueId val="{0000000A-5982-451B-AFE4-EF4BA26EC4D5}"/>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Grafieke!$D$18</c:f>
              <c:strCache>
                <c:ptCount val="1"/>
                <c:pt idx="0">
                  <c:v>Pointer</c:v>
                </c:pt>
              </c:strCache>
            </c:strRef>
          </c:tx>
          <c:dPt>
            <c:idx val="0"/>
            <c:bubble3D val="0"/>
            <c:spPr>
              <a:noFill/>
              <a:ln>
                <a:noFill/>
              </a:ln>
              <a:effectLst/>
            </c:spPr>
            <c:extLst>
              <c:ext xmlns:c16="http://schemas.microsoft.com/office/drawing/2014/chart" uri="{C3380CC4-5D6E-409C-BE32-E72D297353CC}">
                <c16:uniqueId val="{0000000C-5982-451B-AFE4-EF4BA26EC4D5}"/>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5982-451B-AFE4-EF4BA26EC4D5}"/>
              </c:ext>
            </c:extLst>
          </c:dPt>
          <c:dPt>
            <c:idx val="2"/>
            <c:bubble3D val="0"/>
            <c:spPr>
              <a:noFill/>
              <a:ln>
                <a:noFill/>
              </a:ln>
              <a:effectLst/>
            </c:spPr>
            <c:extLst>
              <c:ext xmlns:c16="http://schemas.microsoft.com/office/drawing/2014/chart" uri="{C3380CC4-5D6E-409C-BE32-E72D297353CC}">
                <c16:uniqueId val="{00000010-5982-451B-AFE4-EF4BA26EC4D5}"/>
              </c:ext>
            </c:extLst>
          </c:dPt>
          <c:val>
            <c:numRef>
              <c:f>Grafieke!$F$19:$F$21</c:f>
              <c:numCache>
                <c:formatCode>General</c:formatCode>
                <c:ptCount val="3"/>
                <c:pt idx="0" formatCode="0">
                  <c:v>56.3274235821101</c:v>
                </c:pt>
                <c:pt idx="1">
                  <c:v>1</c:v>
                </c:pt>
                <c:pt idx="2" formatCode="0">
                  <c:v>142.6725764178899</c:v>
                </c:pt>
              </c:numCache>
            </c:numRef>
          </c:val>
          <c:extLst>
            <c:ext xmlns:c16="http://schemas.microsoft.com/office/drawing/2014/chart" uri="{C3380CC4-5D6E-409C-BE32-E72D297353CC}">
              <c16:uniqueId val="{00000011-5982-451B-AFE4-EF4BA26EC4D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Sojaboonwinsgewendheid</a:t>
            </a:r>
          </a:p>
        </c:rich>
      </c:tx>
      <c:overlay val="0"/>
    </c:title>
    <c:autoTitleDeleted val="0"/>
    <c:plotArea>
      <c:layout/>
      <c:doughnutChart>
        <c:varyColors val="1"/>
        <c:ser>
          <c:idx val="0"/>
          <c:order val="0"/>
          <c:tx>
            <c:strRef>
              <c:f>Grafieke!$A$35</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7A3-4D97-88B7-66DF53256292}"/>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7A3-4D97-88B7-66DF53256292}"/>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7A3-4D97-88B7-66DF53256292}"/>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7A3-4D97-88B7-66DF53256292}"/>
              </c:ext>
            </c:extLst>
          </c:dPt>
          <c:dPt>
            <c:idx val="4"/>
            <c:bubble3D val="0"/>
            <c:spPr>
              <a:noFill/>
              <a:ln>
                <a:noFill/>
              </a:ln>
              <a:effectLst/>
            </c:spPr>
            <c:extLst>
              <c:ext xmlns:c16="http://schemas.microsoft.com/office/drawing/2014/chart" uri="{C3380CC4-5D6E-409C-BE32-E72D297353CC}">
                <c16:uniqueId val="{00000009-C7A3-4D97-88B7-66DF53256292}"/>
              </c:ext>
            </c:extLst>
          </c:dPt>
          <c:dLbls>
            <c:dLbl>
              <c:idx val="0"/>
              <c:delete val="1"/>
              <c:extLst>
                <c:ext xmlns:c15="http://schemas.microsoft.com/office/drawing/2012/chart" uri="{CE6537A1-D6FC-4f65-9D91-7224C49458BB}"/>
                <c:ext xmlns:c16="http://schemas.microsoft.com/office/drawing/2014/chart" uri="{C3380CC4-5D6E-409C-BE32-E72D297353CC}">
                  <c16:uniqueId val="{00000001-C7A3-4D97-88B7-66DF53256292}"/>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C7A3-4D97-88B7-66DF53256292}"/>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C7A3-4D97-88B7-66DF53256292}"/>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C7A3-4D97-88B7-66DF53256292}"/>
                </c:ext>
              </c:extLst>
            </c:dLbl>
            <c:dLbl>
              <c:idx val="4"/>
              <c:delete val="1"/>
              <c:extLst>
                <c:ext xmlns:c15="http://schemas.microsoft.com/office/drawing/2012/chart" uri="{CE6537A1-D6FC-4f65-9D91-7224C49458BB}"/>
                <c:ext xmlns:c16="http://schemas.microsoft.com/office/drawing/2014/chart" uri="{C3380CC4-5D6E-409C-BE32-E72D297353CC}">
                  <c16:uniqueId val="{00000009-C7A3-4D97-88B7-66DF5325629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Grafieke!$C$36:$C$40</c:f>
              <c:numCache>
                <c:formatCode>0</c:formatCode>
                <c:ptCount val="5"/>
                <c:pt idx="0" formatCode="General">
                  <c:v>0</c:v>
                </c:pt>
                <c:pt idx="1">
                  <c:v>39.501886029902138</c:v>
                </c:pt>
                <c:pt idx="2">
                  <c:v>7.9133974387675377</c:v>
                </c:pt>
                <c:pt idx="3">
                  <c:v>52.584716531330308</c:v>
                </c:pt>
                <c:pt idx="4" formatCode="General">
                  <c:v>100</c:v>
                </c:pt>
              </c:numCache>
            </c:numRef>
          </c:val>
          <c:extLst>
            <c:ext xmlns:c16="http://schemas.microsoft.com/office/drawing/2014/chart" uri="{C3380CC4-5D6E-409C-BE32-E72D297353CC}">
              <c16:uniqueId val="{0000000A-C7A3-4D97-88B7-66DF53256292}"/>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Grafieke!$D$35</c:f>
              <c:strCache>
                <c:ptCount val="1"/>
                <c:pt idx="0">
                  <c:v>Pointer</c:v>
                </c:pt>
              </c:strCache>
            </c:strRef>
          </c:tx>
          <c:dPt>
            <c:idx val="0"/>
            <c:bubble3D val="0"/>
            <c:spPr>
              <a:noFill/>
            </c:spPr>
            <c:extLst>
              <c:ext xmlns:c16="http://schemas.microsoft.com/office/drawing/2014/chart" uri="{C3380CC4-5D6E-409C-BE32-E72D297353CC}">
                <c16:uniqueId val="{0000000C-C7A3-4D97-88B7-66DF53256292}"/>
              </c:ext>
            </c:extLst>
          </c:dPt>
          <c:dPt>
            <c:idx val="1"/>
            <c:bubble3D val="0"/>
            <c:spPr>
              <a:solidFill>
                <a:schemeClr val="tx1"/>
              </a:solidFill>
            </c:spPr>
            <c:extLst>
              <c:ext xmlns:c16="http://schemas.microsoft.com/office/drawing/2014/chart" uri="{C3380CC4-5D6E-409C-BE32-E72D297353CC}">
                <c16:uniqueId val="{0000000E-C7A3-4D97-88B7-66DF53256292}"/>
              </c:ext>
            </c:extLst>
          </c:dPt>
          <c:dPt>
            <c:idx val="2"/>
            <c:bubble3D val="0"/>
            <c:spPr>
              <a:noFill/>
            </c:spPr>
            <c:extLst>
              <c:ext xmlns:c16="http://schemas.microsoft.com/office/drawing/2014/chart" uri="{C3380CC4-5D6E-409C-BE32-E72D297353CC}">
                <c16:uniqueId val="{00000010-C7A3-4D97-88B7-66DF53256292}"/>
              </c:ext>
            </c:extLst>
          </c:dPt>
          <c:val>
            <c:numRef>
              <c:f>Grafieke!$F$36:$F$38</c:f>
              <c:numCache>
                <c:formatCode>General</c:formatCode>
                <c:ptCount val="3"/>
                <c:pt idx="0" formatCode="0">
                  <c:v>52.584716531330308</c:v>
                </c:pt>
                <c:pt idx="1">
                  <c:v>1</c:v>
                </c:pt>
                <c:pt idx="2" formatCode="0">
                  <c:v>146.41528346866968</c:v>
                </c:pt>
              </c:numCache>
            </c:numRef>
          </c:val>
          <c:extLst>
            <c:ext xmlns:c16="http://schemas.microsoft.com/office/drawing/2014/chart" uri="{C3380CC4-5D6E-409C-BE32-E72D297353CC}">
              <c16:uniqueId val="{00000011-C7A3-4D97-88B7-66DF5325629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Sorghum profitability</a:t>
            </a:r>
          </a:p>
        </c:rich>
      </c:tx>
      <c:overlay val="0"/>
    </c:title>
    <c:autoTitleDeleted val="0"/>
    <c:plotArea>
      <c:layout/>
      <c:doughnutChart>
        <c:varyColors val="1"/>
        <c:ser>
          <c:idx val="0"/>
          <c:order val="0"/>
          <c:tx>
            <c:strRef>
              <c:f>Grafieke!$A$35</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8C2-4994-9086-BA86E05E8439}"/>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8C2-4994-9086-BA86E05E8439}"/>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8C2-4994-9086-BA86E05E8439}"/>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8C2-4994-9086-BA86E05E8439}"/>
              </c:ext>
            </c:extLst>
          </c:dPt>
          <c:dPt>
            <c:idx val="4"/>
            <c:bubble3D val="0"/>
            <c:spPr>
              <a:noFill/>
              <a:ln>
                <a:noFill/>
              </a:ln>
              <a:effectLst/>
            </c:spPr>
            <c:extLst>
              <c:ext xmlns:c16="http://schemas.microsoft.com/office/drawing/2014/chart" uri="{C3380CC4-5D6E-409C-BE32-E72D297353CC}">
                <c16:uniqueId val="{00000009-C8C2-4994-9086-BA86E05E8439}"/>
              </c:ext>
            </c:extLst>
          </c:dPt>
          <c:dLbls>
            <c:dLbl>
              <c:idx val="0"/>
              <c:delete val="1"/>
              <c:extLst>
                <c:ext xmlns:c15="http://schemas.microsoft.com/office/drawing/2012/chart" uri="{CE6537A1-D6FC-4f65-9D91-7224C49458BB}"/>
                <c:ext xmlns:c16="http://schemas.microsoft.com/office/drawing/2014/chart" uri="{C3380CC4-5D6E-409C-BE32-E72D297353CC}">
                  <c16:uniqueId val="{00000001-C8C2-4994-9086-BA86E05E8439}"/>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C8C2-4994-9086-BA86E05E8439}"/>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C8C2-4994-9086-BA86E05E8439}"/>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C8C2-4994-9086-BA86E05E8439}"/>
                </c:ext>
              </c:extLst>
            </c:dLbl>
            <c:dLbl>
              <c:idx val="4"/>
              <c:delete val="1"/>
              <c:extLst>
                <c:ext xmlns:c15="http://schemas.microsoft.com/office/drawing/2012/chart" uri="{CE6537A1-D6FC-4f65-9D91-7224C49458BB}"/>
                <c:ext xmlns:c16="http://schemas.microsoft.com/office/drawing/2014/chart" uri="{C3380CC4-5D6E-409C-BE32-E72D297353CC}">
                  <c16:uniqueId val="{00000009-C8C2-4994-9086-BA86E05E843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Grafieke!$C$36:$C$40</c:f>
              <c:numCache>
                <c:formatCode>0</c:formatCode>
                <c:ptCount val="5"/>
                <c:pt idx="0" formatCode="General">
                  <c:v>0</c:v>
                </c:pt>
                <c:pt idx="1">
                  <c:v>39.501886029902138</c:v>
                </c:pt>
                <c:pt idx="2">
                  <c:v>7.9133974387675377</c:v>
                </c:pt>
                <c:pt idx="3">
                  <c:v>52.584716531330308</c:v>
                </c:pt>
                <c:pt idx="4" formatCode="General">
                  <c:v>100</c:v>
                </c:pt>
              </c:numCache>
            </c:numRef>
          </c:val>
          <c:extLst>
            <c:ext xmlns:c16="http://schemas.microsoft.com/office/drawing/2014/chart" uri="{C3380CC4-5D6E-409C-BE32-E72D297353CC}">
              <c16:uniqueId val="{0000000A-C8C2-4994-9086-BA86E05E8439}"/>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Grafieke!$D$35</c:f>
              <c:strCache>
                <c:ptCount val="1"/>
                <c:pt idx="0">
                  <c:v>Pointer</c:v>
                </c:pt>
              </c:strCache>
            </c:strRef>
          </c:tx>
          <c:dPt>
            <c:idx val="0"/>
            <c:bubble3D val="0"/>
            <c:spPr>
              <a:noFill/>
            </c:spPr>
            <c:extLst>
              <c:ext xmlns:c16="http://schemas.microsoft.com/office/drawing/2014/chart" uri="{C3380CC4-5D6E-409C-BE32-E72D297353CC}">
                <c16:uniqueId val="{0000000C-C8C2-4994-9086-BA86E05E8439}"/>
              </c:ext>
            </c:extLst>
          </c:dPt>
          <c:dPt>
            <c:idx val="1"/>
            <c:bubble3D val="0"/>
            <c:spPr>
              <a:solidFill>
                <a:schemeClr val="tx1"/>
              </a:solidFill>
            </c:spPr>
            <c:extLst>
              <c:ext xmlns:c16="http://schemas.microsoft.com/office/drawing/2014/chart" uri="{C3380CC4-5D6E-409C-BE32-E72D297353CC}">
                <c16:uniqueId val="{0000000E-C8C2-4994-9086-BA86E05E8439}"/>
              </c:ext>
            </c:extLst>
          </c:dPt>
          <c:dPt>
            <c:idx val="2"/>
            <c:bubble3D val="0"/>
            <c:spPr>
              <a:noFill/>
            </c:spPr>
            <c:extLst>
              <c:ext xmlns:c16="http://schemas.microsoft.com/office/drawing/2014/chart" uri="{C3380CC4-5D6E-409C-BE32-E72D297353CC}">
                <c16:uniqueId val="{00000010-C8C2-4994-9086-BA86E05E8439}"/>
              </c:ext>
            </c:extLst>
          </c:dPt>
          <c:val>
            <c:numRef>
              <c:f>Grafieke!$F$36:$F$38</c:f>
              <c:numCache>
                <c:formatCode>General</c:formatCode>
                <c:ptCount val="3"/>
                <c:pt idx="0" formatCode="0">
                  <c:v>52.584716531330308</c:v>
                </c:pt>
                <c:pt idx="1">
                  <c:v>1</c:v>
                </c:pt>
                <c:pt idx="2" formatCode="0">
                  <c:v>146.41528346866968</c:v>
                </c:pt>
              </c:numCache>
            </c:numRef>
          </c:val>
          <c:extLst>
            <c:ext xmlns:c16="http://schemas.microsoft.com/office/drawing/2014/chart" uri="{C3380CC4-5D6E-409C-BE32-E72D297353CC}">
              <c16:uniqueId val="{00000011-C8C2-4994-9086-BA86E05E843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Sorghumwinsgewendheid</a:t>
            </a:r>
          </a:p>
        </c:rich>
      </c:tx>
      <c:overlay val="0"/>
    </c:title>
    <c:autoTitleDeleted val="0"/>
    <c:plotArea>
      <c:layout/>
      <c:doughnutChart>
        <c:varyColors val="1"/>
        <c:ser>
          <c:idx val="0"/>
          <c:order val="0"/>
          <c:tx>
            <c:strRef>
              <c:f>Grafieke!$A$35</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24-47FC-B600-948F3E9D0373}"/>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24-47FC-B600-948F3E9D0373}"/>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124-47FC-B600-948F3E9D0373}"/>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124-47FC-B600-948F3E9D0373}"/>
              </c:ext>
            </c:extLst>
          </c:dPt>
          <c:dPt>
            <c:idx val="4"/>
            <c:bubble3D val="0"/>
            <c:spPr>
              <a:noFill/>
              <a:ln>
                <a:noFill/>
              </a:ln>
              <a:effectLst/>
            </c:spPr>
            <c:extLst>
              <c:ext xmlns:c16="http://schemas.microsoft.com/office/drawing/2014/chart" uri="{C3380CC4-5D6E-409C-BE32-E72D297353CC}">
                <c16:uniqueId val="{00000009-8124-47FC-B600-948F3E9D0373}"/>
              </c:ext>
            </c:extLst>
          </c:dPt>
          <c:dLbls>
            <c:dLbl>
              <c:idx val="0"/>
              <c:delete val="1"/>
              <c:extLst>
                <c:ext xmlns:c15="http://schemas.microsoft.com/office/drawing/2012/chart" uri="{CE6537A1-D6FC-4f65-9D91-7224C49458BB}"/>
                <c:ext xmlns:c16="http://schemas.microsoft.com/office/drawing/2014/chart" uri="{C3380CC4-5D6E-409C-BE32-E72D297353CC}">
                  <c16:uniqueId val="{00000001-8124-47FC-B600-948F3E9D0373}"/>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124-47FC-B600-948F3E9D0373}"/>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8124-47FC-B600-948F3E9D0373}"/>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8124-47FC-B600-948F3E9D0373}"/>
                </c:ext>
              </c:extLst>
            </c:dLbl>
            <c:dLbl>
              <c:idx val="4"/>
              <c:delete val="1"/>
              <c:extLst>
                <c:ext xmlns:c15="http://schemas.microsoft.com/office/drawing/2012/chart" uri="{CE6537A1-D6FC-4f65-9D91-7224C49458BB}"/>
                <c:ext xmlns:c16="http://schemas.microsoft.com/office/drawing/2014/chart" uri="{C3380CC4-5D6E-409C-BE32-E72D297353CC}">
                  <c16:uniqueId val="{00000009-8124-47FC-B600-948F3E9D037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Grafieke!$C$36:$C$40</c:f>
              <c:numCache>
                <c:formatCode>0</c:formatCode>
                <c:ptCount val="5"/>
                <c:pt idx="0" formatCode="General">
                  <c:v>0</c:v>
                </c:pt>
                <c:pt idx="1">
                  <c:v>39.501886029902138</c:v>
                </c:pt>
                <c:pt idx="2">
                  <c:v>7.9133974387675377</c:v>
                </c:pt>
                <c:pt idx="3">
                  <c:v>52.584716531330308</c:v>
                </c:pt>
                <c:pt idx="4" formatCode="General">
                  <c:v>100</c:v>
                </c:pt>
              </c:numCache>
            </c:numRef>
          </c:val>
          <c:extLst>
            <c:ext xmlns:c16="http://schemas.microsoft.com/office/drawing/2014/chart" uri="{C3380CC4-5D6E-409C-BE32-E72D297353CC}">
              <c16:uniqueId val="{0000000A-8124-47FC-B600-948F3E9D0373}"/>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Grafieke!$D$35</c:f>
              <c:strCache>
                <c:ptCount val="1"/>
                <c:pt idx="0">
                  <c:v>Pointer</c:v>
                </c:pt>
              </c:strCache>
            </c:strRef>
          </c:tx>
          <c:dPt>
            <c:idx val="0"/>
            <c:bubble3D val="0"/>
            <c:spPr>
              <a:noFill/>
            </c:spPr>
            <c:extLst>
              <c:ext xmlns:c16="http://schemas.microsoft.com/office/drawing/2014/chart" uri="{C3380CC4-5D6E-409C-BE32-E72D297353CC}">
                <c16:uniqueId val="{0000000C-8124-47FC-B600-948F3E9D0373}"/>
              </c:ext>
            </c:extLst>
          </c:dPt>
          <c:dPt>
            <c:idx val="1"/>
            <c:bubble3D val="0"/>
            <c:spPr>
              <a:solidFill>
                <a:schemeClr val="tx1"/>
              </a:solidFill>
            </c:spPr>
            <c:extLst>
              <c:ext xmlns:c16="http://schemas.microsoft.com/office/drawing/2014/chart" uri="{C3380CC4-5D6E-409C-BE32-E72D297353CC}">
                <c16:uniqueId val="{0000000E-8124-47FC-B600-948F3E9D0373}"/>
              </c:ext>
            </c:extLst>
          </c:dPt>
          <c:dPt>
            <c:idx val="2"/>
            <c:bubble3D val="0"/>
            <c:spPr>
              <a:noFill/>
            </c:spPr>
            <c:extLst>
              <c:ext xmlns:c16="http://schemas.microsoft.com/office/drawing/2014/chart" uri="{C3380CC4-5D6E-409C-BE32-E72D297353CC}">
                <c16:uniqueId val="{00000010-8124-47FC-B600-948F3E9D0373}"/>
              </c:ext>
            </c:extLst>
          </c:dPt>
          <c:val>
            <c:numRef>
              <c:f>Grafieke!$F$36:$F$38</c:f>
              <c:numCache>
                <c:formatCode>General</c:formatCode>
                <c:ptCount val="3"/>
                <c:pt idx="0" formatCode="0">
                  <c:v>52.584716531330308</c:v>
                </c:pt>
                <c:pt idx="1">
                  <c:v>1</c:v>
                </c:pt>
                <c:pt idx="2" formatCode="0">
                  <c:v>146.41528346866968</c:v>
                </c:pt>
              </c:numCache>
            </c:numRef>
          </c:val>
          <c:extLst>
            <c:ext xmlns:c16="http://schemas.microsoft.com/office/drawing/2014/chart" uri="{C3380CC4-5D6E-409C-BE32-E72D297353CC}">
              <c16:uniqueId val="{00000011-8124-47FC-B600-948F3E9D0373}"/>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1008530</xdr:colOff>
      <xdr:row>3</xdr:row>
      <xdr:rowOff>33618</xdr:rowOff>
    </xdr:from>
    <xdr:to>
      <xdr:col>3</xdr:col>
      <xdr:colOff>452268</xdr:colOff>
      <xdr:row>8</xdr:row>
      <xdr:rowOff>65805</xdr:rowOff>
    </xdr:to>
    <xdr:pic>
      <xdr:nvPicPr>
        <xdr:cNvPr id="2" name="Picture 1" descr="GrainSA - YouTube">
          <a:extLst>
            <a:ext uri="{FF2B5EF4-FFF2-40B4-BE49-F238E27FC236}">
              <a16:creationId xmlns:a16="http://schemas.microsoft.com/office/drawing/2014/main" id="{A72E1DA2-D137-4361-8985-B6E4DAFC2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5618" y="874059"/>
          <a:ext cx="978944" cy="872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42</xdr:row>
      <xdr:rowOff>15240</xdr:rowOff>
    </xdr:from>
    <xdr:to>
      <xdr:col>0</xdr:col>
      <xdr:colOff>815340</xdr:colOff>
      <xdr:row>45</xdr:row>
      <xdr:rowOff>129540</xdr:rowOff>
    </xdr:to>
    <xdr:pic>
      <xdr:nvPicPr>
        <xdr:cNvPr id="6680" name="Picture 3" descr="http://www.maizetrust.co.za/images/masthead.jpg">
          <a:extLst>
            <a:ext uri="{FF2B5EF4-FFF2-40B4-BE49-F238E27FC236}">
              <a16:creationId xmlns:a16="http://schemas.microsoft.com/office/drawing/2014/main" id="{6BC3507D-ACF1-D76F-40F4-D01C7E908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50570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xdr:colOff>
      <xdr:row>0</xdr:row>
      <xdr:rowOff>50314</xdr:rowOff>
    </xdr:from>
    <xdr:to>
      <xdr:col>8</xdr:col>
      <xdr:colOff>971325</xdr:colOff>
      <xdr:row>3</xdr:row>
      <xdr:rowOff>19300</xdr:rowOff>
    </xdr:to>
    <xdr:pic>
      <xdr:nvPicPr>
        <xdr:cNvPr id="2" name="Picture 1" descr="GrainSA - YouTube">
          <a:extLst>
            <a:ext uri="{FF2B5EF4-FFF2-40B4-BE49-F238E27FC236}">
              <a16:creationId xmlns:a16="http://schemas.microsoft.com/office/drawing/2014/main" id="{804C4A18-EE5F-3542-CDBA-5EA05AEC19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3030" y="50314"/>
          <a:ext cx="978944" cy="87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39</xdr:row>
      <xdr:rowOff>15240</xdr:rowOff>
    </xdr:from>
    <xdr:to>
      <xdr:col>0</xdr:col>
      <xdr:colOff>815340</xdr:colOff>
      <xdr:row>42</xdr:row>
      <xdr:rowOff>129540</xdr:rowOff>
    </xdr:to>
    <xdr:pic>
      <xdr:nvPicPr>
        <xdr:cNvPr id="7714" name="Picture 3" descr="http://www.maizetrust.co.za/images/masthead.jpg">
          <a:extLst>
            <a:ext uri="{FF2B5EF4-FFF2-40B4-BE49-F238E27FC236}">
              <a16:creationId xmlns:a16="http://schemas.microsoft.com/office/drawing/2014/main" id="{200B6AFE-4B50-5240-1DEE-5E2DF80C6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276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xdr:colOff>
      <xdr:row>0</xdr:row>
      <xdr:rowOff>23813</xdr:rowOff>
    </xdr:from>
    <xdr:to>
      <xdr:col>8</xdr:col>
      <xdr:colOff>973230</xdr:colOff>
      <xdr:row>2</xdr:row>
      <xdr:rowOff>283507</xdr:rowOff>
    </xdr:to>
    <xdr:pic>
      <xdr:nvPicPr>
        <xdr:cNvPr id="2" name="Picture 1" descr="GrainSA - YouTube">
          <a:extLst>
            <a:ext uri="{FF2B5EF4-FFF2-40B4-BE49-F238E27FC236}">
              <a16:creationId xmlns:a16="http://schemas.microsoft.com/office/drawing/2014/main" id="{D1849190-E5E0-4ABE-907F-B560EBF109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98907" y="23813"/>
          <a:ext cx="973229" cy="874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56029</xdr:rowOff>
    </xdr:from>
    <xdr:to>
      <xdr:col>8</xdr:col>
      <xdr:colOff>971324</xdr:colOff>
      <xdr:row>3</xdr:row>
      <xdr:rowOff>9775</xdr:rowOff>
    </xdr:to>
    <xdr:pic>
      <xdr:nvPicPr>
        <xdr:cNvPr id="2" name="Picture 1" descr="GrainSA - YouTube">
          <a:extLst>
            <a:ext uri="{FF2B5EF4-FFF2-40B4-BE49-F238E27FC236}">
              <a16:creationId xmlns:a16="http://schemas.microsoft.com/office/drawing/2014/main" id="{F9C1DBDB-F46F-4C80-9365-987B999DAB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3735" y="56029"/>
          <a:ext cx="971324" cy="872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964406</xdr:colOff>
      <xdr:row>0</xdr:row>
      <xdr:rowOff>35719</xdr:rowOff>
    </xdr:from>
    <xdr:to>
      <xdr:col>8</xdr:col>
      <xdr:colOff>961323</xdr:colOff>
      <xdr:row>2</xdr:row>
      <xdr:rowOff>301128</xdr:rowOff>
    </xdr:to>
    <xdr:pic>
      <xdr:nvPicPr>
        <xdr:cNvPr id="2" name="Picture 1" descr="GrainSA - YouTube">
          <a:extLst>
            <a:ext uri="{FF2B5EF4-FFF2-40B4-BE49-F238E27FC236}">
              <a16:creationId xmlns:a16="http://schemas.microsoft.com/office/drawing/2014/main" id="{5F0237C5-515F-4105-A539-34F2F19D4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2219" y="35719"/>
          <a:ext cx="973229" cy="872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xdr:colOff>
      <xdr:row>43</xdr:row>
      <xdr:rowOff>15240</xdr:rowOff>
    </xdr:from>
    <xdr:to>
      <xdr:col>0</xdr:col>
      <xdr:colOff>815340</xdr:colOff>
      <xdr:row>46</xdr:row>
      <xdr:rowOff>129540</xdr:rowOff>
    </xdr:to>
    <xdr:pic>
      <xdr:nvPicPr>
        <xdr:cNvPr id="14890" name="Picture 3" descr="http://www.maizetrust.co.za/images/masthead.jpg">
          <a:extLst>
            <a:ext uri="{FF2B5EF4-FFF2-40B4-BE49-F238E27FC236}">
              <a16:creationId xmlns:a16="http://schemas.microsoft.com/office/drawing/2014/main" id="{1B72545B-9341-FA5C-150E-DC32FD52B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5048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56029</xdr:rowOff>
    </xdr:from>
    <xdr:to>
      <xdr:col>8</xdr:col>
      <xdr:colOff>975134</xdr:colOff>
      <xdr:row>2</xdr:row>
      <xdr:rowOff>334745</xdr:rowOff>
    </xdr:to>
    <xdr:pic>
      <xdr:nvPicPr>
        <xdr:cNvPr id="2" name="Picture 1" descr="GrainSA - YouTube">
          <a:extLst>
            <a:ext uri="{FF2B5EF4-FFF2-40B4-BE49-F238E27FC236}">
              <a16:creationId xmlns:a16="http://schemas.microsoft.com/office/drawing/2014/main" id="{734F4D3A-2815-4626-9258-21B00B7EF6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9618" y="56029"/>
          <a:ext cx="975134" cy="872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0</xdr:rowOff>
    </xdr:from>
    <xdr:to>
      <xdr:col>5</xdr:col>
      <xdr:colOff>769620</xdr:colOff>
      <xdr:row>55</xdr:row>
      <xdr:rowOff>76200</xdr:rowOff>
    </xdr:to>
    <xdr:graphicFrame macro="">
      <xdr:nvGraphicFramePr>
        <xdr:cNvPr id="154647" name="Chart 1">
          <a:extLst>
            <a:ext uri="{FF2B5EF4-FFF2-40B4-BE49-F238E27FC236}">
              <a16:creationId xmlns:a16="http://schemas.microsoft.com/office/drawing/2014/main" id="{13E40D41-192B-1139-9CA3-83366CFFB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93794</xdr:colOff>
      <xdr:row>0</xdr:row>
      <xdr:rowOff>177387</xdr:rowOff>
    </xdr:from>
    <xdr:to>
      <xdr:col>7</xdr:col>
      <xdr:colOff>516800</xdr:colOff>
      <xdr:row>5</xdr:row>
      <xdr:rowOff>132901</xdr:rowOff>
    </xdr:to>
    <xdr:pic>
      <xdr:nvPicPr>
        <xdr:cNvPr id="2" name="Picture 1" descr="GrainSA - YouTube">
          <a:extLst>
            <a:ext uri="{FF2B5EF4-FFF2-40B4-BE49-F238E27FC236}">
              <a16:creationId xmlns:a16="http://schemas.microsoft.com/office/drawing/2014/main" id="{8323F2D9-DE56-4BEB-9070-8E649EA16F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23629" y="177387"/>
          <a:ext cx="1042915" cy="93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592666</xdr:colOff>
      <xdr:row>0</xdr:row>
      <xdr:rowOff>25400</xdr:rowOff>
    </xdr:from>
    <xdr:to>
      <xdr:col>16</xdr:col>
      <xdr:colOff>601134</xdr:colOff>
      <xdr:row>16</xdr:row>
      <xdr:rowOff>25399</xdr:rowOff>
    </xdr:to>
    <xdr:graphicFrame macro="">
      <xdr:nvGraphicFramePr>
        <xdr:cNvPr id="2" name="Chart 1">
          <a:extLst>
            <a:ext uri="{FF2B5EF4-FFF2-40B4-BE49-F238E27FC236}">
              <a16:creationId xmlns:a16="http://schemas.microsoft.com/office/drawing/2014/main" id="{51B834F0-DEF3-46F9-B178-6C08A4F8F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16934</xdr:colOff>
      <xdr:row>17</xdr:row>
      <xdr:rowOff>8466</xdr:rowOff>
    </xdr:from>
    <xdr:to>
      <xdr:col>16</xdr:col>
      <xdr:colOff>601134</xdr:colOff>
      <xdr:row>33</xdr:row>
      <xdr:rowOff>152400</xdr:rowOff>
    </xdr:to>
    <xdr:graphicFrame macro="">
      <xdr:nvGraphicFramePr>
        <xdr:cNvPr id="3" name="Chart 3">
          <a:extLst>
            <a:ext uri="{FF2B5EF4-FFF2-40B4-BE49-F238E27FC236}">
              <a16:creationId xmlns:a16="http://schemas.microsoft.com/office/drawing/2014/main" id="{9169BA33-D257-431D-8FD2-C269D43CF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613229</xdr:colOff>
      <xdr:row>33</xdr:row>
      <xdr:rowOff>115509</xdr:rowOff>
    </xdr:from>
    <xdr:to>
      <xdr:col>16</xdr:col>
      <xdr:colOff>551543</xdr:colOff>
      <xdr:row>51</xdr:row>
      <xdr:rowOff>77409</xdr:rowOff>
    </xdr:to>
    <xdr:graphicFrame macro="">
      <xdr:nvGraphicFramePr>
        <xdr:cNvPr id="4" name="Chart 4">
          <a:extLst>
            <a:ext uri="{FF2B5EF4-FFF2-40B4-BE49-F238E27FC236}">
              <a16:creationId xmlns:a16="http://schemas.microsoft.com/office/drawing/2014/main" id="{350C9B6F-5FCD-416C-9757-E196BB51D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548468</xdr:colOff>
      <xdr:row>0</xdr:row>
      <xdr:rowOff>0</xdr:rowOff>
    </xdr:from>
    <xdr:to>
      <xdr:col>27</xdr:col>
      <xdr:colOff>560745</xdr:colOff>
      <xdr:row>16</xdr:row>
      <xdr:rowOff>9966</xdr:rowOff>
    </xdr:to>
    <xdr:graphicFrame macro="">
      <xdr:nvGraphicFramePr>
        <xdr:cNvPr id="5" name="Chart 1">
          <a:extLst>
            <a:ext uri="{FF2B5EF4-FFF2-40B4-BE49-F238E27FC236}">
              <a16:creationId xmlns:a16="http://schemas.microsoft.com/office/drawing/2014/main" id="{4B877339-5B7D-433B-93D7-AF64F9CCA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17</xdr:row>
      <xdr:rowOff>0</xdr:rowOff>
    </xdr:from>
    <xdr:to>
      <xdr:col>27</xdr:col>
      <xdr:colOff>584200</xdr:colOff>
      <xdr:row>33</xdr:row>
      <xdr:rowOff>143934</xdr:rowOff>
    </xdr:to>
    <xdr:graphicFrame macro="">
      <xdr:nvGraphicFramePr>
        <xdr:cNvPr id="6" name="Chart 3">
          <a:extLst>
            <a:ext uri="{FF2B5EF4-FFF2-40B4-BE49-F238E27FC236}">
              <a16:creationId xmlns:a16="http://schemas.microsoft.com/office/drawing/2014/main" id="{CC37CC54-083D-42AE-A087-DEA46FBA9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34</xdr:row>
      <xdr:rowOff>0</xdr:rowOff>
    </xdr:from>
    <xdr:to>
      <xdr:col>27</xdr:col>
      <xdr:colOff>558800</xdr:colOff>
      <xdr:row>51</xdr:row>
      <xdr:rowOff>156633</xdr:rowOff>
    </xdr:to>
    <xdr:graphicFrame macro="">
      <xdr:nvGraphicFramePr>
        <xdr:cNvPr id="7" name="Chart 4">
          <a:extLst>
            <a:ext uri="{FF2B5EF4-FFF2-40B4-BE49-F238E27FC236}">
              <a16:creationId xmlns:a16="http://schemas.microsoft.com/office/drawing/2014/main" id="{BABAC9D0-8C88-4EEE-B223-07A1AC01A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613229</xdr:colOff>
      <xdr:row>51</xdr:row>
      <xdr:rowOff>115509</xdr:rowOff>
    </xdr:from>
    <xdr:to>
      <xdr:col>16</xdr:col>
      <xdr:colOff>551543</xdr:colOff>
      <xdr:row>69</xdr:row>
      <xdr:rowOff>77409</xdr:rowOff>
    </xdr:to>
    <xdr:graphicFrame macro="">
      <xdr:nvGraphicFramePr>
        <xdr:cNvPr id="8" name="Chart 4">
          <a:extLst>
            <a:ext uri="{FF2B5EF4-FFF2-40B4-BE49-F238E27FC236}">
              <a16:creationId xmlns:a16="http://schemas.microsoft.com/office/drawing/2014/main" id="{7BB81293-9478-4AA3-A5FD-DE6F8E6C8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52</xdr:row>
      <xdr:rowOff>0</xdr:rowOff>
    </xdr:from>
    <xdr:to>
      <xdr:col>27</xdr:col>
      <xdr:colOff>558800</xdr:colOff>
      <xdr:row>69</xdr:row>
      <xdr:rowOff>156633</xdr:rowOff>
    </xdr:to>
    <xdr:graphicFrame macro="">
      <xdr:nvGraphicFramePr>
        <xdr:cNvPr id="9" name="Chart 4">
          <a:extLst>
            <a:ext uri="{FF2B5EF4-FFF2-40B4-BE49-F238E27FC236}">
              <a16:creationId xmlns:a16="http://schemas.microsoft.com/office/drawing/2014/main" id="{9253C0E7-EC72-4C9A-A0B0-83C034323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adcprd01\gsadata\Bedryfsbediening\Produksie\Produksie%20Begroting\Somer%20gewas%20streke\Somer%20begrotings\2017-18\GSA-17-18%20Noordwes%20begroting%20North%20West%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petru\AppData\Local\Microsoft\Windows\Temporary%20Internet%20Files\Content.Outlook\OCSLA1IY\GSA-18-19%20Noordwes%20model.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GSA-16-17%20Noordwes%20Vrystaat%20begroting%20-%20North%20west%20Free%20state%20budget.xls?87C8F9CD" TargetMode="External"/><Relationship Id="rId1" Type="http://schemas.openxmlformats.org/officeDocument/2006/relationships/externalLinkPath" Target="file:///\\87C8F9CD\GSA-16-17%20Noordwes%20Vrystaat%20begroting%20-%20North%20west%20Free%20state%20budg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edryfsbediening/Produksie/Produksie%20Begroting/Somer%20gewas%20streke/Somer%20modelle/2018-19/GSA-18-19%20Oos%20Vrystaat%20mode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grainsa2019.sharepoint.com/sites/Bedryfsbediening/Shared%20Documents/Produksie/Produksie%20Begroting/Somer%20gewas%20streke/Somer%20modelle/2023-24/GSA-23-24%20Noordwes%20model.xlsx" TargetMode="External"/><Relationship Id="rId1" Type="http://schemas.openxmlformats.org/officeDocument/2006/relationships/externalLinkPath" Target="/sites/Bedryfsbediening/Shared%20Documents/Produksie/Produksie%20Begrotings/Somer%20gewas%20streke/Somer%20modelle/2024-25/GSA-23-24%20Noordwes%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se"/>
      <sheetName val="W-Mielie "/>
      <sheetName val="W-BT Mielies"/>
      <sheetName val="W-Roundup R mielies "/>
      <sheetName val="Stapelgeen Mielie"/>
      <sheetName val="Sonneblom"/>
      <sheetName val="Sojabone"/>
      <sheetName val="Graansorghum"/>
      <sheetName val="Grondbone"/>
      <sheetName val="Bes-mielies"/>
    </sheetNames>
    <sheetDataSet>
      <sheetData sheetId="0"/>
      <sheetData sheetId="1"/>
      <sheetData sheetId="2">
        <row r="9">
          <cell r="K9">
            <v>2.5</v>
          </cell>
        </row>
        <row r="10">
          <cell r="K10">
            <v>3</v>
          </cell>
        </row>
        <row r="11">
          <cell r="K11">
            <v>3.5</v>
          </cell>
        </row>
        <row r="12">
          <cell r="K12">
            <v>4</v>
          </cell>
        </row>
        <row r="13">
          <cell r="K13">
            <v>4.5</v>
          </cell>
        </row>
        <row r="14">
          <cell r="K14">
            <v>5</v>
          </cell>
        </row>
      </sheetData>
      <sheetData sheetId="3"/>
      <sheetData sheetId="4"/>
      <sheetData sheetId="5">
        <row r="9">
          <cell r="K9">
            <v>1</v>
          </cell>
        </row>
        <row r="10">
          <cell r="K10">
            <v>1.25</v>
          </cell>
        </row>
        <row r="11">
          <cell r="K11">
            <v>1.5</v>
          </cell>
        </row>
        <row r="12">
          <cell r="K12">
            <v>1.75</v>
          </cell>
        </row>
        <row r="13">
          <cell r="K13">
            <v>2</v>
          </cell>
        </row>
      </sheetData>
      <sheetData sheetId="6">
        <row r="9">
          <cell r="K9">
            <v>1</v>
          </cell>
        </row>
        <row r="10">
          <cell r="K10">
            <v>1.25</v>
          </cell>
        </row>
        <row r="11">
          <cell r="K11">
            <v>1.5</v>
          </cell>
        </row>
        <row r="12">
          <cell r="K12">
            <v>1.75</v>
          </cell>
        </row>
        <row r="13">
          <cell r="K13">
            <v>2</v>
          </cell>
        </row>
      </sheetData>
      <sheetData sheetId="7">
        <row r="9">
          <cell r="K9">
            <v>2</v>
          </cell>
        </row>
        <row r="10">
          <cell r="K10">
            <v>2.5</v>
          </cell>
        </row>
        <row r="11">
          <cell r="K11">
            <v>3</v>
          </cell>
        </row>
        <row r="12">
          <cell r="K12">
            <v>3.5</v>
          </cell>
        </row>
        <row r="13">
          <cell r="K13">
            <v>4</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W-Mielie "/>
      <sheetName val="W-BT Mielies"/>
      <sheetName val="Sonneblom"/>
      <sheetName val="Sojabone"/>
      <sheetName val="Graansorghum"/>
      <sheetName val="Grondbone"/>
      <sheetName val="Oorlê"/>
      <sheetName val="Bes-mielies"/>
      <sheetName val="Crop Comparison"/>
      <sheetName val="Rent calculations"/>
      <sheetName val="Pryse + Sensatiwiteitsanalise"/>
      <sheetName val="Strategie"/>
      <sheetName val="sheet"/>
      <sheetName val="sheet 2"/>
    </sheetNames>
    <sheetDataSet>
      <sheetData sheetId="0" refreshError="1">
        <row r="3">
          <cell r="A3" t="str">
            <v>Monsanto Average Conven</v>
          </cell>
          <cell r="B3">
            <v>3014</v>
          </cell>
        </row>
        <row r="4">
          <cell r="A4" t="str">
            <v>Monsanto Average BT</v>
          </cell>
          <cell r="B4">
            <v>4202</v>
          </cell>
        </row>
        <row r="5">
          <cell r="A5" t="str">
            <v>Monsanto Average RR</v>
          </cell>
          <cell r="B5">
            <v>3966</v>
          </cell>
        </row>
        <row r="6">
          <cell r="A6" t="str">
            <v>Monsanto Average BR</v>
          </cell>
          <cell r="B6">
            <v>4455</v>
          </cell>
        </row>
        <row r="7">
          <cell r="A7" t="str">
            <v>DKC 73-72</v>
          </cell>
          <cell r="B7">
            <v>3535</v>
          </cell>
        </row>
        <row r="8">
          <cell r="A8" t="str">
            <v>DKC 80-10</v>
          </cell>
          <cell r="B8">
            <v>2002</v>
          </cell>
        </row>
        <row r="9">
          <cell r="A9" t="str">
            <v>DKC 71-42</v>
          </cell>
          <cell r="B9">
            <v>3612</v>
          </cell>
        </row>
        <row r="10">
          <cell r="A10" t="str">
            <v>DKC 61-90*</v>
          </cell>
          <cell r="B10">
            <v>2773</v>
          </cell>
        </row>
        <row r="11">
          <cell r="A11" t="str">
            <v>DKC 74-20</v>
          </cell>
          <cell r="B11">
            <v>3296</v>
          </cell>
        </row>
        <row r="12">
          <cell r="A12" t="str">
            <v>DKC 73-70B Gen</v>
          </cell>
          <cell r="B12">
            <v>4259</v>
          </cell>
        </row>
        <row r="13">
          <cell r="A13" t="str">
            <v>DKC 61-94 BR</v>
          </cell>
          <cell r="B13">
            <v>0</v>
          </cell>
        </row>
        <row r="14">
          <cell r="A14" t="str">
            <v>DKC 62-80 BR Gen</v>
          </cell>
          <cell r="B14">
            <v>0</v>
          </cell>
        </row>
        <row r="15">
          <cell r="A15" t="str">
            <v>DKC 62-84 R</v>
          </cell>
          <cell r="B15">
            <v>3312</v>
          </cell>
        </row>
        <row r="16">
          <cell r="A16" t="str">
            <v>DKC 64-78 BR Gen</v>
          </cell>
          <cell r="B16">
            <v>0</v>
          </cell>
        </row>
        <row r="17">
          <cell r="A17" t="str">
            <v>DKC 66-36 R</v>
          </cell>
          <cell r="B17">
            <v>0</v>
          </cell>
        </row>
        <row r="18">
          <cell r="A18" t="str">
            <v>DKC 73-74BR Gen</v>
          </cell>
          <cell r="B18">
            <v>4711</v>
          </cell>
        </row>
        <row r="19">
          <cell r="A19" t="str">
            <v>DKC 73-76 R</v>
          </cell>
          <cell r="B19">
            <v>4019</v>
          </cell>
        </row>
        <row r="20">
          <cell r="A20" t="str">
            <v>DKC 80-12B Gen</v>
          </cell>
          <cell r="B20">
            <v>3018</v>
          </cell>
        </row>
        <row r="21">
          <cell r="A21" t="str">
            <v>DKC 80-30 R</v>
          </cell>
          <cell r="B21">
            <v>3921</v>
          </cell>
        </row>
        <row r="22">
          <cell r="A22" t="str">
            <v>DKC 80-40BR Gen</v>
          </cell>
          <cell r="B22">
            <v>4672</v>
          </cell>
        </row>
        <row r="23">
          <cell r="A23" t="str">
            <v>DKC 68-50</v>
          </cell>
          <cell r="B23">
            <v>3589</v>
          </cell>
        </row>
        <row r="24">
          <cell r="A24" t="str">
            <v>DKC 68-56R</v>
          </cell>
          <cell r="B24">
            <v>4112</v>
          </cell>
        </row>
        <row r="25">
          <cell r="A25" t="str">
            <v>DKC 74-24B</v>
          </cell>
          <cell r="B25">
            <v>3038</v>
          </cell>
        </row>
        <row r="26">
          <cell r="A26" t="str">
            <v>DKC 74-26R</v>
          </cell>
          <cell r="B26">
            <v>4095</v>
          </cell>
        </row>
        <row r="27">
          <cell r="A27" t="str">
            <v>DKC 71-44B</v>
          </cell>
          <cell r="B27">
            <v>4486</v>
          </cell>
        </row>
        <row r="28">
          <cell r="A28" t="str">
            <v>DKC 68-54B</v>
          </cell>
          <cell r="B28">
            <v>4529</v>
          </cell>
        </row>
        <row r="29">
          <cell r="A29" t="str">
            <v>DKC 68-58BR</v>
          </cell>
          <cell r="B29">
            <v>4862</v>
          </cell>
        </row>
        <row r="30">
          <cell r="A30" t="str">
            <v>DKC 74-74BR</v>
          </cell>
          <cell r="B30">
            <v>4863</v>
          </cell>
        </row>
        <row r="31">
          <cell r="A31" t="str">
            <v>DKC 62-80BR Gen*</v>
          </cell>
          <cell r="B31">
            <v>3896</v>
          </cell>
        </row>
        <row r="32">
          <cell r="A32" t="str">
            <v>DKC 64-54BR*</v>
          </cell>
          <cell r="B32">
            <v>3999</v>
          </cell>
        </row>
        <row r="33">
          <cell r="A33" t="str">
            <v>DKC 64-78BR Gen*</v>
          </cell>
          <cell r="B33">
            <v>2796</v>
          </cell>
        </row>
        <row r="34">
          <cell r="A34" t="str">
            <v>DKC 65-52BR*</v>
          </cell>
          <cell r="B34">
            <v>4010</v>
          </cell>
        </row>
        <row r="35">
          <cell r="A35" t="str">
            <v xml:space="preserve">DKC 65-60 BR* </v>
          </cell>
          <cell r="B35">
            <v>3895</v>
          </cell>
        </row>
        <row r="36">
          <cell r="A36" t="str">
            <v>CRN 3505</v>
          </cell>
          <cell r="B36">
            <v>3333</v>
          </cell>
        </row>
        <row r="37">
          <cell r="A37" t="str">
            <v>DKC 78-27</v>
          </cell>
          <cell r="B37">
            <v>3746</v>
          </cell>
        </row>
        <row r="38">
          <cell r="A38" t="str">
            <v>DKC 63-53*</v>
          </cell>
          <cell r="B38">
            <v>1621</v>
          </cell>
        </row>
        <row r="39">
          <cell r="A39" t="str">
            <v>DKC 77-77 BR</v>
          </cell>
          <cell r="B39">
            <v>5069</v>
          </cell>
        </row>
        <row r="40">
          <cell r="A40" t="str">
            <v>DKC 77-85B Gen</v>
          </cell>
          <cell r="B40">
            <v>4609</v>
          </cell>
        </row>
        <row r="41">
          <cell r="A41" t="str">
            <v>DKC 78-17 B</v>
          </cell>
          <cell r="B41">
            <v>4532</v>
          </cell>
        </row>
        <row r="42">
          <cell r="A42" t="str">
            <v>DKC 78-35 R</v>
          </cell>
          <cell r="B42">
            <v>4052</v>
          </cell>
        </row>
        <row r="43">
          <cell r="A43" t="str">
            <v>DKC 78-45BR Gen</v>
          </cell>
          <cell r="B43">
            <v>4858</v>
          </cell>
        </row>
        <row r="44">
          <cell r="A44" t="str">
            <v>DKC 78-79 BR</v>
          </cell>
          <cell r="B44">
            <v>4845</v>
          </cell>
        </row>
        <row r="45">
          <cell r="A45" t="str">
            <v>DKC 78-83 R</v>
          </cell>
          <cell r="B45">
            <v>4253</v>
          </cell>
        </row>
        <row r="46">
          <cell r="A46" t="str">
            <v>DKC 78-87 B</v>
          </cell>
          <cell r="B46">
            <v>4624</v>
          </cell>
        </row>
        <row r="47">
          <cell r="A47" t="str">
            <v>DKC 76-61B</v>
          </cell>
          <cell r="B47">
            <v>4221</v>
          </cell>
        </row>
        <row r="48">
          <cell r="A48" t="str">
            <v>DKC 75-65 BR</v>
          </cell>
          <cell r="B48">
            <v>5265</v>
          </cell>
        </row>
        <row r="49">
          <cell r="A49" t="str">
            <v>DKC 76-67 BR</v>
          </cell>
          <cell r="B49">
            <v>4635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
      <sheetName val="W-RR mielies Laer opbrengs "/>
      <sheetName val="W-RR mielies Hoer opbrengs  "/>
      <sheetName val="W-BT Mielies "/>
      <sheetName val="Stapelgeen Mielie"/>
      <sheetName val="Verminbe Stapelgeen mielie -5jr"/>
      <sheetName val="Sonneblom"/>
      <sheetName val="Grondbone"/>
      <sheetName val="Sojabone"/>
      <sheetName val="Graansorghum"/>
      <sheetName val="Bes-mielies"/>
    </sheetNames>
    <sheetDataSet>
      <sheetData sheetId="0"/>
      <sheetData sheetId="1">
        <row r="9">
          <cell r="M9">
            <v>3</v>
          </cell>
        </row>
        <row r="10">
          <cell r="M10">
            <v>3.5</v>
          </cell>
        </row>
        <row r="11">
          <cell r="M11">
            <v>4</v>
          </cell>
        </row>
        <row r="12">
          <cell r="M12">
            <v>4.5</v>
          </cell>
        </row>
        <row r="13">
          <cell r="M13">
            <v>5</v>
          </cell>
        </row>
        <row r="14">
          <cell r="M14">
            <v>5.5</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W-Mielie "/>
      <sheetName val="W-BT Mielies"/>
      <sheetName val="Sonneblom"/>
      <sheetName val="Sojabone"/>
      <sheetName val="Bes-mielies"/>
      <sheetName val="Crop Comparison"/>
      <sheetName val="Rent calcul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t="str">
            <v>Maize (conven)</v>
          </cell>
          <cell r="C2" t="str">
            <v>Maize (Bt)</v>
          </cell>
          <cell r="D2" t="str">
            <v>Sunflower</v>
          </cell>
          <cell r="E2" t="str">
            <v>Soy bean</v>
          </cell>
          <cell r="F2" t="str">
            <v>Irr-Maize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edprices"/>
      <sheetName val="Price sheet "/>
      <sheetName val="Crops planted"/>
      <sheetName val="Inventarus "/>
      <sheetName val="Laste"/>
      <sheetName val="vaste koste"/>
      <sheetName val="W-Mielie "/>
      <sheetName val="W-BT Mielies"/>
      <sheetName val="Sonneblom"/>
      <sheetName val="Sojabone"/>
      <sheetName val="Graansorghum"/>
      <sheetName val="Grondbone"/>
      <sheetName val="Oorlê"/>
      <sheetName val="Bes-mielies"/>
      <sheetName val="Crop Comparison"/>
      <sheetName val="Crop Comparison Month vs Month)"/>
      <sheetName val="Bruto Marge"/>
      <sheetName val="Grafieke"/>
      <sheetName val="Rent calculations"/>
      <sheetName val="Crop Comparison Jaar op ja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F8">
            <v>17211</v>
          </cell>
        </row>
        <row r="28">
          <cell r="F28">
            <v>8687.7382671231608</v>
          </cell>
        </row>
        <row r="30">
          <cell r="F30">
            <v>2166.5299999999997</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
  <sheetViews>
    <sheetView zoomScale="85" zoomScaleNormal="85" workbookViewId="0">
      <selection activeCell="G4" sqref="G4"/>
    </sheetView>
  </sheetViews>
  <sheetFormatPr defaultColWidth="9.109375" defaultRowHeight="13.2" x14ac:dyDescent="0.25"/>
  <cols>
    <col min="1" max="1" width="52.44140625" style="134" customWidth="1"/>
    <col min="2" max="2" width="19.109375" style="134" bestFit="1" customWidth="1"/>
    <col min="3" max="3" width="3.33203125" style="134" customWidth="1"/>
    <col min="4" max="4" width="23.6640625" style="30" customWidth="1"/>
    <col min="5" max="12" width="10.6640625" style="30" customWidth="1"/>
    <col min="13" max="15" width="9.109375" style="30"/>
    <col min="16" max="16" width="22.6640625" style="30" customWidth="1"/>
    <col min="17" max="17" width="11.6640625" style="30" customWidth="1"/>
    <col min="18" max="26" width="9.44140625" style="30" customWidth="1"/>
    <col min="27" max="16384" width="9.109375" style="30"/>
  </cols>
  <sheetData>
    <row r="1" spans="1:26" s="137" customFormat="1" ht="28.5" customHeight="1" x14ac:dyDescent="0.4">
      <c r="A1" s="149" t="s">
        <v>49</v>
      </c>
      <c r="B1" s="150" t="s">
        <v>120</v>
      </c>
      <c r="C1" s="134"/>
      <c r="D1" s="134"/>
      <c r="E1" s="134"/>
      <c r="F1" s="135"/>
      <c r="G1" s="136"/>
      <c r="H1" s="134"/>
      <c r="I1" s="134"/>
      <c r="J1" s="134"/>
      <c r="K1" s="134"/>
      <c r="L1" s="134"/>
      <c r="M1" s="134"/>
      <c r="N1" s="134"/>
    </row>
    <row r="2" spans="1:26" s="137" customFormat="1" ht="13.5" customHeight="1" x14ac:dyDescent="0.3">
      <c r="A2" s="151" t="s">
        <v>48</v>
      </c>
      <c r="B2" s="152">
        <v>45868</v>
      </c>
      <c r="C2" s="134"/>
      <c r="D2" s="134"/>
      <c r="E2" s="134"/>
      <c r="F2" s="135"/>
      <c r="G2" s="136"/>
      <c r="H2" s="134"/>
      <c r="I2" s="134"/>
      <c r="J2" s="134"/>
      <c r="K2" s="134"/>
      <c r="L2" s="134"/>
      <c r="M2" s="134"/>
      <c r="N2" s="134"/>
    </row>
    <row r="3" spans="1:26" s="137" customFormat="1" ht="24.75" customHeight="1" x14ac:dyDescent="0.3">
      <c r="A3" s="159" t="s">
        <v>1</v>
      </c>
      <c r="B3" s="160" t="s">
        <v>2</v>
      </c>
      <c r="C3" s="134"/>
      <c r="D3" s="161" t="s">
        <v>50</v>
      </c>
      <c r="E3" s="134"/>
      <c r="F3" s="138"/>
      <c r="G3" s="136"/>
      <c r="H3" s="134"/>
      <c r="I3" s="134"/>
      <c r="J3" s="134"/>
      <c r="K3" s="134"/>
      <c r="L3" s="134"/>
    </row>
    <row r="4" spans="1:26" s="137" customFormat="1" ht="13.5" customHeight="1" x14ac:dyDescent="0.3">
      <c r="A4" s="223" t="s">
        <v>121</v>
      </c>
      <c r="B4" s="153">
        <v>4200</v>
      </c>
      <c r="C4" s="157"/>
      <c r="D4" s="158">
        <v>379</v>
      </c>
      <c r="E4" s="134"/>
      <c r="F4" s="135"/>
      <c r="G4" s="136"/>
      <c r="H4" s="134"/>
      <c r="I4" s="134"/>
      <c r="J4" s="134"/>
      <c r="K4" s="134"/>
      <c r="L4" s="134"/>
    </row>
    <row r="5" spans="1:26" s="137" customFormat="1" ht="13.5" customHeight="1" x14ac:dyDescent="0.3">
      <c r="A5" s="223" t="s">
        <v>122</v>
      </c>
      <c r="B5" s="153">
        <v>9600</v>
      </c>
      <c r="C5" s="157"/>
      <c r="D5" s="158">
        <v>383</v>
      </c>
      <c r="E5" s="134"/>
      <c r="F5" s="134"/>
      <c r="G5" s="134"/>
      <c r="H5" s="134"/>
      <c r="I5" s="134"/>
      <c r="J5" s="134"/>
      <c r="K5" s="134"/>
      <c r="L5" s="134"/>
      <c r="M5" s="134"/>
      <c r="N5" s="134"/>
    </row>
    <row r="6" spans="1:26" s="137" customFormat="1" ht="13.5" customHeight="1" x14ac:dyDescent="0.3">
      <c r="A6" s="223" t="s">
        <v>123</v>
      </c>
      <c r="B6" s="153">
        <v>7400</v>
      </c>
      <c r="C6" s="157"/>
      <c r="D6" s="158">
        <v>179</v>
      </c>
      <c r="E6" s="134"/>
      <c r="F6" s="134"/>
      <c r="G6" s="134"/>
      <c r="H6" s="134"/>
      <c r="I6" s="134"/>
      <c r="J6" s="134"/>
      <c r="K6" s="134"/>
      <c r="L6" s="134"/>
      <c r="M6" s="134"/>
      <c r="N6" s="134"/>
    </row>
    <row r="7" spans="1:26" s="137" customFormat="1" ht="13.5" customHeight="1" x14ac:dyDescent="0.3">
      <c r="A7" s="139"/>
      <c r="B7" s="140"/>
      <c r="C7" s="134"/>
      <c r="D7" s="134"/>
      <c r="E7" s="134"/>
      <c r="F7" s="134"/>
      <c r="G7" s="134"/>
      <c r="H7" s="134"/>
      <c r="I7" s="134"/>
      <c r="J7" s="134"/>
      <c r="K7" s="134"/>
      <c r="L7" s="134"/>
      <c r="M7" s="134"/>
      <c r="N7" s="134"/>
    </row>
    <row r="8" spans="1:26" s="137" customFormat="1" ht="13.5" customHeight="1" x14ac:dyDescent="0.4">
      <c r="A8" s="149"/>
      <c r="B8" s="134"/>
      <c r="C8" s="134"/>
      <c r="D8" s="134"/>
      <c r="E8" s="134"/>
      <c r="F8" s="134"/>
      <c r="G8" s="134"/>
      <c r="H8" s="134"/>
      <c r="I8" s="134"/>
      <c r="J8" s="134"/>
      <c r="K8" s="134"/>
      <c r="L8" s="134"/>
      <c r="M8" s="134"/>
      <c r="N8" s="134"/>
    </row>
    <row r="9" spans="1:26" s="137" customFormat="1" ht="13.5" customHeight="1" thickBot="1" x14ac:dyDescent="0.35">
      <c r="A9" s="228"/>
      <c r="B9" s="228"/>
      <c r="C9" s="134"/>
      <c r="D9" s="134"/>
      <c r="E9" s="134"/>
      <c r="F9" s="134"/>
      <c r="G9" s="134"/>
      <c r="H9" s="134"/>
      <c r="I9" s="134"/>
      <c r="J9" s="134"/>
      <c r="K9" s="134"/>
      <c r="L9" s="134"/>
      <c r="M9" s="134"/>
      <c r="N9" s="134"/>
    </row>
    <row r="10" spans="1:26" ht="20.25" customHeight="1" thickBot="1" x14ac:dyDescent="0.3">
      <c r="A10" s="166" t="s">
        <v>53</v>
      </c>
      <c r="B10" s="166"/>
      <c r="C10" s="141"/>
      <c r="D10" s="226" t="s">
        <v>61</v>
      </c>
      <c r="E10" s="234"/>
      <c r="F10" s="234"/>
      <c r="G10" s="234"/>
      <c r="H10" s="234"/>
      <c r="I10" s="234"/>
      <c r="J10" s="234"/>
      <c r="K10" s="234"/>
      <c r="L10" s="234"/>
      <c r="M10" s="234"/>
      <c r="N10" s="227"/>
      <c r="P10" s="226" t="s">
        <v>64</v>
      </c>
      <c r="Q10" s="234"/>
      <c r="R10" s="234"/>
      <c r="S10" s="234"/>
      <c r="T10" s="234"/>
      <c r="U10" s="234"/>
      <c r="V10" s="234"/>
      <c r="W10" s="234"/>
      <c r="X10" s="234"/>
      <c r="Y10" s="234"/>
      <c r="Z10" s="227"/>
    </row>
    <row r="11" spans="1:26" ht="13.5" customHeight="1" thickBot="1" x14ac:dyDescent="0.3">
      <c r="A11" s="162" t="s">
        <v>3</v>
      </c>
      <c r="B11" s="156">
        <f>'Crop Comparison'!C28</f>
        <v>17610.584478733013</v>
      </c>
      <c r="C11" s="142"/>
      <c r="D11" s="32"/>
      <c r="E11" s="33"/>
      <c r="F11" s="34"/>
      <c r="G11" s="35"/>
      <c r="H11" s="34"/>
      <c r="I11" s="34"/>
      <c r="J11" s="34" t="s">
        <v>4</v>
      </c>
      <c r="K11" s="36"/>
      <c r="L11" s="34"/>
      <c r="M11" s="36"/>
      <c r="N11" s="34"/>
      <c r="P11" s="32"/>
      <c r="Q11" s="33"/>
      <c r="R11" s="34"/>
      <c r="S11" s="35"/>
      <c r="T11" s="34"/>
      <c r="U11" s="34"/>
      <c r="V11" s="34" t="s">
        <v>4</v>
      </c>
      <c r="W11" s="36"/>
      <c r="X11" s="34"/>
      <c r="Y11" s="36"/>
      <c r="Z11" s="34"/>
    </row>
    <row r="12" spans="1:26" ht="13.5" customHeight="1" thickBot="1" x14ac:dyDescent="0.3">
      <c r="A12" s="162" t="s">
        <v>5</v>
      </c>
      <c r="B12" s="156">
        <f>'Crop Comparison'!C30</f>
        <v>1839.63</v>
      </c>
      <c r="C12" s="142"/>
      <c r="D12" s="226" t="s">
        <v>6</v>
      </c>
      <c r="E12" s="227"/>
      <c r="F12" s="37">
        <f>G12-250</f>
        <v>3200</v>
      </c>
      <c r="G12" s="37">
        <f>H12-250</f>
        <v>3450</v>
      </c>
      <c r="H12" s="37">
        <f>I12-250</f>
        <v>3700</v>
      </c>
      <c r="I12" s="37">
        <f>J12-250</f>
        <v>3950</v>
      </c>
      <c r="J12" s="38">
        <f>B17</f>
        <v>4200</v>
      </c>
      <c r="K12" s="37">
        <f>J12+250</f>
        <v>4450</v>
      </c>
      <c r="L12" s="37">
        <f>K12+250</f>
        <v>4700</v>
      </c>
      <c r="M12" s="37">
        <f>L12+250</f>
        <v>4950</v>
      </c>
      <c r="N12" s="37">
        <f>M12+250</f>
        <v>5200</v>
      </c>
      <c r="P12" s="226" t="s">
        <v>6</v>
      </c>
      <c r="Q12" s="227"/>
      <c r="R12" s="37">
        <f>S12-250</f>
        <v>3200</v>
      </c>
      <c r="S12" s="37">
        <f>T12-250</f>
        <v>3450</v>
      </c>
      <c r="T12" s="37">
        <f>U12-250</f>
        <v>3700</v>
      </c>
      <c r="U12" s="37">
        <f>V12-250</f>
        <v>3950</v>
      </c>
      <c r="V12" s="34">
        <f>J12</f>
        <v>4200</v>
      </c>
      <c r="W12" s="37">
        <f>V12+250</f>
        <v>4450</v>
      </c>
      <c r="X12" s="37">
        <f>W12+250</f>
        <v>4700</v>
      </c>
      <c r="Y12" s="37">
        <f>X12+250</f>
        <v>4950</v>
      </c>
      <c r="Z12" s="37">
        <f>Y12+250</f>
        <v>5200</v>
      </c>
    </row>
    <row r="13" spans="1:26" ht="13.5" customHeight="1" thickBot="1" x14ac:dyDescent="0.3">
      <c r="A13" s="163" t="s">
        <v>7</v>
      </c>
      <c r="B13" s="167">
        <f>B12+B11</f>
        <v>19450.214478733014</v>
      </c>
      <c r="C13" s="143"/>
      <c r="D13" s="232" t="s">
        <v>8</v>
      </c>
      <c r="E13" s="233"/>
      <c r="F13" s="39">
        <f t="shared" ref="F13:N13" si="0">F12-$B$18</f>
        <v>2821</v>
      </c>
      <c r="G13" s="39">
        <f t="shared" si="0"/>
        <v>3071</v>
      </c>
      <c r="H13" s="39">
        <f t="shared" si="0"/>
        <v>3321</v>
      </c>
      <c r="I13" s="39">
        <f t="shared" si="0"/>
        <v>3571</v>
      </c>
      <c r="J13" s="40">
        <f t="shared" si="0"/>
        <v>3821</v>
      </c>
      <c r="K13" s="39">
        <f t="shared" si="0"/>
        <v>4071</v>
      </c>
      <c r="L13" s="39">
        <f t="shared" si="0"/>
        <v>4321</v>
      </c>
      <c r="M13" s="39">
        <f t="shared" si="0"/>
        <v>4571</v>
      </c>
      <c r="N13" s="39">
        <f t="shared" si="0"/>
        <v>4821</v>
      </c>
      <c r="P13" s="232" t="s">
        <v>8</v>
      </c>
      <c r="Q13" s="233"/>
      <c r="R13" s="39">
        <f t="shared" ref="R13:Z13" si="1">R12-$B$18</f>
        <v>2821</v>
      </c>
      <c r="S13" s="39">
        <f t="shared" si="1"/>
        <v>3071</v>
      </c>
      <c r="T13" s="39">
        <f t="shared" si="1"/>
        <v>3321</v>
      </c>
      <c r="U13" s="39">
        <f t="shared" si="1"/>
        <v>3571</v>
      </c>
      <c r="V13" s="41">
        <f t="shared" si="1"/>
        <v>3821</v>
      </c>
      <c r="W13" s="39">
        <f t="shared" si="1"/>
        <v>4071</v>
      </c>
      <c r="X13" s="39">
        <f t="shared" si="1"/>
        <v>4321</v>
      </c>
      <c r="Y13" s="39">
        <f t="shared" si="1"/>
        <v>4571</v>
      </c>
      <c r="Z13" s="39">
        <f t="shared" si="1"/>
        <v>4821</v>
      </c>
    </row>
    <row r="14" spans="1:26" ht="13.5" customHeight="1" thickBot="1" x14ac:dyDescent="0.3">
      <c r="A14" s="162"/>
      <c r="B14" s="142"/>
      <c r="C14" s="142"/>
      <c r="D14" s="229" t="s">
        <v>9</v>
      </c>
      <c r="E14" s="42">
        <f>E15-0.5</f>
        <v>4</v>
      </c>
      <c r="F14" s="43">
        <f t="shared" ref="F14:N18" si="2">F$13-($B$13/$E14)</f>
        <v>-2041.5536196832536</v>
      </c>
      <c r="G14" s="44">
        <f t="shared" si="2"/>
        <v>-1791.5536196832536</v>
      </c>
      <c r="H14" s="44">
        <f t="shared" si="2"/>
        <v>-1541.5536196832536</v>
      </c>
      <c r="I14" s="44">
        <f t="shared" si="2"/>
        <v>-1291.5536196832536</v>
      </c>
      <c r="J14" s="44">
        <f t="shared" si="2"/>
        <v>-1041.5536196832536</v>
      </c>
      <c r="K14" s="44">
        <f t="shared" si="2"/>
        <v>-791.5536196832536</v>
      </c>
      <c r="L14" s="44">
        <f t="shared" si="2"/>
        <v>-541.5536196832536</v>
      </c>
      <c r="M14" s="45">
        <f t="shared" si="2"/>
        <v>-291.5536196832536</v>
      </c>
      <c r="N14" s="46">
        <f t="shared" si="2"/>
        <v>-41.553619683253601</v>
      </c>
      <c r="P14" s="229" t="s">
        <v>9</v>
      </c>
      <c r="Q14" s="42">
        <f>Q15-0.5</f>
        <v>4</v>
      </c>
      <c r="R14" s="43">
        <f>R$13-($B$11/$E14)</f>
        <v>-1581.6461196832533</v>
      </c>
      <c r="S14" s="43">
        <f t="shared" ref="S14:Z18" si="3">S$13-($B$11/$E14)</f>
        <v>-1331.6461196832533</v>
      </c>
      <c r="T14" s="43">
        <f t="shared" si="3"/>
        <v>-1081.6461196832533</v>
      </c>
      <c r="U14" s="43">
        <f t="shared" si="3"/>
        <v>-831.64611968325335</v>
      </c>
      <c r="V14" s="43">
        <f t="shared" si="3"/>
        <v>-581.64611968325335</v>
      </c>
      <c r="W14" s="43">
        <f t="shared" si="3"/>
        <v>-331.64611968325335</v>
      </c>
      <c r="X14" s="43">
        <f t="shared" si="3"/>
        <v>-81.646119683253346</v>
      </c>
      <c r="Y14" s="43">
        <f t="shared" si="3"/>
        <v>168.35388031674665</v>
      </c>
      <c r="Z14" s="43">
        <f t="shared" si="3"/>
        <v>418.35388031674665</v>
      </c>
    </row>
    <row r="15" spans="1:26" ht="13.5" customHeight="1" thickBot="1" x14ac:dyDescent="0.3">
      <c r="A15" s="162" t="s">
        <v>10</v>
      </c>
      <c r="B15" s="154">
        <v>5</v>
      </c>
      <c r="C15" s="142"/>
      <c r="D15" s="230"/>
      <c r="E15" s="42">
        <f>E16-0.5</f>
        <v>4.5</v>
      </c>
      <c r="F15" s="47">
        <f t="shared" si="2"/>
        <v>-1501.2698841628917</v>
      </c>
      <c r="G15" s="48">
        <f t="shared" si="2"/>
        <v>-1251.2698841628917</v>
      </c>
      <c r="H15" s="48">
        <f t="shared" si="2"/>
        <v>-1001.2698841628917</v>
      </c>
      <c r="I15" s="48">
        <f t="shared" si="2"/>
        <v>-751.26988416289169</v>
      </c>
      <c r="J15" s="48">
        <f t="shared" si="2"/>
        <v>-501.26988416289169</v>
      </c>
      <c r="K15" s="49">
        <f t="shared" si="2"/>
        <v>-251.26988416289169</v>
      </c>
      <c r="L15" s="49">
        <f t="shared" si="2"/>
        <v>-1.2698841628916853</v>
      </c>
      <c r="M15" s="49">
        <f t="shared" si="2"/>
        <v>248.73011583710831</v>
      </c>
      <c r="N15" s="50">
        <f t="shared" si="2"/>
        <v>498.73011583710831</v>
      </c>
      <c r="P15" s="230"/>
      <c r="Q15" s="42">
        <f>Q16-0.5</f>
        <v>4.5</v>
      </c>
      <c r="R15" s="43">
        <f>R$13-($B$11/$E15)</f>
        <v>-1092.4632174962253</v>
      </c>
      <c r="S15" s="43">
        <f t="shared" si="3"/>
        <v>-842.4632174962253</v>
      </c>
      <c r="T15" s="43">
        <f t="shared" si="3"/>
        <v>-592.4632174962253</v>
      </c>
      <c r="U15" s="43">
        <f t="shared" si="3"/>
        <v>-342.4632174962253</v>
      </c>
      <c r="V15" s="43">
        <f t="shared" si="3"/>
        <v>-92.463217496225298</v>
      </c>
      <c r="W15" s="43">
        <f t="shared" si="3"/>
        <v>157.5367825037747</v>
      </c>
      <c r="X15" s="43">
        <f t="shared" si="3"/>
        <v>407.5367825037747</v>
      </c>
      <c r="Y15" s="43">
        <f t="shared" si="3"/>
        <v>657.5367825037747</v>
      </c>
      <c r="Z15" s="43">
        <f t="shared" si="3"/>
        <v>907.5367825037747</v>
      </c>
    </row>
    <row r="16" spans="1:26" ht="13.5" customHeight="1" thickBot="1" x14ac:dyDescent="0.3">
      <c r="A16" s="162"/>
      <c r="B16" s="155"/>
      <c r="C16" s="142"/>
      <c r="D16" s="230"/>
      <c r="E16" s="51">
        <f>B15</f>
        <v>5</v>
      </c>
      <c r="F16" s="47">
        <f t="shared" si="2"/>
        <v>-1069.0428957466029</v>
      </c>
      <c r="G16" s="48">
        <f t="shared" si="2"/>
        <v>-819.04289574660288</v>
      </c>
      <c r="H16" s="48">
        <f t="shared" si="2"/>
        <v>-569.04289574660288</v>
      </c>
      <c r="I16" s="48">
        <f t="shared" si="2"/>
        <v>-319.04289574660288</v>
      </c>
      <c r="J16" s="219">
        <f t="shared" si="2"/>
        <v>-69.042895746602881</v>
      </c>
      <c r="K16" s="49">
        <f t="shared" si="2"/>
        <v>180.95710425339712</v>
      </c>
      <c r="L16" s="49">
        <f t="shared" si="2"/>
        <v>430.95710425339712</v>
      </c>
      <c r="M16" s="49">
        <f t="shared" si="2"/>
        <v>680.95710425339712</v>
      </c>
      <c r="N16" s="50">
        <f t="shared" si="2"/>
        <v>930.95710425339712</v>
      </c>
      <c r="P16" s="230"/>
      <c r="Q16" s="51">
        <f>E16</f>
        <v>5</v>
      </c>
      <c r="R16" s="43">
        <f>R$13-($B$11/$E16)</f>
        <v>-701.11689574660249</v>
      </c>
      <c r="S16" s="43">
        <f t="shared" si="3"/>
        <v>-451.11689574660249</v>
      </c>
      <c r="T16" s="43">
        <f t="shared" si="3"/>
        <v>-201.11689574660249</v>
      </c>
      <c r="U16" s="43">
        <f t="shared" si="3"/>
        <v>48.883104253397505</v>
      </c>
      <c r="V16" s="43">
        <f t="shared" si="3"/>
        <v>298.88310425339751</v>
      </c>
      <c r="W16" s="43">
        <f t="shared" si="3"/>
        <v>548.88310425339751</v>
      </c>
      <c r="X16" s="43">
        <f t="shared" si="3"/>
        <v>798.88310425339751</v>
      </c>
      <c r="Y16" s="43">
        <f t="shared" si="3"/>
        <v>1048.8831042533975</v>
      </c>
      <c r="Z16" s="43">
        <f t="shared" si="3"/>
        <v>1298.8831042533975</v>
      </c>
    </row>
    <row r="17" spans="1:26" ht="13.5" customHeight="1" thickBot="1" x14ac:dyDescent="0.3">
      <c r="A17" s="162" t="s">
        <v>101</v>
      </c>
      <c r="B17" s="156">
        <f>$B$4</f>
        <v>4200</v>
      </c>
      <c r="C17" s="142"/>
      <c r="D17" s="230"/>
      <c r="E17" s="42">
        <f>E16+0.5</f>
        <v>5.5</v>
      </c>
      <c r="F17" s="47">
        <f t="shared" si="2"/>
        <v>-715.40263249691179</v>
      </c>
      <c r="G17" s="48">
        <f t="shared" si="2"/>
        <v>-465.40263249691179</v>
      </c>
      <c r="H17" s="48">
        <f t="shared" si="2"/>
        <v>-215.40263249691179</v>
      </c>
      <c r="I17" s="49">
        <f t="shared" si="2"/>
        <v>34.597367503088208</v>
      </c>
      <c r="J17" s="49">
        <f t="shared" si="2"/>
        <v>284.59736750308821</v>
      </c>
      <c r="K17" s="49">
        <f t="shared" si="2"/>
        <v>534.59736750308821</v>
      </c>
      <c r="L17" s="49">
        <f t="shared" si="2"/>
        <v>784.59736750308821</v>
      </c>
      <c r="M17" s="49">
        <f t="shared" si="2"/>
        <v>1034.5973675030882</v>
      </c>
      <c r="N17" s="50">
        <f t="shared" si="2"/>
        <v>1284.5973675030882</v>
      </c>
      <c r="P17" s="230"/>
      <c r="Q17" s="42">
        <f>Q16+0.5</f>
        <v>5.5</v>
      </c>
      <c r="R17" s="43">
        <f>R$13-($B$11/$E17)</f>
        <v>-380.9244506787295</v>
      </c>
      <c r="S17" s="43">
        <f t="shared" si="3"/>
        <v>-130.9244506787295</v>
      </c>
      <c r="T17" s="43">
        <f t="shared" si="3"/>
        <v>119.0755493212705</v>
      </c>
      <c r="U17" s="43">
        <f t="shared" si="3"/>
        <v>369.0755493212705</v>
      </c>
      <c r="V17" s="43">
        <f t="shared" si="3"/>
        <v>619.0755493212705</v>
      </c>
      <c r="W17" s="43">
        <f t="shared" si="3"/>
        <v>869.0755493212705</v>
      </c>
      <c r="X17" s="43">
        <f t="shared" si="3"/>
        <v>1119.0755493212705</v>
      </c>
      <c r="Y17" s="43">
        <f t="shared" si="3"/>
        <v>1369.0755493212705</v>
      </c>
      <c r="Z17" s="43">
        <f t="shared" si="3"/>
        <v>1619.0755493212705</v>
      </c>
    </row>
    <row r="18" spans="1:26" ht="13.5" customHeight="1" thickBot="1" x14ac:dyDescent="0.3">
      <c r="A18" s="164" t="s">
        <v>11</v>
      </c>
      <c r="B18" s="156">
        <f>D4</f>
        <v>379</v>
      </c>
      <c r="C18" s="142"/>
      <c r="D18" s="231"/>
      <c r="E18" s="42">
        <f>E17+0.5</f>
        <v>6</v>
      </c>
      <c r="F18" s="52">
        <f>F$13-($B$13/$E18)</f>
        <v>-420.70241312216922</v>
      </c>
      <c r="G18" s="53">
        <f>G$13-($B$13/$E18)</f>
        <v>-170.70241312216922</v>
      </c>
      <c r="H18" s="54">
        <f t="shared" si="2"/>
        <v>79.297586877830781</v>
      </c>
      <c r="I18" s="54">
        <f t="shared" si="2"/>
        <v>329.29758687783078</v>
      </c>
      <c r="J18" s="54">
        <f t="shared" si="2"/>
        <v>579.29758687783078</v>
      </c>
      <c r="K18" s="54">
        <f t="shared" si="2"/>
        <v>829.29758687783078</v>
      </c>
      <c r="L18" s="54">
        <f t="shared" si="2"/>
        <v>1079.2975868778308</v>
      </c>
      <c r="M18" s="54">
        <f t="shared" si="2"/>
        <v>1329.2975868778308</v>
      </c>
      <c r="N18" s="55">
        <f>N$13-($B$13/$E18)</f>
        <v>1579.2975868778308</v>
      </c>
      <c r="P18" s="231"/>
      <c r="Q18" s="42">
        <f>Q17+0.5</f>
        <v>6</v>
      </c>
      <c r="R18" s="43">
        <f>R$13-($B$11/$E18)</f>
        <v>-114.09741312216875</v>
      </c>
      <c r="S18" s="43">
        <f>S$13-($B$11/$E18)</f>
        <v>135.90258687783125</v>
      </c>
      <c r="T18" s="43">
        <f t="shared" si="3"/>
        <v>385.90258687783125</v>
      </c>
      <c r="U18" s="43">
        <f t="shared" si="3"/>
        <v>635.90258687783125</v>
      </c>
      <c r="V18" s="43">
        <f t="shared" si="3"/>
        <v>885.90258687783125</v>
      </c>
      <c r="W18" s="43">
        <f t="shared" si="3"/>
        <v>1135.9025868778313</v>
      </c>
      <c r="X18" s="43">
        <f t="shared" si="3"/>
        <v>1385.9025868778313</v>
      </c>
      <c r="Y18" s="43">
        <f t="shared" si="3"/>
        <v>1635.9025868778313</v>
      </c>
      <c r="Z18" s="43">
        <f t="shared" si="3"/>
        <v>1885.9025868778313</v>
      </c>
    </row>
    <row r="19" spans="1:26" ht="13.5" customHeight="1" x14ac:dyDescent="0.25">
      <c r="A19" s="165" t="s">
        <v>12</v>
      </c>
      <c r="B19" s="167">
        <f>B17-B18</f>
        <v>3821</v>
      </c>
      <c r="C19" s="142"/>
      <c r="D19" s="56"/>
      <c r="E19" s="57"/>
      <c r="F19" s="58"/>
      <c r="G19" s="58"/>
      <c r="H19" s="58"/>
      <c r="I19" s="58"/>
      <c r="J19" s="58"/>
      <c r="K19" s="58"/>
      <c r="L19" s="58"/>
      <c r="P19" s="56"/>
      <c r="Q19" s="57"/>
      <c r="R19" s="58"/>
      <c r="S19" s="58"/>
      <c r="T19" s="58"/>
      <c r="U19" s="58"/>
      <c r="V19" s="58"/>
      <c r="W19" s="58"/>
      <c r="X19" s="58"/>
    </row>
    <row r="20" spans="1:26" ht="13.5" customHeight="1" x14ac:dyDescent="0.25">
      <c r="A20" s="165"/>
      <c r="B20" s="143"/>
      <c r="C20" s="142"/>
      <c r="D20" s="56"/>
      <c r="E20" s="57"/>
      <c r="F20" s="58"/>
      <c r="G20" s="58"/>
      <c r="H20" s="58"/>
      <c r="I20" s="58"/>
      <c r="J20" s="58"/>
      <c r="K20" s="58"/>
      <c r="L20" s="58"/>
      <c r="P20" s="56"/>
      <c r="Q20" s="57"/>
      <c r="R20" s="58"/>
      <c r="S20" s="58"/>
      <c r="T20" s="58"/>
      <c r="U20" s="58"/>
      <c r="V20" s="58"/>
      <c r="W20" s="58"/>
      <c r="X20" s="58"/>
    </row>
    <row r="21" spans="1:26" ht="13.5" customHeight="1" x14ac:dyDescent="0.25">
      <c r="A21" s="165"/>
      <c r="B21" s="143"/>
      <c r="C21" s="142"/>
      <c r="D21" s="56"/>
      <c r="E21" s="57"/>
      <c r="F21" s="58"/>
      <c r="G21" s="58"/>
      <c r="H21" s="58"/>
      <c r="I21" s="58"/>
      <c r="J21" s="58"/>
      <c r="K21" s="58"/>
      <c r="L21" s="58"/>
      <c r="P21" s="56"/>
      <c r="Q21" s="57"/>
      <c r="R21" s="58"/>
      <c r="S21" s="58"/>
      <c r="T21" s="58"/>
      <c r="U21" s="58"/>
      <c r="V21" s="58"/>
      <c r="W21" s="58"/>
      <c r="X21" s="58"/>
    </row>
    <row r="22" spans="1:26" ht="13.5" customHeight="1" thickBot="1" x14ac:dyDescent="0.3">
      <c r="A22" s="228"/>
      <c r="B22" s="228"/>
      <c r="D22" s="56"/>
      <c r="E22" s="57"/>
      <c r="F22" s="58"/>
      <c r="G22" s="58"/>
      <c r="H22" s="58"/>
      <c r="I22" s="58"/>
      <c r="J22" s="58"/>
      <c r="K22" s="58"/>
      <c r="L22" s="58"/>
      <c r="P22" s="56"/>
      <c r="Q22" s="57"/>
      <c r="R22" s="58"/>
      <c r="S22" s="58"/>
      <c r="T22" s="58"/>
      <c r="U22" s="58"/>
      <c r="V22" s="58"/>
      <c r="W22" s="58"/>
      <c r="X22" s="58"/>
    </row>
    <row r="23" spans="1:26" ht="18.75" customHeight="1" thickBot="1" x14ac:dyDescent="0.3">
      <c r="A23" s="235" t="s">
        <v>51</v>
      </c>
      <c r="B23" s="235"/>
      <c r="C23" s="141"/>
      <c r="D23" s="226" t="s">
        <v>62</v>
      </c>
      <c r="E23" s="234"/>
      <c r="F23" s="234"/>
      <c r="G23" s="234"/>
      <c r="H23" s="234"/>
      <c r="I23" s="234"/>
      <c r="J23" s="234"/>
      <c r="K23" s="234"/>
      <c r="L23" s="234"/>
      <c r="M23" s="234"/>
      <c r="N23" s="227"/>
      <c r="P23" s="226" t="s">
        <v>65</v>
      </c>
      <c r="Q23" s="234"/>
      <c r="R23" s="234"/>
      <c r="S23" s="234"/>
      <c r="T23" s="234"/>
      <c r="U23" s="234"/>
      <c r="V23" s="234"/>
      <c r="W23" s="234"/>
      <c r="X23" s="234"/>
      <c r="Y23" s="234"/>
      <c r="Z23" s="227"/>
    </row>
    <row r="24" spans="1:26" ht="13.5" customHeight="1" thickBot="1" x14ac:dyDescent="0.3">
      <c r="A24" s="162" t="s">
        <v>3</v>
      </c>
      <c r="B24" s="156">
        <f>'Crop Comparison'!D28</f>
        <v>7170.5388483739061</v>
      </c>
      <c r="C24" s="142"/>
      <c r="D24" s="32"/>
      <c r="E24" s="33"/>
      <c r="F24" s="34"/>
      <c r="G24" s="35"/>
      <c r="H24" s="34"/>
      <c r="I24" s="34"/>
      <c r="J24" s="34" t="s">
        <v>4</v>
      </c>
      <c r="K24" s="36"/>
      <c r="L24" s="34"/>
      <c r="M24" s="36"/>
      <c r="N24" s="34"/>
      <c r="P24" s="32"/>
      <c r="Q24" s="33"/>
      <c r="R24" s="34"/>
      <c r="S24" s="35"/>
      <c r="T24" s="34"/>
      <c r="U24" s="34"/>
      <c r="V24" s="34" t="s">
        <v>4</v>
      </c>
      <c r="W24" s="36"/>
      <c r="X24" s="34"/>
      <c r="Y24" s="36"/>
      <c r="Z24" s="34"/>
    </row>
    <row r="25" spans="1:26" ht="13.5" customHeight="1" thickBot="1" x14ac:dyDescent="0.3">
      <c r="A25" s="162" t="s">
        <v>5</v>
      </c>
      <c r="B25" s="156">
        <f>'Crop Comparison'!D30</f>
        <v>1762.2800000000002</v>
      </c>
      <c r="C25" s="142"/>
      <c r="D25" s="226" t="s">
        <v>6</v>
      </c>
      <c r="E25" s="227"/>
      <c r="F25" s="59">
        <f>G25-200</f>
        <v>8800</v>
      </c>
      <c r="G25" s="59">
        <f>H25-200</f>
        <v>9000</v>
      </c>
      <c r="H25" s="59">
        <f>I25-200</f>
        <v>9200</v>
      </c>
      <c r="I25" s="60">
        <f>J25-200</f>
        <v>9400</v>
      </c>
      <c r="J25" s="61">
        <f>B30</f>
        <v>9600</v>
      </c>
      <c r="K25" s="60">
        <f>J25+200</f>
        <v>9800</v>
      </c>
      <c r="L25" s="60">
        <f>K25+200</f>
        <v>10000</v>
      </c>
      <c r="M25" s="60">
        <f>L25+200</f>
        <v>10200</v>
      </c>
      <c r="N25" s="60">
        <f>M25+200</f>
        <v>10400</v>
      </c>
      <c r="P25" s="226" t="s">
        <v>6</v>
      </c>
      <c r="Q25" s="227"/>
      <c r="R25" s="59">
        <f>S25-200</f>
        <v>8800</v>
      </c>
      <c r="S25" s="59">
        <f>T25-200</f>
        <v>9000</v>
      </c>
      <c r="T25" s="59">
        <f>U25-200</f>
        <v>9200</v>
      </c>
      <c r="U25" s="60">
        <f>V25-200</f>
        <v>9400</v>
      </c>
      <c r="V25" s="61">
        <f>J25</f>
        <v>9600</v>
      </c>
      <c r="W25" s="60">
        <f>V25+200</f>
        <v>9800</v>
      </c>
      <c r="X25" s="60">
        <f>W25+200</f>
        <v>10000</v>
      </c>
      <c r="Y25" s="60">
        <f>X25+200</f>
        <v>10200</v>
      </c>
      <c r="Z25" s="60">
        <f>Y25+200</f>
        <v>10400</v>
      </c>
    </row>
    <row r="26" spans="1:26" ht="13.5" customHeight="1" thickBot="1" x14ac:dyDescent="0.3">
      <c r="A26" s="163" t="s">
        <v>7</v>
      </c>
      <c r="B26" s="167">
        <f>B25+B24</f>
        <v>8932.8188483739068</v>
      </c>
      <c r="C26" s="143"/>
      <c r="D26" s="232" t="s">
        <v>8</v>
      </c>
      <c r="E26" s="233"/>
      <c r="F26" s="62">
        <f t="shared" ref="F26:N26" si="4">F25-$B$31</f>
        <v>8417</v>
      </c>
      <c r="G26" s="62">
        <f t="shared" si="4"/>
        <v>8617</v>
      </c>
      <c r="H26" s="62">
        <f t="shared" si="4"/>
        <v>8817</v>
      </c>
      <c r="I26" s="62">
        <f t="shared" si="4"/>
        <v>9017</v>
      </c>
      <c r="J26" s="63">
        <f t="shared" si="4"/>
        <v>9217</v>
      </c>
      <c r="K26" s="62">
        <f t="shared" si="4"/>
        <v>9417</v>
      </c>
      <c r="L26" s="62">
        <f t="shared" si="4"/>
        <v>9617</v>
      </c>
      <c r="M26" s="62">
        <f t="shared" si="4"/>
        <v>9817</v>
      </c>
      <c r="N26" s="62">
        <f t="shared" si="4"/>
        <v>10017</v>
      </c>
      <c r="P26" s="232" t="s">
        <v>8</v>
      </c>
      <c r="Q26" s="233"/>
      <c r="R26" s="62">
        <f t="shared" ref="R26:Z26" si="5">R25-$B$31</f>
        <v>8417</v>
      </c>
      <c r="S26" s="62">
        <f t="shared" si="5"/>
        <v>8617</v>
      </c>
      <c r="T26" s="62">
        <f t="shared" si="5"/>
        <v>8817</v>
      </c>
      <c r="U26" s="62">
        <f t="shared" si="5"/>
        <v>9017</v>
      </c>
      <c r="V26" s="63">
        <f t="shared" si="5"/>
        <v>9217</v>
      </c>
      <c r="W26" s="62">
        <f t="shared" si="5"/>
        <v>9417</v>
      </c>
      <c r="X26" s="62">
        <f t="shared" si="5"/>
        <v>9617</v>
      </c>
      <c r="Y26" s="62">
        <f t="shared" si="5"/>
        <v>9817</v>
      </c>
      <c r="Z26" s="62">
        <f t="shared" si="5"/>
        <v>10017</v>
      </c>
    </row>
    <row r="27" spans="1:26" ht="13.5" customHeight="1" thickBot="1" x14ac:dyDescent="0.3">
      <c r="A27" s="162"/>
      <c r="B27" s="142"/>
      <c r="C27" s="142"/>
      <c r="D27" s="229" t="s">
        <v>9</v>
      </c>
      <c r="E27" s="42">
        <f>E28-0.25</f>
        <v>0.75</v>
      </c>
      <c r="F27" s="43">
        <f t="shared" ref="F27:N31" si="6">F$26-($B$26/$E27)</f>
        <v>-3493.4251311652097</v>
      </c>
      <c r="G27" s="43">
        <f t="shared" si="6"/>
        <v>-3293.4251311652097</v>
      </c>
      <c r="H27" s="43">
        <f t="shared" si="6"/>
        <v>-3093.4251311652097</v>
      </c>
      <c r="I27" s="43">
        <f t="shared" si="6"/>
        <v>-2893.4251311652097</v>
      </c>
      <c r="J27" s="43">
        <f t="shared" si="6"/>
        <v>-2693.4251311652097</v>
      </c>
      <c r="K27" s="43">
        <f t="shared" si="6"/>
        <v>-2493.4251311652097</v>
      </c>
      <c r="L27" s="43">
        <f t="shared" si="6"/>
        <v>-2293.4251311652097</v>
      </c>
      <c r="M27" s="43">
        <f t="shared" si="6"/>
        <v>-2093.4251311652097</v>
      </c>
      <c r="N27" s="43">
        <f t="shared" si="6"/>
        <v>-1893.4251311652097</v>
      </c>
      <c r="P27" s="229" t="s">
        <v>9</v>
      </c>
      <c r="Q27" s="42">
        <f>Q28-0.25</f>
        <v>0.75</v>
      </c>
      <c r="R27" s="43">
        <f t="shared" ref="R27:Z31" si="7">R$26-($B$24/$E27)</f>
        <v>-1143.7184644985409</v>
      </c>
      <c r="S27" s="43">
        <f t="shared" si="7"/>
        <v>-943.71846449854092</v>
      </c>
      <c r="T27" s="43">
        <f t="shared" si="7"/>
        <v>-743.71846449854092</v>
      </c>
      <c r="U27" s="43">
        <f t="shared" si="7"/>
        <v>-543.71846449854092</v>
      </c>
      <c r="V27" s="43">
        <f t="shared" si="7"/>
        <v>-343.71846449854092</v>
      </c>
      <c r="W27" s="43">
        <f t="shared" si="7"/>
        <v>-143.71846449854092</v>
      </c>
      <c r="X27" s="43">
        <f t="shared" si="7"/>
        <v>56.281535501459075</v>
      </c>
      <c r="Y27" s="43">
        <f t="shared" si="7"/>
        <v>256.28153550145908</v>
      </c>
      <c r="Z27" s="43">
        <f t="shared" si="7"/>
        <v>456.28153550145908</v>
      </c>
    </row>
    <row r="28" spans="1:26" ht="13.5" customHeight="1" thickBot="1" x14ac:dyDescent="0.3">
      <c r="A28" s="162" t="s">
        <v>10</v>
      </c>
      <c r="B28" s="154">
        <v>1.25</v>
      </c>
      <c r="C28" s="142"/>
      <c r="D28" s="230"/>
      <c r="E28" s="42">
        <f>E29-0.25</f>
        <v>1</v>
      </c>
      <c r="F28" s="43">
        <f t="shared" si="6"/>
        <v>-515.8188483739068</v>
      </c>
      <c r="G28" s="43">
        <f t="shared" si="6"/>
        <v>-315.8188483739068</v>
      </c>
      <c r="H28" s="43">
        <f t="shared" si="6"/>
        <v>-115.8188483739068</v>
      </c>
      <c r="I28" s="43">
        <f t="shared" si="6"/>
        <v>84.181151626093197</v>
      </c>
      <c r="J28" s="43">
        <f t="shared" si="6"/>
        <v>284.1811516260932</v>
      </c>
      <c r="K28" s="43">
        <f t="shared" si="6"/>
        <v>484.1811516260932</v>
      </c>
      <c r="L28" s="43">
        <f t="shared" si="6"/>
        <v>684.1811516260932</v>
      </c>
      <c r="M28" s="43">
        <f t="shared" si="6"/>
        <v>884.1811516260932</v>
      </c>
      <c r="N28" s="43">
        <f t="shared" si="6"/>
        <v>1084.1811516260932</v>
      </c>
      <c r="P28" s="230"/>
      <c r="Q28" s="42">
        <f>Q29-0.25</f>
        <v>1</v>
      </c>
      <c r="R28" s="43">
        <f t="shared" si="7"/>
        <v>1246.4611516260939</v>
      </c>
      <c r="S28" s="43">
        <f t="shared" si="7"/>
        <v>1446.4611516260939</v>
      </c>
      <c r="T28" s="43">
        <f t="shared" si="7"/>
        <v>1646.4611516260939</v>
      </c>
      <c r="U28" s="43">
        <f t="shared" si="7"/>
        <v>1846.4611516260939</v>
      </c>
      <c r="V28" s="43">
        <f t="shared" si="7"/>
        <v>2046.4611516260939</v>
      </c>
      <c r="W28" s="43">
        <f t="shared" si="7"/>
        <v>2246.4611516260939</v>
      </c>
      <c r="X28" s="43">
        <f t="shared" si="7"/>
        <v>2446.4611516260939</v>
      </c>
      <c r="Y28" s="43">
        <f t="shared" si="7"/>
        <v>2646.4611516260939</v>
      </c>
      <c r="Z28" s="43">
        <f t="shared" si="7"/>
        <v>2846.4611516260939</v>
      </c>
    </row>
    <row r="29" spans="1:26" ht="13.5" customHeight="1" thickBot="1" x14ac:dyDescent="0.3">
      <c r="A29" s="162"/>
      <c r="B29" s="155"/>
      <c r="C29" s="142"/>
      <c r="D29" s="230"/>
      <c r="E29" s="218">
        <f>B28</f>
        <v>1.25</v>
      </c>
      <c r="F29" s="43">
        <f t="shared" si="6"/>
        <v>1270.7449213008749</v>
      </c>
      <c r="G29" s="43">
        <f t="shared" si="6"/>
        <v>1470.7449213008749</v>
      </c>
      <c r="H29" s="43">
        <f t="shared" si="6"/>
        <v>1670.7449213008749</v>
      </c>
      <c r="I29" s="43">
        <f t="shared" si="6"/>
        <v>1870.7449213008749</v>
      </c>
      <c r="J29" s="43">
        <f t="shared" si="6"/>
        <v>2070.7449213008749</v>
      </c>
      <c r="K29" s="43">
        <f t="shared" si="6"/>
        <v>2270.7449213008749</v>
      </c>
      <c r="L29" s="43">
        <f t="shared" si="6"/>
        <v>2470.7449213008749</v>
      </c>
      <c r="M29" s="43">
        <f t="shared" si="6"/>
        <v>2670.7449213008749</v>
      </c>
      <c r="N29" s="43">
        <f t="shared" si="6"/>
        <v>2870.7449213008749</v>
      </c>
      <c r="P29" s="230"/>
      <c r="Q29" s="51">
        <f>E29</f>
        <v>1.25</v>
      </c>
      <c r="R29" s="43">
        <f t="shared" si="7"/>
        <v>2680.5689213008754</v>
      </c>
      <c r="S29" s="43">
        <f t="shared" si="7"/>
        <v>2880.5689213008754</v>
      </c>
      <c r="T29" s="43">
        <f t="shared" si="7"/>
        <v>3080.5689213008754</v>
      </c>
      <c r="U29" s="43">
        <f t="shared" si="7"/>
        <v>3280.5689213008754</v>
      </c>
      <c r="V29" s="43">
        <f t="shared" si="7"/>
        <v>3480.5689213008754</v>
      </c>
      <c r="W29" s="43">
        <f t="shared" si="7"/>
        <v>3680.5689213008754</v>
      </c>
      <c r="X29" s="43">
        <f t="shared" si="7"/>
        <v>3880.5689213008754</v>
      </c>
      <c r="Y29" s="43">
        <f t="shared" si="7"/>
        <v>4080.5689213008754</v>
      </c>
      <c r="Z29" s="43">
        <f t="shared" si="7"/>
        <v>4280.5689213008754</v>
      </c>
    </row>
    <row r="30" spans="1:26" ht="13.5" customHeight="1" thickBot="1" x14ac:dyDescent="0.3">
      <c r="A30" s="162" t="s">
        <v>102</v>
      </c>
      <c r="B30" s="156">
        <f>B5</f>
        <v>9600</v>
      </c>
      <c r="C30" s="142"/>
      <c r="D30" s="230"/>
      <c r="E30" s="42">
        <f>E29+0.25</f>
        <v>1.5</v>
      </c>
      <c r="F30" s="43">
        <f t="shared" si="6"/>
        <v>2461.7874344173952</v>
      </c>
      <c r="G30" s="43">
        <f t="shared" si="6"/>
        <v>2661.7874344173952</v>
      </c>
      <c r="H30" s="43">
        <f t="shared" si="6"/>
        <v>2861.7874344173952</v>
      </c>
      <c r="I30" s="43">
        <f t="shared" si="6"/>
        <v>3061.7874344173952</v>
      </c>
      <c r="J30" s="43">
        <f t="shared" si="6"/>
        <v>3261.7874344173952</v>
      </c>
      <c r="K30" s="43">
        <f t="shared" si="6"/>
        <v>3461.7874344173952</v>
      </c>
      <c r="L30" s="43">
        <f t="shared" si="6"/>
        <v>3661.7874344173952</v>
      </c>
      <c r="M30" s="43">
        <f t="shared" si="6"/>
        <v>3861.7874344173952</v>
      </c>
      <c r="N30" s="43">
        <f t="shared" si="6"/>
        <v>4061.7874344173952</v>
      </c>
      <c r="P30" s="230"/>
      <c r="Q30" s="42">
        <f>Q29+0.25</f>
        <v>1.5</v>
      </c>
      <c r="R30" s="43">
        <f t="shared" si="7"/>
        <v>3636.6407677507295</v>
      </c>
      <c r="S30" s="43">
        <f t="shared" si="7"/>
        <v>3836.6407677507295</v>
      </c>
      <c r="T30" s="43">
        <f t="shared" si="7"/>
        <v>4036.6407677507295</v>
      </c>
      <c r="U30" s="43">
        <f t="shared" si="7"/>
        <v>4236.6407677507295</v>
      </c>
      <c r="V30" s="43">
        <f t="shared" si="7"/>
        <v>4436.6407677507295</v>
      </c>
      <c r="W30" s="43">
        <f t="shared" si="7"/>
        <v>4636.6407677507295</v>
      </c>
      <c r="X30" s="43">
        <f t="shared" si="7"/>
        <v>4836.6407677507295</v>
      </c>
      <c r="Y30" s="43">
        <f t="shared" si="7"/>
        <v>5036.6407677507295</v>
      </c>
      <c r="Z30" s="43">
        <f t="shared" si="7"/>
        <v>5236.6407677507295</v>
      </c>
    </row>
    <row r="31" spans="1:26" ht="13.5" customHeight="1" thickBot="1" x14ac:dyDescent="0.3">
      <c r="A31" s="164" t="s">
        <v>11</v>
      </c>
      <c r="B31" s="156">
        <f>D5</f>
        <v>383</v>
      </c>
      <c r="C31" s="142"/>
      <c r="D31" s="231"/>
      <c r="E31" s="42">
        <f>E30+0.25</f>
        <v>1.75</v>
      </c>
      <c r="F31" s="43">
        <f>F$26-($B$26/$E31)</f>
        <v>3312.5320866434822</v>
      </c>
      <c r="G31" s="43">
        <f t="shared" si="6"/>
        <v>3512.5320866434822</v>
      </c>
      <c r="H31" s="43">
        <f t="shared" si="6"/>
        <v>3712.5320866434822</v>
      </c>
      <c r="I31" s="43">
        <f t="shared" si="6"/>
        <v>3912.5320866434822</v>
      </c>
      <c r="J31" s="43">
        <f t="shared" si="6"/>
        <v>4112.5320866434822</v>
      </c>
      <c r="K31" s="43">
        <f t="shared" si="6"/>
        <v>4312.5320866434822</v>
      </c>
      <c r="L31" s="43">
        <f t="shared" si="6"/>
        <v>4512.5320866434822</v>
      </c>
      <c r="M31" s="43">
        <f t="shared" si="6"/>
        <v>4712.5320866434822</v>
      </c>
      <c r="N31" s="43">
        <f>N$26-($B$26/$E31)</f>
        <v>4912.5320866434822</v>
      </c>
      <c r="P31" s="231"/>
      <c r="Q31" s="42">
        <f>Q30+0.25</f>
        <v>1.75</v>
      </c>
      <c r="R31" s="43">
        <f>R$26-($B$24/$E31)</f>
        <v>4319.5492295006252</v>
      </c>
      <c r="S31" s="43">
        <f t="shared" si="7"/>
        <v>4519.5492295006252</v>
      </c>
      <c r="T31" s="43">
        <f t="shared" si="7"/>
        <v>4719.5492295006252</v>
      </c>
      <c r="U31" s="43">
        <f t="shared" si="7"/>
        <v>4919.5492295006252</v>
      </c>
      <c r="V31" s="43">
        <f t="shared" si="7"/>
        <v>5119.5492295006252</v>
      </c>
      <c r="W31" s="43">
        <f t="shared" si="7"/>
        <v>5319.5492295006252</v>
      </c>
      <c r="X31" s="43">
        <f t="shared" si="7"/>
        <v>5519.5492295006252</v>
      </c>
      <c r="Y31" s="43">
        <f t="shared" si="7"/>
        <v>5719.5492295006252</v>
      </c>
      <c r="Z31" s="43">
        <f t="shared" si="7"/>
        <v>5919.5492295006252</v>
      </c>
    </row>
    <row r="32" spans="1:26" ht="13.5" customHeight="1" x14ac:dyDescent="0.25">
      <c r="A32" s="165" t="s">
        <v>12</v>
      </c>
      <c r="B32" s="167">
        <f>B30-B31</f>
        <v>9217</v>
      </c>
      <c r="C32" s="142"/>
      <c r="D32" s="56"/>
      <c r="E32" s="57"/>
      <c r="F32" s="58"/>
      <c r="G32" s="58"/>
      <c r="H32" s="58"/>
      <c r="I32" s="58"/>
      <c r="J32" s="58"/>
      <c r="K32" s="58"/>
      <c r="L32" s="58"/>
      <c r="P32" s="56"/>
      <c r="Q32" s="57"/>
      <c r="R32" s="58"/>
      <c r="S32" s="58"/>
      <c r="T32" s="58"/>
      <c r="U32" s="58"/>
      <c r="V32" s="58"/>
      <c r="W32" s="58"/>
      <c r="X32" s="58"/>
    </row>
    <row r="33" spans="1:26" ht="13.5" customHeight="1" x14ac:dyDescent="0.25">
      <c r="A33" s="165"/>
      <c r="B33" s="143"/>
      <c r="C33" s="142"/>
      <c r="D33" s="56"/>
      <c r="E33" s="57"/>
      <c r="F33" s="58"/>
      <c r="G33" s="58"/>
      <c r="H33" s="58"/>
      <c r="I33" s="58"/>
      <c r="J33" s="58"/>
      <c r="K33" s="58"/>
      <c r="L33" s="58"/>
      <c r="P33" s="56"/>
      <c r="Q33" s="57"/>
      <c r="R33" s="58"/>
      <c r="S33" s="58"/>
      <c r="T33" s="58"/>
      <c r="U33" s="58"/>
      <c r="V33" s="58"/>
      <c r="W33" s="58"/>
      <c r="X33" s="58"/>
    </row>
    <row r="34" spans="1:26" ht="13.5" customHeight="1" x14ac:dyDescent="0.25">
      <c r="D34" s="56"/>
      <c r="E34" s="57"/>
      <c r="F34" s="58"/>
      <c r="G34" s="58"/>
      <c r="H34" s="58"/>
      <c r="I34" s="58"/>
      <c r="J34" s="58"/>
      <c r="K34" s="58"/>
      <c r="L34" s="58"/>
      <c r="P34" s="56"/>
      <c r="Q34" s="57"/>
      <c r="R34" s="58"/>
      <c r="S34" s="58"/>
      <c r="T34" s="58"/>
      <c r="U34" s="58"/>
      <c r="V34" s="58"/>
      <c r="W34" s="58"/>
      <c r="X34" s="58"/>
    </row>
    <row r="35" spans="1:26" ht="13.5" customHeight="1" thickBot="1" x14ac:dyDescent="0.3">
      <c r="A35" s="228"/>
      <c r="B35" s="228"/>
    </row>
    <row r="36" spans="1:26" ht="19.5" customHeight="1" thickBot="1" x14ac:dyDescent="0.3">
      <c r="A36" s="235" t="s">
        <v>52</v>
      </c>
      <c r="B36" s="235"/>
      <c r="C36" s="141"/>
      <c r="D36" s="226" t="s">
        <v>63</v>
      </c>
      <c r="E36" s="234"/>
      <c r="F36" s="234"/>
      <c r="G36" s="234"/>
      <c r="H36" s="234"/>
      <c r="I36" s="234"/>
      <c r="J36" s="234"/>
      <c r="K36" s="234"/>
      <c r="L36" s="234"/>
      <c r="M36" s="234"/>
      <c r="N36" s="227"/>
      <c r="P36" s="226" t="s">
        <v>66</v>
      </c>
      <c r="Q36" s="234"/>
      <c r="R36" s="234"/>
      <c r="S36" s="234"/>
      <c r="T36" s="234"/>
      <c r="U36" s="234"/>
      <c r="V36" s="234"/>
      <c r="W36" s="234"/>
      <c r="X36" s="234"/>
      <c r="Y36" s="234"/>
      <c r="Z36" s="227"/>
    </row>
    <row r="37" spans="1:26" ht="13.5" customHeight="1" thickBot="1" x14ac:dyDescent="0.3">
      <c r="A37" s="162" t="s">
        <v>3</v>
      </c>
      <c r="B37" s="156">
        <f>Sojabone!F25</f>
        <v>9763.8484060080955</v>
      </c>
      <c r="C37" s="144"/>
      <c r="D37" s="32"/>
      <c r="E37" s="33"/>
      <c r="F37" s="34"/>
      <c r="G37" s="35"/>
      <c r="H37" s="34"/>
      <c r="I37" s="34"/>
      <c r="J37" s="34" t="s">
        <v>13</v>
      </c>
      <c r="K37" s="36"/>
      <c r="L37" s="34"/>
      <c r="M37" s="36"/>
      <c r="N37" s="34"/>
      <c r="P37" s="32"/>
      <c r="Q37" s="33"/>
      <c r="R37" s="34"/>
      <c r="S37" s="35"/>
      <c r="T37" s="34"/>
      <c r="U37" s="34"/>
      <c r="V37" s="34" t="s">
        <v>13</v>
      </c>
      <c r="W37" s="36"/>
      <c r="X37" s="34"/>
      <c r="Y37" s="36"/>
      <c r="Z37" s="34"/>
    </row>
    <row r="38" spans="1:26" ht="13.5" customHeight="1" thickBot="1" x14ac:dyDescent="0.3">
      <c r="A38" s="162" t="s">
        <v>5</v>
      </c>
      <c r="B38" s="156">
        <f>Sojabone!F27</f>
        <v>1956.0199999999998</v>
      </c>
      <c r="C38" s="144"/>
      <c r="D38" s="226" t="s">
        <v>6</v>
      </c>
      <c r="E38" s="227"/>
      <c r="F38" s="37">
        <f>G38-200</f>
        <v>6600</v>
      </c>
      <c r="G38" s="37">
        <f>H38-200</f>
        <v>6800</v>
      </c>
      <c r="H38" s="37">
        <f>I38-200</f>
        <v>7000</v>
      </c>
      <c r="I38" s="37">
        <f>J38-200</f>
        <v>7200</v>
      </c>
      <c r="J38" s="38">
        <f>B43</f>
        <v>7400</v>
      </c>
      <c r="K38" s="37">
        <f>J38+200</f>
        <v>7600</v>
      </c>
      <c r="L38" s="37">
        <f>K38+200</f>
        <v>7800</v>
      </c>
      <c r="M38" s="37">
        <f>L38+200</f>
        <v>8000</v>
      </c>
      <c r="N38" s="37">
        <f>M38+200</f>
        <v>8200</v>
      </c>
      <c r="P38" s="226" t="s">
        <v>6</v>
      </c>
      <c r="Q38" s="227"/>
      <c r="R38" s="37">
        <f>S38-200</f>
        <v>6600</v>
      </c>
      <c r="S38" s="37">
        <f>T38-200</f>
        <v>6800</v>
      </c>
      <c r="T38" s="37">
        <f>U38-200</f>
        <v>7000</v>
      </c>
      <c r="U38" s="37">
        <f>V38-200</f>
        <v>7200</v>
      </c>
      <c r="V38" s="34">
        <f>J38</f>
        <v>7400</v>
      </c>
      <c r="W38" s="37">
        <f>V38+200</f>
        <v>7600</v>
      </c>
      <c r="X38" s="37">
        <f>W38+200</f>
        <v>7800</v>
      </c>
      <c r="Y38" s="37">
        <f>X38+200</f>
        <v>8000</v>
      </c>
      <c r="Z38" s="37">
        <f>Y38+200</f>
        <v>8200</v>
      </c>
    </row>
    <row r="39" spans="1:26" ht="13.5" customHeight="1" thickBot="1" x14ac:dyDescent="0.3">
      <c r="A39" s="163" t="s">
        <v>7</v>
      </c>
      <c r="B39" s="167">
        <f>B38+B37</f>
        <v>11719.868406008096</v>
      </c>
      <c r="C39" s="145"/>
      <c r="D39" s="232" t="s">
        <v>8</v>
      </c>
      <c r="E39" s="233"/>
      <c r="F39" s="64">
        <f t="shared" ref="F39:N39" si="8">F38-$B$44</f>
        <v>6421</v>
      </c>
      <c r="G39" s="39">
        <f t="shared" si="8"/>
        <v>6621</v>
      </c>
      <c r="H39" s="39">
        <f t="shared" si="8"/>
        <v>6821</v>
      </c>
      <c r="I39" s="39">
        <f t="shared" si="8"/>
        <v>7021</v>
      </c>
      <c r="J39" s="41">
        <f t="shared" si="8"/>
        <v>7221</v>
      </c>
      <c r="K39" s="39">
        <f t="shared" si="8"/>
        <v>7421</v>
      </c>
      <c r="L39" s="39">
        <f t="shared" si="8"/>
        <v>7621</v>
      </c>
      <c r="M39" s="39">
        <f t="shared" si="8"/>
        <v>7821</v>
      </c>
      <c r="N39" s="39">
        <f t="shared" si="8"/>
        <v>8021</v>
      </c>
      <c r="P39" s="232" t="s">
        <v>8</v>
      </c>
      <c r="Q39" s="233"/>
      <c r="R39" s="39">
        <f t="shared" ref="R39:Z39" si="9">R38-$B$44</f>
        <v>6421</v>
      </c>
      <c r="S39" s="39">
        <f t="shared" si="9"/>
        <v>6621</v>
      </c>
      <c r="T39" s="39">
        <f t="shared" si="9"/>
        <v>6821</v>
      </c>
      <c r="U39" s="39">
        <f t="shared" si="9"/>
        <v>7021</v>
      </c>
      <c r="V39" s="41">
        <f t="shared" si="9"/>
        <v>7221</v>
      </c>
      <c r="W39" s="39">
        <f t="shared" si="9"/>
        <v>7421</v>
      </c>
      <c r="X39" s="39">
        <f t="shared" si="9"/>
        <v>7621</v>
      </c>
      <c r="Y39" s="39">
        <f t="shared" si="9"/>
        <v>7821</v>
      </c>
      <c r="Z39" s="39">
        <f t="shared" si="9"/>
        <v>8021</v>
      </c>
    </row>
    <row r="40" spans="1:26" ht="13.5" customHeight="1" thickBot="1" x14ac:dyDescent="0.3">
      <c r="A40" s="162"/>
      <c r="B40" s="142"/>
      <c r="C40" s="146"/>
      <c r="D40" s="229" t="s">
        <v>9</v>
      </c>
      <c r="E40" s="42">
        <f>E41-0.25</f>
        <v>1.3</v>
      </c>
      <c r="F40" s="43">
        <f>F$39-($B$39/$E40)</f>
        <v>-2594.2833892369963</v>
      </c>
      <c r="G40" s="44">
        <f t="shared" ref="F40:N44" si="10">G$39-($B$39/$E40)</f>
        <v>-2394.2833892369963</v>
      </c>
      <c r="H40" s="44">
        <f t="shared" si="10"/>
        <v>-2194.2833892369963</v>
      </c>
      <c r="I40" s="44">
        <f t="shared" si="10"/>
        <v>-1994.2833892369963</v>
      </c>
      <c r="J40" s="44">
        <f t="shared" si="10"/>
        <v>-1794.2833892369963</v>
      </c>
      <c r="K40" s="44">
        <f t="shared" si="10"/>
        <v>-1594.2833892369963</v>
      </c>
      <c r="L40" s="44">
        <f t="shared" si="10"/>
        <v>-1394.2833892369963</v>
      </c>
      <c r="M40" s="45">
        <f t="shared" si="10"/>
        <v>-1194.2833892369963</v>
      </c>
      <c r="N40" s="46">
        <f t="shared" si="10"/>
        <v>-994.2833892369963</v>
      </c>
      <c r="P40" s="229" t="s">
        <v>9</v>
      </c>
      <c r="Q40" s="42">
        <f>Q41-0.25</f>
        <v>1.3</v>
      </c>
      <c r="R40" s="43">
        <f>R$39-($B$37/$E40)</f>
        <v>-1089.6526200062272</v>
      </c>
      <c r="S40" s="43">
        <f t="shared" ref="S40:Z40" si="11">S$39-($B$37/$E40)</f>
        <v>-889.65262000622715</v>
      </c>
      <c r="T40" s="43">
        <f t="shared" si="11"/>
        <v>-689.65262000622715</v>
      </c>
      <c r="U40" s="43">
        <f t="shared" si="11"/>
        <v>-489.65262000622715</v>
      </c>
      <c r="V40" s="43">
        <f t="shared" si="11"/>
        <v>-289.65262000622715</v>
      </c>
      <c r="W40" s="43">
        <f t="shared" si="11"/>
        <v>-89.652620006227153</v>
      </c>
      <c r="X40" s="43">
        <f t="shared" si="11"/>
        <v>110.34737999377285</v>
      </c>
      <c r="Y40" s="43">
        <f t="shared" si="11"/>
        <v>310.34737999377285</v>
      </c>
      <c r="Z40" s="43">
        <f t="shared" si="11"/>
        <v>510.34737999377285</v>
      </c>
    </row>
    <row r="41" spans="1:26" ht="13.5" customHeight="1" thickBot="1" x14ac:dyDescent="0.3">
      <c r="A41" s="162" t="s">
        <v>10</v>
      </c>
      <c r="B41" s="154">
        <f>Sojabone!F5</f>
        <v>1.8</v>
      </c>
      <c r="C41" s="147"/>
      <c r="D41" s="230"/>
      <c r="E41" s="42">
        <f>E42-0.25</f>
        <v>1.55</v>
      </c>
      <c r="F41" s="47">
        <f t="shared" si="10"/>
        <v>-1140.2054232310293</v>
      </c>
      <c r="G41" s="48">
        <f t="shared" si="10"/>
        <v>-940.20542323102927</v>
      </c>
      <c r="H41" s="48">
        <f t="shared" si="10"/>
        <v>-740.20542323102927</v>
      </c>
      <c r="I41" s="48">
        <f t="shared" si="10"/>
        <v>-540.20542323102927</v>
      </c>
      <c r="J41" s="48">
        <f t="shared" si="10"/>
        <v>-340.20542323102927</v>
      </c>
      <c r="K41" s="49">
        <f t="shared" si="10"/>
        <v>-140.20542323102927</v>
      </c>
      <c r="L41" s="49">
        <f t="shared" si="10"/>
        <v>59.794576768970728</v>
      </c>
      <c r="M41" s="49">
        <f t="shared" si="10"/>
        <v>259.79457676897073</v>
      </c>
      <c r="N41" s="50">
        <f t="shared" si="10"/>
        <v>459.79457676897073</v>
      </c>
      <c r="P41" s="230"/>
      <c r="Q41" s="42">
        <f>Q42-0.25</f>
        <v>1.55</v>
      </c>
      <c r="R41" s="43">
        <f t="shared" ref="R41:Z44" si="12">R$39-($B$37/$E41)</f>
        <v>121.74296386574497</v>
      </c>
      <c r="S41" s="43">
        <f t="shared" si="12"/>
        <v>321.74296386574497</v>
      </c>
      <c r="T41" s="43">
        <f t="shared" si="12"/>
        <v>521.74296386574497</v>
      </c>
      <c r="U41" s="43">
        <f t="shared" si="12"/>
        <v>721.74296386574497</v>
      </c>
      <c r="V41" s="43">
        <f t="shared" si="12"/>
        <v>921.74296386574497</v>
      </c>
      <c r="W41" s="43">
        <f t="shared" si="12"/>
        <v>1121.742963865745</v>
      </c>
      <c r="X41" s="43">
        <f t="shared" si="12"/>
        <v>1321.742963865745</v>
      </c>
      <c r="Y41" s="43">
        <f t="shared" si="12"/>
        <v>1521.742963865745</v>
      </c>
      <c r="Z41" s="43">
        <f t="shared" si="12"/>
        <v>1721.742963865745</v>
      </c>
    </row>
    <row r="42" spans="1:26" ht="13.5" customHeight="1" thickBot="1" x14ac:dyDescent="0.3">
      <c r="A42" s="162"/>
      <c r="B42" s="155"/>
      <c r="C42" s="146"/>
      <c r="D42" s="230"/>
      <c r="E42" s="51">
        <f>B41</f>
        <v>1.8</v>
      </c>
      <c r="F42" s="47">
        <f t="shared" si="10"/>
        <v>-90.03800333783056</v>
      </c>
      <c r="G42" s="48">
        <f t="shared" si="10"/>
        <v>109.96199666216944</v>
      </c>
      <c r="H42" s="48">
        <f t="shared" si="10"/>
        <v>309.96199666216944</v>
      </c>
      <c r="I42" s="48">
        <f t="shared" si="10"/>
        <v>509.96199666216944</v>
      </c>
      <c r="J42" s="49">
        <f t="shared" si="10"/>
        <v>709.96199666216944</v>
      </c>
      <c r="K42" s="49">
        <f t="shared" si="10"/>
        <v>909.96199666216944</v>
      </c>
      <c r="L42" s="49">
        <f t="shared" si="10"/>
        <v>1109.9619966621694</v>
      </c>
      <c r="M42" s="49">
        <f t="shared" si="10"/>
        <v>1309.9619966621694</v>
      </c>
      <c r="N42" s="50">
        <f t="shared" si="10"/>
        <v>1509.9619966621694</v>
      </c>
      <c r="P42" s="230"/>
      <c r="Q42" s="51">
        <f>E42</f>
        <v>1.8</v>
      </c>
      <c r="R42" s="43">
        <f>R$39-($B$37/$E42)</f>
        <v>996.63977443994736</v>
      </c>
      <c r="S42" s="43">
        <f t="shared" si="12"/>
        <v>1196.6397744399474</v>
      </c>
      <c r="T42" s="43">
        <f t="shared" si="12"/>
        <v>1396.6397744399474</v>
      </c>
      <c r="U42" s="43">
        <f t="shared" si="12"/>
        <v>1596.6397744399474</v>
      </c>
      <c r="V42" s="43">
        <f t="shared" si="12"/>
        <v>1796.6397744399474</v>
      </c>
      <c r="W42" s="43">
        <f t="shared" si="12"/>
        <v>1996.6397744399474</v>
      </c>
      <c r="X42" s="43">
        <f t="shared" si="12"/>
        <v>2196.6397744399474</v>
      </c>
      <c r="Y42" s="43">
        <f t="shared" si="12"/>
        <v>2396.6397744399474</v>
      </c>
      <c r="Z42" s="43">
        <f t="shared" si="12"/>
        <v>2596.6397744399474</v>
      </c>
    </row>
    <row r="43" spans="1:26" ht="13.5" customHeight="1" thickBot="1" x14ac:dyDescent="0.3">
      <c r="A43" s="162" t="s">
        <v>103</v>
      </c>
      <c r="B43" s="156">
        <f>B6</f>
        <v>7400</v>
      </c>
      <c r="C43" s="146"/>
      <c r="D43" s="230"/>
      <c r="E43" s="42">
        <f>E42+0.25</f>
        <v>2.0499999999999998</v>
      </c>
      <c r="F43" s="47">
        <f t="shared" si="10"/>
        <v>703.99102145946472</v>
      </c>
      <c r="G43" s="48">
        <f t="shared" si="10"/>
        <v>903.99102145946472</v>
      </c>
      <c r="H43" s="48">
        <f t="shared" si="10"/>
        <v>1103.9910214594647</v>
      </c>
      <c r="I43" s="49">
        <f t="shared" si="10"/>
        <v>1303.9910214594647</v>
      </c>
      <c r="J43" s="49">
        <f t="shared" si="10"/>
        <v>1503.9910214594647</v>
      </c>
      <c r="K43" s="49">
        <f t="shared" si="10"/>
        <v>1703.9910214594647</v>
      </c>
      <c r="L43" s="49">
        <f t="shared" si="10"/>
        <v>1903.9910214594647</v>
      </c>
      <c r="M43" s="49">
        <f t="shared" si="10"/>
        <v>2103.9910214594647</v>
      </c>
      <c r="N43" s="50">
        <f t="shared" si="10"/>
        <v>2303.9910214594647</v>
      </c>
      <c r="P43" s="230"/>
      <c r="Q43" s="42">
        <f>Q42+0.25</f>
        <v>2.0499999999999998</v>
      </c>
      <c r="R43" s="43">
        <f t="shared" si="12"/>
        <v>1658.1471190204411</v>
      </c>
      <c r="S43" s="43">
        <f t="shared" si="12"/>
        <v>1858.1471190204411</v>
      </c>
      <c r="T43" s="43">
        <f t="shared" si="12"/>
        <v>2058.1471190204411</v>
      </c>
      <c r="U43" s="43">
        <f t="shared" si="12"/>
        <v>2258.1471190204411</v>
      </c>
      <c r="V43" s="43">
        <f t="shared" si="12"/>
        <v>2458.1471190204411</v>
      </c>
      <c r="W43" s="43">
        <f t="shared" si="12"/>
        <v>2658.1471190204411</v>
      </c>
      <c r="X43" s="43">
        <f t="shared" si="12"/>
        <v>2858.1471190204411</v>
      </c>
      <c r="Y43" s="43">
        <f t="shared" si="12"/>
        <v>3058.1471190204411</v>
      </c>
      <c r="Z43" s="43">
        <f t="shared" si="12"/>
        <v>3258.1471190204411</v>
      </c>
    </row>
    <row r="44" spans="1:26" ht="13.5" customHeight="1" thickBot="1" x14ac:dyDescent="0.3">
      <c r="A44" s="164" t="s">
        <v>11</v>
      </c>
      <c r="B44" s="156">
        <f>D6</f>
        <v>179</v>
      </c>
      <c r="C44" s="148"/>
      <c r="D44" s="231"/>
      <c r="E44" s="42">
        <f>E43+0.25</f>
        <v>2.2999999999999998</v>
      </c>
      <c r="F44" s="52">
        <f t="shared" si="10"/>
        <v>1325.4050408660451</v>
      </c>
      <c r="G44" s="53">
        <f>G$39-($B$39/$E44)</f>
        <v>1525.4050408660451</v>
      </c>
      <c r="H44" s="54">
        <f t="shared" si="10"/>
        <v>1725.4050408660451</v>
      </c>
      <c r="I44" s="54">
        <f t="shared" si="10"/>
        <v>1925.4050408660451</v>
      </c>
      <c r="J44" s="54">
        <f t="shared" si="10"/>
        <v>2125.4050408660451</v>
      </c>
      <c r="K44" s="54">
        <f t="shared" si="10"/>
        <v>2325.4050408660451</v>
      </c>
      <c r="L44" s="54">
        <f t="shared" si="10"/>
        <v>2525.4050408660451</v>
      </c>
      <c r="M44" s="54">
        <f t="shared" si="10"/>
        <v>2725.4050408660451</v>
      </c>
      <c r="N44" s="55">
        <f>N$39-($B$39/$E44)</f>
        <v>2925.4050408660451</v>
      </c>
      <c r="P44" s="231"/>
      <c r="Q44" s="42">
        <f>Q43+0.25</f>
        <v>2.2999999999999998</v>
      </c>
      <c r="R44" s="43">
        <f t="shared" si="12"/>
        <v>2175.8485191269147</v>
      </c>
      <c r="S44" s="43">
        <f>S$39-($B$37/$E44)</f>
        <v>2375.8485191269147</v>
      </c>
      <c r="T44" s="43">
        <f t="shared" si="12"/>
        <v>2575.8485191269147</v>
      </c>
      <c r="U44" s="43">
        <f t="shared" si="12"/>
        <v>2775.8485191269147</v>
      </c>
      <c r="V44" s="43">
        <f t="shared" si="12"/>
        <v>2975.8485191269147</v>
      </c>
      <c r="W44" s="43">
        <f t="shared" si="12"/>
        <v>3175.8485191269147</v>
      </c>
      <c r="X44" s="43">
        <f t="shared" si="12"/>
        <v>3375.8485191269147</v>
      </c>
      <c r="Y44" s="43">
        <f t="shared" si="12"/>
        <v>3575.8485191269147</v>
      </c>
      <c r="Z44" s="43">
        <f t="shared" si="12"/>
        <v>3775.8485191269147</v>
      </c>
    </row>
    <row r="45" spans="1:26" ht="13.5" customHeight="1" x14ac:dyDescent="0.25">
      <c r="A45" s="165" t="s">
        <v>12</v>
      </c>
      <c r="B45" s="167">
        <f>B43-B44</f>
        <v>7221</v>
      </c>
      <c r="C45" s="148"/>
    </row>
    <row r="46" spans="1:26" ht="13.5" customHeight="1" x14ac:dyDescent="0.25"/>
    <row r="47" spans="1:26" ht="13.5" customHeight="1" x14ac:dyDescent="0.25"/>
  </sheetData>
  <sheetProtection selectLockedCells="1"/>
  <mergeCells count="29">
    <mergeCell ref="A9:B9"/>
    <mergeCell ref="D38:E38"/>
    <mergeCell ref="P38:Q38"/>
    <mergeCell ref="P13:Q13"/>
    <mergeCell ref="A23:B23"/>
    <mergeCell ref="A36:B36"/>
    <mergeCell ref="D14:D18"/>
    <mergeCell ref="P14:P18"/>
    <mergeCell ref="D10:N10"/>
    <mergeCell ref="P10:Z10"/>
    <mergeCell ref="D12:E12"/>
    <mergeCell ref="P12:Q12"/>
    <mergeCell ref="D13:E13"/>
    <mergeCell ref="D23:N23"/>
    <mergeCell ref="P23:Z23"/>
    <mergeCell ref="D25:E25"/>
    <mergeCell ref="P25:Q25"/>
    <mergeCell ref="A22:B22"/>
    <mergeCell ref="D40:D44"/>
    <mergeCell ref="P40:P44"/>
    <mergeCell ref="D26:E26"/>
    <mergeCell ref="P26:Q26"/>
    <mergeCell ref="D27:D31"/>
    <mergeCell ref="P27:P31"/>
    <mergeCell ref="D36:N36"/>
    <mergeCell ref="P36:Z36"/>
    <mergeCell ref="D39:E39"/>
    <mergeCell ref="P39:Q39"/>
    <mergeCell ref="A35:B35"/>
  </mergeCells>
  <conditionalFormatting sqref="F14:N18">
    <cfRule type="cellIs" dxfId="23" priority="45" stopIfTrue="1" operator="lessThan">
      <formula>1</formula>
    </cfRule>
    <cfRule type="cellIs" dxfId="22" priority="46" stopIfTrue="1" operator="greaterThan">
      <formula>1</formula>
    </cfRule>
    <cfRule type="cellIs" dxfId="21" priority="47" stopIfTrue="1" operator="lessThan">
      <formula>1</formula>
    </cfRule>
    <cfRule type="cellIs" dxfId="20" priority="48" stopIfTrue="1" operator="greaterThan">
      <formula>1</formula>
    </cfRule>
  </conditionalFormatting>
  <conditionalFormatting sqref="F27:N31">
    <cfRule type="cellIs" dxfId="19" priority="29" stopIfTrue="1" operator="lessThan">
      <formula>1</formula>
    </cfRule>
    <cfRule type="cellIs" dxfId="18" priority="30" stopIfTrue="1" operator="greaterThan">
      <formula>1</formula>
    </cfRule>
    <cfRule type="cellIs" dxfId="17" priority="31" stopIfTrue="1" operator="lessThan">
      <formula>1</formula>
    </cfRule>
    <cfRule type="cellIs" dxfId="16" priority="32" stopIfTrue="1" operator="greaterThan">
      <formula>1</formula>
    </cfRule>
  </conditionalFormatting>
  <conditionalFormatting sqref="F40:N44">
    <cfRule type="cellIs" dxfId="15" priority="41" stopIfTrue="1" operator="lessThan">
      <formula>1</formula>
    </cfRule>
    <cfRule type="cellIs" dxfId="14" priority="42" stopIfTrue="1" operator="greaterThan">
      <formula>1</formula>
    </cfRule>
    <cfRule type="cellIs" dxfId="13" priority="43" stopIfTrue="1" operator="lessThan">
      <formula>1</formula>
    </cfRule>
    <cfRule type="cellIs" dxfId="12" priority="44" stopIfTrue="1" operator="greaterThan">
      <formula>1</formula>
    </cfRule>
  </conditionalFormatting>
  <conditionalFormatting sqref="R14:Z18">
    <cfRule type="cellIs" dxfId="11" priority="37" stopIfTrue="1" operator="lessThan">
      <formula>1</formula>
    </cfRule>
    <cfRule type="cellIs" dxfId="10" priority="38" stopIfTrue="1" operator="greaterThan">
      <formula>1</formula>
    </cfRule>
    <cfRule type="cellIs" dxfId="9" priority="39" stopIfTrue="1" operator="lessThan">
      <formula>1</formula>
    </cfRule>
    <cfRule type="cellIs" dxfId="8" priority="40" stopIfTrue="1" operator="greaterThan">
      <formula>1</formula>
    </cfRule>
  </conditionalFormatting>
  <conditionalFormatting sqref="R27:Z31">
    <cfRule type="cellIs" dxfId="7" priority="25" stopIfTrue="1" operator="lessThan">
      <formula>1</formula>
    </cfRule>
    <cfRule type="cellIs" dxfId="6" priority="26" stopIfTrue="1" operator="greaterThan">
      <formula>1</formula>
    </cfRule>
    <cfRule type="cellIs" dxfId="5" priority="27" stopIfTrue="1" operator="lessThan">
      <formula>1</formula>
    </cfRule>
    <cfRule type="cellIs" dxfId="4" priority="28" stopIfTrue="1" operator="greaterThan">
      <formula>1</formula>
    </cfRule>
  </conditionalFormatting>
  <conditionalFormatting sqref="R40:Z44">
    <cfRule type="cellIs" dxfId="3" priority="33" stopIfTrue="1" operator="lessThan">
      <formula>1</formula>
    </cfRule>
    <cfRule type="cellIs" dxfId="2" priority="34" stopIfTrue="1" operator="greaterThan">
      <formula>1</formula>
    </cfRule>
    <cfRule type="cellIs" dxfId="1" priority="35" stopIfTrue="1" operator="lessThan">
      <formula>1</formula>
    </cfRule>
    <cfRule type="cellIs" dxfId="0" priority="36" stopIfTrue="1" operator="greaterThan">
      <formula>1</formula>
    </cfRule>
  </conditionalFormatting>
  <dataValidations count="3">
    <dataValidation type="list" allowBlank="1" showInputMessage="1" showErrorMessage="1" sqref="B15" xr:uid="{00000000-0002-0000-0000-000000000000}">
      <formula1>Obrengspeil</formula1>
    </dataValidation>
    <dataValidation type="list" allowBlank="1" showInputMessage="1" showErrorMessage="1" sqref="B28" xr:uid="{00000000-0002-0000-0000-000001000000}">
      <formula1>Sonopbrengspeil</formula1>
    </dataValidation>
    <dataValidation type="list" allowBlank="1" showInputMessage="1" showErrorMessage="1" sqref="B41" xr:uid="{00000000-0002-0000-0000-000002000000}">
      <formula1>Sojaopbrengspeil</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zoomScale="85" zoomScaleNormal="85" zoomScaleSheetLayoutView="90" workbookViewId="0">
      <selection activeCell="I25" sqref="I25"/>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4.44140625" style="1" customWidth="1"/>
    <col min="11" max="11" width="30.44140625" style="1" customWidth="1"/>
    <col min="12" max="26" width="12.6640625" style="1" customWidth="1"/>
    <col min="27" max="16384" width="9.109375" style="1"/>
  </cols>
  <sheetData>
    <row r="1" spans="1:9" ht="30.75" customHeight="1" thickBot="1" x14ac:dyDescent="0.3">
      <c r="A1" s="245" t="s">
        <v>100</v>
      </c>
      <c r="B1" s="246"/>
      <c r="C1" s="246"/>
      <c r="D1" s="246"/>
      <c r="E1" s="247" t="s">
        <v>124</v>
      </c>
      <c r="F1" s="247"/>
      <c r="G1" s="247"/>
      <c r="H1" s="175"/>
      <c r="I1" s="176"/>
    </row>
    <row r="2" spans="1:9" ht="16.2" thickBot="1" x14ac:dyDescent="0.35">
      <c r="A2" s="8"/>
      <c r="B2" s="9"/>
      <c r="C2" s="10"/>
      <c r="D2" s="10"/>
      <c r="E2" s="6"/>
      <c r="F2" s="6"/>
      <c r="G2" s="6"/>
      <c r="H2" s="6"/>
      <c r="I2" s="2"/>
    </row>
    <row r="3" spans="1:9" ht="24.75" customHeight="1" thickBot="1" x14ac:dyDescent="0.3">
      <c r="A3" s="256" t="s">
        <v>15</v>
      </c>
      <c r="B3" s="257"/>
      <c r="C3" s="257"/>
      <c r="D3" s="177"/>
      <c r="E3" s="178">
        <f>'Pryse + Sensatiwiteitsanalise'!B19</f>
        <v>3821</v>
      </c>
      <c r="F3" s="177" t="s">
        <v>0</v>
      </c>
      <c r="G3" s="179"/>
      <c r="H3" s="179"/>
      <c r="I3" s="180"/>
    </row>
    <row r="4" spans="1:9" ht="13.8" thickBot="1" x14ac:dyDescent="0.3">
      <c r="A4" s="83"/>
      <c r="B4" s="4"/>
      <c r="C4" s="4"/>
      <c r="D4" s="3"/>
      <c r="E4" s="5"/>
      <c r="F4" s="11"/>
      <c r="G4" s="4"/>
      <c r="H4" s="12"/>
      <c r="I4" s="12"/>
    </row>
    <row r="5" spans="1:9" ht="13.8" thickBot="1" x14ac:dyDescent="0.3">
      <c r="A5" s="73" t="s">
        <v>16</v>
      </c>
      <c r="B5" s="4"/>
      <c r="C5" s="4"/>
      <c r="D5" s="91">
        <v>3.5</v>
      </c>
      <c r="E5" s="91">
        <v>4</v>
      </c>
      <c r="F5" s="91">
        <v>4.5</v>
      </c>
      <c r="G5" s="91">
        <v>5</v>
      </c>
      <c r="H5" s="91">
        <v>5.5</v>
      </c>
      <c r="I5" s="91">
        <v>6</v>
      </c>
    </row>
    <row r="6" spans="1:9" ht="13.8" thickBot="1" x14ac:dyDescent="0.3">
      <c r="A6" s="181" t="s">
        <v>17</v>
      </c>
      <c r="B6" s="182"/>
      <c r="C6" s="183"/>
      <c r="D6" s="184">
        <f t="shared" ref="D6:I6" si="0">$E$3*D5</f>
        <v>13373.5</v>
      </c>
      <c r="E6" s="184">
        <f t="shared" si="0"/>
        <v>15284</v>
      </c>
      <c r="F6" s="184">
        <f t="shared" si="0"/>
        <v>17194.5</v>
      </c>
      <c r="G6" s="184">
        <f t="shared" si="0"/>
        <v>19105</v>
      </c>
      <c r="H6" s="184">
        <f t="shared" si="0"/>
        <v>21015.5</v>
      </c>
      <c r="I6" s="184">
        <f t="shared" si="0"/>
        <v>22926</v>
      </c>
    </row>
    <row r="7" spans="1:9" ht="13.8" thickBot="1" x14ac:dyDescent="0.3">
      <c r="A7" s="84"/>
      <c r="B7" s="85"/>
      <c r="C7" s="85"/>
      <c r="D7" s="13"/>
      <c r="E7" s="13"/>
      <c r="F7" s="13"/>
      <c r="G7" s="13"/>
      <c r="H7" s="13"/>
      <c r="I7" s="13"/>
    </row>
    <row r="8" spans="1:9" ht="13.8" thickBot="1" x14ac:dyDescent="0.3">
      <c r="A8" s="258" t="s">
        <v>18</v>
      </c>
      <c r="B8" s="259"/>
      <c r="C8" s="260"/>
      <c r="D8" s="206"/>
      <c r="E8" s="206"/>
      <c r="F8" s="206"/>
      <c r="G8" s="206"/>
      <c r="H8" s="206"/>
      <c r="I8" s="206"/>
    </row>
    <row r="9" spans="1:9" x14ac:dyDescent="0.25">
      <c r="A9" s="77" t="s">
        <v>19</v>
      </c>
      <c r="B9" s="78"/>
      <c r="C9" s="78"/>
      <c r="D9" s="92">
        <v>2146.8999999999996</v>
      </c>
      <c r="E9" s="92">
        <v>2300.25</v>
      </c>
      <c r="F9" s="92">
        <v>2300.25</v>
      </c>
      <c r="G9" s="92">
        <v>2530.2749999999996</v>
      </c>
      <c r="H9" s="92">
        <v>2530.2749999999996</v>
      </c>
      <c r="I9" s="92">
        <v>2760.2999999999997</v>
      </c>
    </row>
    <row r="10" spans="1:9" x14ac:dyDescent="0.25">
      <c r="A10" s="74" t="s">
        <v>20</v>
      </c>
      <c r="B10" s="79"/>
      <c r="C10" s="79"/>
      <c r="D10" s="93">
        <v>3698.0664999999999</v>
      </c>
      <c r="E10" s="93">
        <v>4304.6665000000003</v>
      </c>
      <c r="F10" s="93">
        <v>4911.2665000000006</v>
      </c>
      <c r="G10" s="93">
        <v>5517.8665000000001</v>
      </c>
      <c r="H10" s="93">
        <v>6124.4664999999995</v>
      </c>
      <c r="I10" s="93">
        <v>6731.0664999999999</v>
      </c>
    </row>
    <row r="11" spans="1:9" x14ac:dyDescent="0.25">
      <c r="A11" s="74" t="s">
        <v>21</v>
      </c>
      <c r="B11" s="79"/>
      <c r="C11" s="79"/>
      <c r="D11" s="93">
        <v>760</v>
      </c>
      <c r="E11" s="93">
        <v>760</v>
      </c>
      <c r="F11" s="93">
        <v>760</v>
      </c>
      <c r="G11" s="93">
        <v>760</v>
      </c>
      <c r="H11" s="93">
        <v>760</v>
      </c>
      <c r="I11" s="93">
        <v>760</v>
      </c>
    </row>
    <row r="12" spans="1:9" x14ac:dyDescent="0.25">
      <c r="A12" s="74" t="s">
        <v>22</v>
      </c>
      <c r="B12" s="79"/>
      <c r="C12" s="79"/>
      <c r="D12" s="93">
        <v>1237.1690000000001</v>
      </c>
      <c r="E12" s="93">
        <v>1254.799</v>
      </c>
      <c r="F12" s="93">
        <v>1272.4290000000001</v>
      </c>
      <c r="G12" s="93">
        <v>1290.059</v>
      </c>
      <c r="H12" s="93">
        <v>1307.6890000000001</v>
      </c>
      <c r="I12" s="93">
        <v>1325.319</v>
      </c>
    </row>
    <row r="13" spans="1:9" x14ac:dyDescent="0.25">
      <c r="A13" s="74" t="s">
        <v>23</v>
      </c>
      <c r="B13" s="79"/>
      <c r="C13" s="79"/>
      <c r="D13" s="93">
        <v>1330.37</v>
      </c>
      <c r="E13" s="93">
        <v>1335.7649999999999</v>
      </c>
      <c r="F13" s="93">
        <v>1341.1599999999999</v>
      </c>
      <c r="G13" s="93">
        <v>1346.5550000000001</v>
      </c>
      <c r="H13" s="93">
        <v>1351.95</v>
      </c>
      <c r="I13" s="93">
        <v>1357.345</v>
      </c>
    </row>
    <row r="14" spans="1:9" x14ac:dyDescent="0.25">
      <c r="A14" s="74" t="s">
        <v>24</v>
      </c>
      <c r="B14" s="79"/>
      <c r="C14" s="79"/>
      <c r="D14" s="93">
        <v>1236</v>
      </c>
      <c r="E14" s="93">
        <v>1236</v>
      </c>
      <c r="F14" s="93">
        <v>1236</v>
      </c>
      <c r="G14" s="93">
        <v>1236</v>
      </c>
      <c r="H14" s="93">
        <v>1236</v>
      </c>
      <c r="I14" s="93">
        <v>1236</v>
      </c>
    </row>
    <row r="15" spans="1:9" x14ac:dyDescent="0.25">
      <c r="A15" s="74" t="s">
        <v>25</v>
      </c>
      <c r="B15" s="79"/>
      <c r="C15" s="79"/>
      <c r="D15" s="93">
        <v>0</v>
      </c>
      <c r="E15" s="93">
        <v>0</v>
      </c>
      <c r="F15" s="93">
        <v>0</v>
      </c>
      <c r="G15" s="93">
        <v>0</v>
      </c>
      <c r="H15" s="93">
        <v>0</v>
      </c>
      <c r="I15" s="93">
        <v>0</v>
      </c>
    </row>
    <row r="16" spans="1:9" x14ac:dyDescent="0.25">
      <c r="A16" s="74" t="s">
        <v>26</v>
      </c>
      <c r="B16" s="79"/>
      <c r="C16" s="79"/>
      <c r="D16" s="93">
        <v>262.14825000000002</v>
      </c>
      <c r="E16" s="93">
        <v>299.59800000000001</v>
      </c>
      <c r="F16" s="93">
        <v>337.04774999999995</v>
      </c>
      <c r="G16" s="93">
        <v>374.4975</v>
      </c>
      <c r="H16" s="93">
        <v>411.94725</v>
      </c>
      <c r="I16" s="93">
        <v>449.39699999999999</v>
      </c>
    </row>
    <row r="17" spans="1:11" x14ac:dyDescent="0.25">
      <c r="A17" s="74" t="s">
        <v>28</v>
      </c>
      <c r="B17" s="79"/>
      <c r="C17" s="79"/>
      <c r="D17" s="93">
        <v>971.53826640197849</v>
      </c>
      <c r="E17" s="93">
        <v>1048.9327512366569</v>
      </c>
      <c r="F17" s="93">
        <v>1112.9525289638113</v>
      </c>
      <c r="G17" s="93">
        <v>1197.0343673522518</v>
      </c>
      <c r="H17" s="93">
        <v>1261.0541450794062</v>
      </c>
      <c r="I17" s="93">
        <v>1345.1359834678467</v>
      </c>
    </row>
    <row r="18" spans="1:11" x14ac:dyDescent="0.25">
      <c r="A18" s="74" t="s">
        <v>29</v>
      </c>
      <c r="B18" s="79"/>
      <c r="C18" s="79"/>
      <c r="D18" s="93">
        <v>0</v>
      </c>
      <c r="E18" s="93">
        <v>0</v>
      </c>
      <c r="F18" s="93">
        <v>0</v>
      </c>
      <c r="G18" s="93">
        <v>0</v>
      </c>
      <c r="H18" s="93">
        <v>0</v>
      </c>
      <c r="I18" s="93">
        <v>0</v>
      </c>
    </row>
    <row r="19" spans="1:11" x14ac:dyDescent="0.25">
      <c r="A19" s="74" t="s">
        <v>30</v>
      </c>
      <c r="B19" s="79"/>
      <c r="C19" s="79"/>
      <c r="D19" s="93">
        <v>468.68500000000006</v>
      </c>
      <c r="E19" s="93">
        <v>535.6400000000001</v>
      </c>
      <c r="F19" s="93">
        <v>602.59500000000003</v>
      </c>
      <c r="G19" s="93">
        <v>669.55000000000007</v>
      </c>
      <c r="H19" s="93">
        <v>736.50500000000011</v>
      </c>
      <c r="I19" s="93">
        <v>803.46</v>
      </c>
    </row>
    <row r="20" spans="1:11" x14ac:dyDescent="0.25">
      <c r="A20" s="74" t="s">
        <v>31</v>
      </c>
      <c r="B20" s="79"/>
      <c r="C20" s="79"/>
      <c r="D20" s="93">
        <v>0</v>
      </c>
      <c r="E20" s="93">
        <v>0</v>
      </c>
      <c r="F20" s="93">
        <v>0</v>
      </c>
      <c r="G20" s="93">
        <v>0</v>
      </c>
      <c r="H20" s="93">
        <v>0</v>
      </c>
      <c r="I20" s="93">
        <v>0</v>
      </c>
    </row>
    <row r="21" spans="1:11" x14ac:dyDescent="0.25">
      <c r="A21" s="74" t="s">
        <v>32</v>
      </c>
      <c r="B21" s="79"/>
      <c r="C21" s="79"/>
      <c r="D21" s="93">
        <v>0</v>
      </c>
      <c r="E21" s="93">
        <v>0</v>
      </c>
      <c r="F21" s="93">
        <v>0</v>
      </c>
      <c r="G21" s="93">
        <v>0</v>
      </c>
      <c r="H21" s="93">
        <v>0</v>
      </c>
      <c r="I21" s="93">
        <v>0</v>
      </c>
    </row>
    <row r="22" spans="1:11" x14ac:dyDescent="0.25">
      <c r="A22" s="74" t="s">
        <v>33</v>
      </c>
      <c r="B22" s="79"/>
      <c r="C22" s="79"/>
      <c r="D22" s="93">
        <v>0</v>
      </c>
      <c r="E22" s="93">
        <v>0</v>
      </c>
      <c r="F22" s="93">
        <v>0</v>
      </c>
      <c r="G22" s="93">
        <v>0</v>
      </c>
      <c r="H22" s="93">
        <v>0</v>
      </c>
      <c r="I22" s="93">
        <v>0</v>
      </c>
    </row>
    <row r="23" spans="1:11" x14ac:dyDescent="0.25">
      <c r="A23" s="74" t="s">
        <v>34</v>
      </c>
      <c r="B23" s="79"/>
      <c r="C23" s="79"/>
      <c r="D23" s="93">
        <v>0</v>
      </c>
      <c r="E23" s="93">
        <v>0</v>
      </c>
      <c r="F23" s="93">
        <v>0</v>
      </c>
      <c r="G23" s="93">
        <v>0</v>
      </c>
      <c r="H23" s="93">
        <v>0</v>
      </c>
      <c r="I23" s="93">
        <v>0</v>
      </c>
    </row>
    <row r="24" spans="1:11" ht="13.8" thickBot="1" x14ac:dyDescent="0.3">
      <c r="A24" s="74" t="s">
        <v>35</v>
      </c>
      <c r="B24" s="79"/>
      <c r="C24" s="79"/>
      <c r="D24" s="93">
        <v>1158.1026146934391</v>
      </c>
      <c r="E24" s="93">
        <v>1250.3591508995053</v>
      </c>
      <c r="F24" s="93">
        <v>1326.6726369884145</v>
      </c>
      <c r="G24" s="93">
        <v>1426.9006982530589</v>
      </c>
      <c r="H24" s="93">
        <v>1503.2141843419683</v>
      </c>
      <c r="I24" s="93">
        <v>1603.4422456066129</v>
      </c>
    </row>
    <row r="25" spans="1:11" ht="13.8" thickBot="1" x14ac:dyDescent="0.3">
      <c r="A25" s="248" t="s">
        <v>36</v>
      </c>
      <c r="B25" s="254"/>
      <c r="C25" s="255"/>
      <c r="D25" s="185">
        <f>SUM(D8:D24)</f>
        <v>13268.979631095415</v>
      </c>
      <c r="E25" s="185">
        <f t="shared" ref="E25:I25" si="1">SUM(E8:E24)</f>
        <v>14326.01040213616</v>
      </c>
      <c r="F25" s="185">
        <f t="shared" si="1"/>
        <v>15200.373415952226</v>
      </c>
      <c r="G25" s="185">
        <f t="shared" si="1"/>
        <v>16348.738065605308</v>
      </c>
      <c r="H25" s="185">
        <f t="shared" si="1"/>
        <v>17223.101079421373</v>
      </c>
      <c r="I25" s="185">
        <f t="shared" si="1"/>
        <v>18371.465729074458</v>
      </c>
    </row>
    <row r="26" spans="1:11" ht="13.8" thickBot="1" x14ac:dyDescent="0.3">
      <c r="A26" s="80"/>
      <c r="B26" s="81"/>
      <c r="C26" s="81"/>
      <c r="D26" s="17"/>
      <c r="E26" s="17"/>
      <c r="F26" s="17"/>
      <c r="G26" s="17"/>
      <c r="H26" s="17"/>
      <c r="I26" s="17"/>
    </row>
    <row r="27" spans="1:11" ht="13.8" thickBot="1" x14ac:dyDescent="0.3">
      <c r="A27" s="261" t="s">
        <v>37</v>
      </c>
      <c r="B27" s="262"/>
      <c r="C27" s="263"/>
      <c r="D27" s="186">
        <v>2631.17</v>
      </c>
      <c r="E27" s="185">
        <v>2631.17</v>
      </c>
      <c r="F27" s="185">
        <v>2631.17</v>
      </c>
      <c r="G27" s="185">
        <v>2631.17</v>
      </c>
      <c r="H27" s="185">
        <v>2631.17</v>
      </c>
      <c r="I27" s="185">
        <v>2631.17</v>
      </c>
    </row>
    <row r="28" spans="1:11" ht="13.8" thickBot="1" x14ac:dyDescent="0.3">
      <c r="A28" s="80"/>
      <c r="B28" s="81"/>
      <c r="C28" s="81"/>
      <c r="D28" s="17"/>
      <c r="E28" s="17"/>
      <c r="F28" s="17"/>
      <c r="G28" s="17"/>
      <c r="H28" s="17"/>
      <c r="I28" s="17"/>
    </row>
    <row r="29" spans="1:11" ht="28.5" customHeight="1" thickBot="1" x14ac:dyDescent="0.3">
      <c r="A29" s="248" t="s">
        <v>38</v>
      </c>
      <c r="B29" s="254"/>
      <c r="C29" s="255"/>
      <c r="D29" s="185">
        <f>D25+D27</f>
        <v>15900.149631095415</v>
      </c>
      <c r="E29" s="185">
        <f t="shared" ref="E29:I29" si="2">E25+E27</f>
        <v>16957.18040213616</v>
      </c>
      <c r="F29" s="185">
        <f t="shared" si="2"/>
        <v>17831.543415952226</v>
      </c>
      <c r="G29" s="185">
        <f t="shared" si="2"/>
        <v>18979.908065605308</v>
      </c>
      <c r="H29" s="185">
        <f t="shared" si="2"/>
        <v>19854.271079421371</v>
      </c>
      <c r="I29" s="185">
        <f t="shared" si="2"/>
        <v>21002.635729074456</v>
      </c>
    </row>
    <row r="30" spans="1:11" ht="13.8" thickBot="1" x14ac:dyDescent="0.3">
      <c r="A30" s="75"/>
      <c r="B30" s="76"/>
      <c r="C30" s="76"/>
      <c r="D30" s="18"/>
      <c r="E30" s="18"/>
      <c r="F30" s="18"/>
      <c r="G30" s="18"/>
      <c r="H30" s="18"/>
      <c r="I30" s="18"/>
    </row>
    <row r="31" spans="1:11" ht="27.75" customHeight="1" thickBot="1" x14ac:dyDescent="0.3">
      <c r="A31" s="248" t="s">
        <v>39</v>
      </c>
      <c r="B31" s="249"/>
      <c r="C31" s="250"/>
      <c r="D31" s="185">
        <f>D29/D5</f>
        <v>4542.8998945986905</v>
      </c>
      <c r="E31" s="185">
        <f t="shared" ref="E31:I31" si="3">E29/E5</f>
        <v>4239.2951005340401</v>
      </c>
      <c r="F31" s="185">
        <f t="shared" si="3"/>
        <v>3962.5652035449393</v>
      </c>
      <c r="G31" s="185">
        <f t="shared" si="3"/>
        <v>3795.9816131210619</v>
      </c>
      <c r="H31" s="185">
        <f t="shared" si="3"/>
        <v>3609.8674689857039</v>
      </c>
      <c r="I31" s="185">
        <f t="shared" si="3"/>
        <v>3500.4392881790759</v>
      </c>
      <c r="K31"/>
    </row>
    <row r="32" spans="1:11" ht="13.8" thickBot="1" x14ac:dyDescent="0.3">
      <c r="A32" s="84"/>
      <c r="B32" s="85"/>
      <c r="C32" s="85"/>
      <c r="D32" s="18"/>
      <c r="E32" s="18"/>
      <c r="F32" s="18"/>
      <c r="G32" s="18"/>
      <c r="H32" s="18"/>
      <c r="I32" s="18"/>
    </row>
    <row r="33" spans="1:10" ht="13.8" thickBot="1" x14ac:dyDescent="0.3">
      <c r="A33" s="192" t="s">
        <v>40</v>
      </c>
      <c r="B33" s="182"/>
      <c r="C33" s="182"/>
      <c r="D33" s="185">
        <f>'Pryse + Sensatiwiteitsanalise'!D4</f>
        <v>379</v>
      </c>
      <c r="E33" s="185">
        <f>$D$33</f>
        <v>379</v>
      </c>
      <c r="F33" s="185">
        <f>$D$33</f>
        <v>379</v>
      </c>
      <c r="G33" s="185">
        <f>$D$33</f>
        <v>379</v>
      </c>
      <c r="H33" s="185">
        <f>$D$33</f>
        <v>379</v>
      </c>
      <c r="I33" s="185">
        <f>$D$33</f>
        <v>379</v>
      </c>
    </row>
    <row r="34" spans="1:10" ht="13.8" thickBot="1" x14ac:dyDescent="0.3">
      <c r="A34" s="84"/>
      <c r="B34" s="85"/>
      <c r="C34" s="85"/>
      <c r="D34" s="18"/>
      <c r="E34" s="18"/>
      <c r="F34" s="18"/>
      <c r="G34" s="18"/>
      <c r="H34" s="18"/>
      <c r="I34" s="18"/>
    </row>
    <row r="35" spans="1:10" ht="13.8" thickBot="1" x14ac:dyDescent="0.3">
      <c r="A35" s="251" t="s">
        <v>41</v>
      </c>
      <c r="B35" s="252"/>
      <c r="C35" s="253"/>
      <c r="D35" s="187">
        <f t="shared" ref="D35:I35" si="4">D31+D33</f>
        <v>4921.8998945986905</v>
      </c>
      <c r="E35" s="187">
        <f t="shared" si="4"/>
        <v>4618.2951005340401</v>
      </c>
      <c r="F35" s="187">
        <f t="shared" si="4"/>
        <v>4341.5652035449393</v>
      </c>
      <c r="G35" s="187">
        <f t="shared" si="4"/>
        <v>4174.9816131210619</v>
      </c>
      <c r="H35" s="187">
        <f t="shared" si="4"/>
        <v>3988.8674689857039</v>
      </c>
      <c r="I35" s="187">
        <f t="shared" si="4"/>
        <v>3879.4392881790759</v>
      </c>
    </row>
    <row r="36" spans="1:10" ht="13.8" thickBot="1" x14ac:dyDescent="0.3">
      <c r="A36" s="188" t="s">
        <v>42</v>
      </c>
      <c r="B36" s="189"/>
      <c r="C36" s="190"/>
      <c r="D36" s="187">
        <f>'Pryse + Sensatiwiteitsanalise'!B4</f>
        <v>4200</v>
      </c>
      <c r="E36" s="187">
        <f>$D$36</f>
        <v>4200</v>
      </c>
      <c r="F36" s="187">
        <f>$D$36</f>
        <v>4200</v>
      </c>
      <c r="G36" s="187">
        <f>$D$36</f>
        <v>4200</v>
      </c>
      <c r="H36" s="187">
        <f>$D$36</f>
        <v>4200</v>
      </c>
      <c r="I36" s="187">
        <f>$D$36</f>
        <v>4200</v>
      </c>
    </row>
    <row r="37" spans="1:10" ht="13.8" thickBot="1" x14ac:dyDescent="0.3"/>
    <row r="38" spans="1:10" customFormat="1" ht="14.4" x14ac:dyDescent="0.3">
      <c r="A38" s="264" t="s">
        <v>104</v>
      </c>
      <c r="B38" s="265"/>
      <c r="C38" s="265"/>
      <c r="D38" s="169">
        <f t="shared" ref="D38:I38" si="5">D6-D25</f>
        <v>104.52036890458476</v>
      </c>
      <c r="E38" s="170">
        <f t="shared" si="5"/>
        <v>957.98959786383966</v>
      </c>
      <c r="F38" s="169">
        <f t="shared" si="5"/>
        <v>1994.1265840477736</v>
      </c>
      <c r="G38" s="170">
        <f t="shared" si="5"/>
        <v>2756.2619343946917</v>
      </c>
      <c r="H38" s="169">
        <f t="shared" si="5"/>
        <v>3792.3989205786274</v>
      </c>
      <c r="I38" s="171">
        <f t="shared" si="5"/>
        <v>4554.5342709255419</v>
      </c>
    </row>
    <row r="39" spans="1:10" customFormat="1" ht="15" thickBot="1" x14ac:dyDescent="0.35">
      <c r="A39" s="266" t="s">
        <v>105</v>
      </c>
      <c r="B39" s="267"/>
      <c r="C39" s="267"/>
      <c r="D39" s="172">
        <f t="shared" ref="D39:I39" si="6">D6-D29</f>
        <v>-2526.6496310954153</v>
      </c>
      <c r="E39" s="173">
        <f t="shared" si="6"/>
        <v>-1673.1804021361604</v>
      </c>
      <c r="F39" s="172">
        <f t="shared" si="6"/>
        <v>-637.0434159522265</v>
      </c>
      <c r="G39" s="173">
        <f t="shared" si="6"/>
        <v>125.09193439469163</v>
      </c>
      <c r="H39" s="172">
        <f t="shared" si="6"/>
        <v>1161.2289205786292</v>
      </c>
      <c r="I39" s="174">
        <f t="shared" si="6"/>
        <v>1923.3642709255437</v>
      </c>
    </row>
    <row r="40" spans="1:10" ht="14.4" x14ac:dyDescent="0.25">
      <c r="A40" s="86" t="s">
        <v>43</v>
      </c>
      <c r="B40" s="72"/>
      <c r="C40" s="72"/>
      <c r="D40" s="72"/>
      <c r="E40" s="72"/>
      <c r="F40" s="72"/>
      <c r="G40" s="72"/>
      <c r="H40" s="71"/>
      <c r="I40" s="31"/>
      <c r="J40" s="31"/>
    </row>
    <row r="41" spans="1:10" ht="14.4" x14ac:dyDescent="0.25">
      <c r="A41" s="70" t="s">
        <v>44</v>
      </c>
      <c r="B41" s="69"/>
      <c r="C41" s="69"/>
      <c r="D41" s="69"/>
      <c r="E41" s="69"/>
      <c r="F41" s="69"/>
      <c r="G41" s="69"/>
      <c r="H41" s="68"/>
      <c r="I41" s="31"/>
      <c r="J41" s="31"/>
    </row>
    <row r="42" spans="1:10" ht="15" thickBot="1" x14ac:dyDescent="0.3">
      <c r="A42" s="67" t="s">
        <v>45</v>
      </c>
      <c r="B42" s="88"/>
      <c r="C42" s="88"/>
      <c r="D42" s="88"/>
      <c r="E42" s="88"/>
      <c r="F42" s="88"/>
      <c r="G42" s="88"/>
      <c r="H42" s="87"/>
      <c r="I42" s="31"/>
      <c r="J42" s="31"/>
    </row>
    <row r="43" spans="1:10" x14ac:dyDescent="0.25">
      <c r="A43" s="236" t="s">
        <v>46</v>
      </c>
      <c r="B43" s="237"/>
      <c r="C43" s="237"/>
      <c r="D43" s="237"/>
      <c r="E43" s="237"/>
      <c r="F43" s="237"/>
      <c r="G43" s="237"/>
      <c r="H43" s="238"/>
    </row>
    <row r="44" spans="1:10" x14ac:dyDescent="0.25">
      <c r="A44" s="239"/>
      <c r="B44" s="240"/>
      <c r="C44" s="240"/>
      <c r="D44" s="240"/>
      <c r="E44" s="240"/>
      <c r="F44" s="240"/>
      <c r="G44" s="240"/>
      <c r="H44" s="241"/>
    </row>
    <row r="45" spans="1:10" x14ac:dyDescent="0.25">
      <c r="A45" s="239"/>
      <c r="B45" s="240"/>
      <c r="C45" s="240"/>
      <c r="D45" s="240"/>
      <c r="E45" s="240"/>
      <c r="F45" s="240"/>
      <c r="G45" s="240"/>
      <c r="H45" s="241"/>
    </row>
    <row r="46" spans="1:10" ht="13.8" thickBot="1" x14ac:dyDescent="0.3">
      <c r="A46" s="242"/>
      <c r="B46" s="243"/>
      <c r="C46" s="243"/>
      <c r="D46" s="243"/>
      <c r="E46" s="243"/>
      <c r="F46" s="243"/>
      <c r="G46" s="243"/>
      <c r="H46" s="244"/>
    </row>
  </sheetData>
  <mergeCells count="12">
    <mergeCell ref="A43:H46"/>
    <mergeCell ref="A1:D1"/>
    <mergeCell ref="E1:G1"/>
    <mergeCell ref="A31:C31"/>
    <mergeCell ref="A35:C35"/>
    <mergeCell ref="A29:C29"/>
    <mergeCell ref="A3:C3"/>
    <mergeCell ref="A8:C8"/>
    <mergeCell ref="A25:C25"/>
    <mergeCell ref="A27:C27"/>
    <mergeCell ref="A38:C38"/>
    <mergeCell ref="A39:C3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horizontalDpi="300" verticalDpi="300" r:id="rId1"/>
  <headerFooter alignWithMargins="0">
    <oddHeader>&amp;F</oddHead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6"/>
  <sheetViews>
    <sheetView zoomScale="80" zoomScaleNormal="80" workbookViewId="0">
      <selection activeCell="O10" sqref="O10"/>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4.44140625" style="1" customWidth="1"/>
    <col min="11" max="13" width="12.6640625" style="1" hidden="1" customWidth="1"/>
    <col min="14" max="26" width="12.6640625" style="1" customWidth="1"/>
    <col min="27" max="16384" width="9.109375" style="1"/>
  </cols>
  <sheetData>
    <row r="1" spans="1:13" ht="30.75" customHeight="1" thickBot="1" x14ac:dyDescent="0.3">
      <c r="A1" s="245" t="s">
        <v>47</v>
      </c>
      <c r="B1" s="246"/>
      <c r="C1" s="246"/>
      <c r="D1" s="246"/>
      <c r="E1" s="247" t="s">
        <v>125</v>
      </c>
      <c r="F1" s="247"/>
      <c r="G1" s="247"/>
      <c r="H1" s="175"/>
      <c r="I1" s="176"/>
    </row>
    <row r="2" spans="1:13" ht="16.2" thickBot="1" x14ac:dyDescent="0.35">
      <c r="A2" s="8"/>
      <c r="B2" s="9"/>
      <c r="C2" s="10"/>
      <c r="D2" s="10"/>
      <c r="E2" s="6"/>
      <c r="F2" s="6"/>
      <c r="G2" s="6"/>
      <c r="H2" s="6"/>
      <c r="I2" s="2"/>
    </row>
    <row r="3" spans="1:13" ht="24.75" customHeight="1" thickBot="1" x14ac:dyDescent="0.3">
      <c r="A3" s="256" t="s">
        <v>15</v>
      </c>
      <c r="B3" s="257"/>
      <c r="C3" s="257"/>
      <c r="D3" s="177"/>
      <c r="E3" s="178">
        <f>'Pryse + Sensatiwiteitsanalise'!B19</f>
        <v>3821</v>
      </c>
      <c r="F3" s="177" t="s">
        <v>0</v>
      </c>
      <c r="G3" s="179"/>
      <c r="H3" s="179"/>
      <c r="I3" s="180"/>
    </row>
    <row r="4" spans="1:13" ht="13.8" thickBot="1" x14ac:dyDescent="0.3">
      <c r="A4" s="83"/>
      <c r="B4" s="4"/>
      <c r="C4" s="4"/>
      <c r="D4" s="3"/>
      <c r="E4" s="5"/>
      <c r="F4" s="11"/>
      <c r="G4" s="4"/>
      <c r="H4" s="12"/>
      <c r="I4" s="12"/>
    </row>
    <row r="5" spans="1:13" ht="13.8" thickBot="1" x14ac:dyDescent="0.3">
      <c r="A5" s="73" t="s">
        <v>16</v>
      </c>
      <c r="B5" s="4"/>
      <c r="C5" s="4"/>
      <c r="D5" s="91">
        <v>3.5</v>
      </c>
      <c r="E5" s="91">
        <v>4</v>
      </c>
      <c r="F5" s="91">
        <v>4.5</v>
      </c>
      <c r="G5" s="91">
        <v>5</v>
      </c>
      <c r="H5" s="91">
        <v>5.5</v>
      </c>
      <c r="I5" s="91">
        <v>6</v>
      </c>
      <c r="K5" s="65"/>
    </row>
    <row r="6" spans="1:13" ht="13.8" thickBot="1" x14ac:dyDescent="0.3">
      <c r="A6" s="181" t="s">
        <v>17</v>
      </c>
      <c r="B6" s="182"/>
      <c r="C6" s="183"/>
      <c r="D6" s="184">
        <f t="shared" ref="D6:I6" si="0">$E$3*D5</f>
        <v>13373.5</v>
      </c>
      <c r="E6" s="184">
        <f t="shared" si="0"/>
        <v>15284</v>
      </c>
      <c r="F6" s="184">
        <f t="shared" si="0"/>
        <v>17194.5</v>
      </c>
      <c r="G6" s="184">
        <f t="shared" si="0"/>
        <v>19105</v>
      </c>
      <c r="H6" s="184">
        <f t="shared" si="0"/>
        <v>21015.5</v>
      </c>
      <c r="I6" s="184">
        <f t="shared" si="0"/>
        <v>22926</v>
      </c>
      <c r="K6" s="66"/>
    </row>
    <row r="7" spans="1:13" ht="15" thickBot="1" x14ac:dyDescent="0.35">
      <c r="A7" s="84"/>
      <c r="B7" s="85"/>
      <c r="C7" s="85"/>
      <c r="D7" s="13"/>
      <c r="E7" s="13"/>
      <c r="F7" s="13"/>
      <c r="G7" s="13"/>
      <c r="H7" s="13"/>
      <c r="I7" s="13"/>
      <c r="K7" s="268" t="s">
        <v>57</v>
      </c>
      <c r="L7" s="268"/>
      <c r="M7" s="268"/>
    </row>
    <row r="8" spans="1:13" ht="15" thickBot="1" x14ac:dyDescent="0.35">
      <c r="A8" s="258" t="s">
        <v>18</v>
      </c>
      <c r="B8" s="259"/>
      <c r="C8" s="260"/>
      <c r="D8" s="206"/>
      <c r="E8" s="206"/>
      <c r="F8" s="206"/>
      <c r="G8" s="206"/>
      <c r="H8" s="206"/>
      <c r="I8" s="206"/>
      <c r="K8" s="89" t="s">
        <v>54</v>
      </c>
      <c r="L8" s="89" t="s">
        <v>55</v>
      </c>
      <c r="M8" s="89" t="s">
        <v>56</v>
      </c>
    </row>
    <row r="9" spans="1:13" ht="14.4" x14ac:dyDescent="0.3">
      <c r="A9" s="77" t="s">
        <v>19</v>
      </c>
      <c r="B9" s="78"/>
      <c r="C9" s="78"/>
      <c r="D9" s="92">
        <v>2604.7524999999996</v>
      </c>
      <c r="E9" s="92">
        <v>2790.8062499999996</v>
      </c>
      <c r="F9" s="92">
        <v>2790.8062499999996</v>
      </c>
      <c r="G9" s="92">
        <v>3069.8868750000001</v>
      </c>
      <c r="H9" s="92">
        <v>3069.8868750000001</v>
      </c>
      <c r="I9" s="92">
        <v>3348.9674999999997</v>
      </c>
      <c r="K9" s="90">
        <f>D5</f>
        <v>3.5</v>
      </c>
      <c r="L9" s="90">
        <f>D25</f>
        <v>12358.692519206683</v>
      </c>
      <c r="M9" s="90">
        <f>D27</f>
        <v>1839.63</v>
      </c>
    </row>
    <row r="10" spans="1:13" ht="14.4" x14ac:dyDescent="0.3">
      <c r="A10" s="74" t="s">
        <v>20</v>
      </c>
      <c r="B10" s="79"/>
      <c r="C10" s="79"/>
      <c r="D10" s="93">
        <v>3403.5074999999997</v>
      </c>
      <c r="E10" s="93">
        <v>4010.1075000000001</v>
      </c>
      <c r="F10" s="93">
        <v>4616.7075000000004</v>
      </c>
      <c r="G10" s="93">
        <v>5223.3074999999999</v>
      </c>
      <c r="H10" s="93">
        <v>5829.9074999999993</v>
      </c>
      <c r="I10" s="93">
        <v>6436.5074999999997</v>
      </c>
      <c r="K10" s="90">
        <f>E5</f>
        <v>4</v>
      </c>
      <c r="L10" s="90">
        <f>E25</f>
        <v>13431.477937614813</v>
      </c>
      <c r="M10" s="90">
        <f>E27</f>
        <v>1839.63</v>
      </c>
    </row>
    <row r="11" spans="1:13" ht="14.4" x14ac:dyDescent="0.3">
      <c r="A11" s="74" t="s">
        <v>21</v>
      </c>
      <c r="B11" s="79"/>
      <c r="C11" s="79"/>
      <c r="D11" s="93">
        <v>760</v>
      </c>
      <c r="E11" s="93">
        <v>760</v>
      </c>
      <c r="F11" s="93">
        <v>760</v>
      </c>
      <c r="G11" s="93">
        <v>760</v>
      </c>
      <c r="H11" s="93">
        <v>760</v>
      </c>
      <c r="I11" s="93">
        <v>760</v>
      </c>
      <c r="K11" s="90">
        <f>F5</f>
        <v>4.5</v>
      </c>
      <c r="L11" s="90">
        <f>F25</f>
        <v>14310.036666622394</v>
      </c>
      <c r="M11" s="90">
        <f>F27</f>
        <v>1839.63</v>
      </c>
    </row>
    <row r="12" spans="1:13" ht="14.4" x14ac:dyDescent="0.3">
      <c r="A12" s="74" t="s">
        <v>22</v>
      </c>
      <c r="B12" s="79"/>
      <c r="C12" s="79"/>
      <c r="D12" s="93">
        <v>846.01919999999996</v>
      </c>
      <c r="E12" s="93">
        <v>863.64920000000006</v>
      </c>
      <c r="F12" s="93">
        <v>881.27919999999995</v>
      </c>
      <c r="G12" s="93">
        <v>898.90920000000006</v>
      </c>
      <c r="H12" s="93">
        <v>916.53919999999994</v>
      </c>
      <c r="I12" s="93">
        <v>934.16920000000005</v>
      </c>
      <c r="K12" s="90">
        <f>G5</f>
        <v>5</v>
      </c>
      <c r="L12" s="90">
        <f>G25</f>
        <v>15521.03120817391</v>
      </c>
      <c r="M12" s="90">
        <f>G27</f>
        <v>1839.63</v>
      </c>
    </row>
    <row r="13" spans="1:13" ht="14.4" x14ac:dyDescent="0.3">
      <c r="A13" s="74" t="s">
        <v>23</v>
      </c>
      <c r="B13" s="79"/>
      <c r="C13" s="79"/>
      <c r="D13" s="93">
        <v>1015.912</v>
      </c>
      <c r="E13" s="93">
        <v>1021.307</v>
      </c>
      <c r="F13" s="93">
        <v>1026.702</v>
      </c>
      <c r="G13" s="93">
        <v>1032.097</v>
      </c>
      <c r="H13" s="93">
        <v>1037.492</v>
      </c>
      <c r="I13" s="93">
        <v>1042.8869999999999</v>
      </c>
      <c r="K13" s="90">
        <f>H5</f>
        <v>5.5</v>
      </c>
      <c r="L13" s="90">
        <f>H25</f>
        <v>16399.589937181496</v>
      </c>
      <c r="M13" s="90">
        <f>H27</f>
        <v>1839.63</v>
      </c>
    </row>
    <row r="14" spans="1:13" ht="14.4" x14ac:dyDescent="0.3">
      <c r="A14" s="74" t="s">
        <v>24</v>
      </c>
      <c r="B14" s="79"/>
      <c r="C14" s="79"/>
      <c r="D14" s="93">
        <v>989.47</v>
      </c>
      <c r="E14" s="93">
        <v>966.47</v>
      </c>
      <c r="F14" s="93">
        <v>966.47</v>
      </c>
      <c r="G14" s="93">
        <v>966.47</v>
      </c>
      <c r="H14" s="93">
        <v>966.47</v>
      </c>
      <c r="I14" s="93">
        <v>966.47</v>
      </c>
      <c r="K14" s="90">
        <f>I5</f>
        <v>6</v>
      </c>
      <c r="L14" s="90">
        <f>I25</f>
        <v>17610.584478733013</v>
      </c>
      <c r="M14" s="90">
        <f>I27</f>
        <v>1839.63</v>
      </c>
    </row>
    <row r="15" spans="1:13" x14ac:dyDescent="0.25">
      <c r="A15" s="74" t="s">
        <v>25</v>
      </c>
      <c r="B15" s="79"/>
      <c r="C15" s="79"/>
      <c r="D15" s="93">
        <v>0</v>
      </c>
      <c r="E15" s="93">
        <v>0</v>
      </c>
      <c r="F15" s="93">
        <v>0</v>
      </c>
      <c r="G15" s="93">
        <v>0</v>
      </c>
      <c r="H15" s="93">
        <v>0</v>
      </c>
      <c r="I15" s="93">
        <v>0</v>
      </c>
      <c r="K15" s="20"/>
      <c r="L15" s="19"/>
    </row>
    <row r="16" spans="1:13" x14ac:dyDescent="0.25">
      <c r="A16" s="74" t="s">
        <v>26</v>
      </c>
      <c r="B16" s="79"/>
      <c r="C16" s="79"/>
      <c r="D16" s="93">
        <v>262.14825000000002</v>
      </c>
      <c r="E16" s="93">
        <v>299.59800000000001</v>
      </c>
      <c r="F16" s="93">
        <v>337.04774999999995</v>
      </c>
      <c r="G16" s="93">
        <v>374.4975</v>
      </c>
      <c r="H16" s="93">
        <v>411.94725</v>
      </c>
      <c r="I16" s="93">
        <v>449.39699999999999</v>
      </c>
      <c r="K16" s="20"/>
      <c r="L16" s="19"/>
    </row>
    <row r="17" spans="1:12" x14ac:dyDescent="0.25">
      <c r="A17" s="74" t="s">
        <v>28</v>
      </c>
      <c r="B17" s="79"/>
      <c r="C17" s="79"/>
      <c r="D17" s="93">
        <v>904.88817067495438</v>
      </c>
      <c r="E17" s="93">
        <v>983.43619129133037</v>
      </c>
      <c r="F17" s="93">
        <v>1047.7631740920335</v>
      </c>
      <c r="G17" s="93">
        <v>1136.4306956521739</v>
      </c>
      <c r="H17" s="93">
        <v>1200.7576784528769</v>
      </c>
      <c r="I17" s="93">
        <v>1289.4252000130175</v>
      </c>
      <c r="K17" s="20"/>
      <c r="L17" s="19"/>
    </row>
    <row r="18" spans="1:12" x14ac:dyDescent="0.25">
      <c r="A18" s="74" t="s">
        <v>29</v>
      </c>
      <c r="B18" s="79"/>
      <c r="C18" s="79"/>
      <c r="D18" s="93">
        <v>0</v>
      </c>
      <c r="E18" s="93">
        <v>0</v>
      </c>
      <c r="F18" s="93">
        <v>0</v>
      </c>
      <c r="G18" s="93">
        <v>0</v>
      </c>
      <c r="H18" s="93">
        <v>0</v>
      </c>
      <c r="I18" s="93">
        <v>0</v>
      </c>
      <c r="K18" s="20"/>
      <c r="L18" s="19"/>
    </row>
    <row r="19" spans="1:12" x14ac:dyDescent="0.25">
      <c r="A19" s="74" t="s">
        <v>30</v>
      </c>
      <c r="B19" s="79"/>
      <c r="C19" s="79"/>
      <c r="D19" s="93">
        <v>493.3411875000001</v>
      </c>
      <c r="E19" s="93">
        <v>563.81850000000009</v>
      </c>
      <c r="F19" s="93">
        <v>634.29581250000001</v>
      </c>
      <c r="G19" s="93">
        <v>704.77312500000005</v>
      </c>
      <c r="H19" s="93">
        <v>775.25043750000009</v>
      </c>
      <c r="I19" s="93">
        <v>845.72775000000013</v>
      </c>
      <c r="K19" s="20"/>
      <c r="L19" s="19"/>
    </row>
    <row r="20" spans="1:12" x14ac:dyDescent="0.25">
      <c r="A20" s="74" t="s">
        <v>31</v>
      </c>
      <c r="B20" s="79"/>
      <c r="C20" s="79"/>
      <c r="D20" s="93">
        <v>0</v>
      </c>
      <c r="E20" s="93">
        <v>0</v>
      </c>
      <c r="F20" s="93">
        <v>0</v>
      </c>
      <c r="G20" s="93">
        <v>0</v>
      </c>
      <c r="H20" s="93">
        <v>0</v>
      </c>
      <c r="I20" s="93">
        <v>0</v>
      </c>
      <c r="K20" s="20"/>
      <c r="L20" s="19"/>
    </row>
    <row r="21" spans="1:12" x14ac:dyDescent="0.25">
      <c r="A21" s="74" t="s">
        <v>32</v>
      </c>
      <c r="B21" s="79"/>
      <c r="C21" s="79"/>
      <c r="D21" s="93">
        <v>0</v>
      </c>
      <c r="E21" s="93">
        <v>0</v>
      </c>
      <c r="F21" s="93">
        <v>0</v>
      </c>
      <c r="G21" s="93">
        <v>0</v>
      </c>
      <c r="H21" s="93">
        <v>0</v>
      </c>
      <c r="I21" s="93">
        <v>0</v>
      </c>
      <c r="K21" s="20"/>
      <c r="L21" s="19"/>
    </row>
    <row r="22" spans="1:12" x14ac:dyDescent="0.25">
      <c r="A22" s="74" t="s">
        <v>33</v>
      </c>
      <c r="B22" s="79"/>
      <c r="C22" s="79"/>
      <c r="D22" s="93">
        <v>0</v>
      </c>
      <c r="E22" s="93">
        <v>0</v>
      </c>
      <c r="F22" s="93">
        <v>0</v>
      </c>
      <c r="G22" s="93">
        <v>0</v>
      </c>
      <c r="H22" s="93">
        <v>0</v>
      </c>
      <c r="I22" s="93">
        <v>0</v>
      </c>
      <c r="K22" s="20"/>
      <c r="L22" s="19"/>
    </row>
    <row r="23" spans="1:12" x14ac:dyDescent="0.25">
      <c r="A23" s="74" t="s">
        <v>34</v>
      </c>
      <c r="B23" s="79"/>
      <c r="C23" s="79"/>
      <c r="D23" s="93">
        <v>0</v>
      </c>
      <c r="E23" s="93">
        <v>0</v>
      </c>
      <c r="F23" s="93">
        <v>0</v>
      </c>
      <c r="G23" s="93">
        <v>0</v>
      </c>
      <c r="H23" s="93">
        <v>0</v>
      </c>
      <c r="I23" s="93">
        <v>0</v>
      </c>
      <c r="K23" s="20"/>
      <c r="L23" s="19"/>
    </row>
    <row r="24" spans="1:12" ht="13.8" thickBot="1" x14ac:dyDescent="0.3">
      <c r="A24" s="74" t="s">
        <v>35</v>
      </c>
      <c r="B24" s="79"/>
      <c r="C24" s="79"/>
      <c r="D24" s="93">
        <v>1078.6537110317299</v>
      </c>
      <c r="E24" s="93">
        <v>1172.2852963234834</v>
      </c>
      <c r="F24" s="93">
        <v>1248.964980030363</v>
      </c>
      <c r="G24" s="93">
        <v>1354.6593125217389</v>
      </c>
      <c r="H24" s="93">
        <v>1431.338996228619</v>
      </c>
      <c r="I24" s="93">
        <v>1537.0333287199949</v>
      </c>
      <c r="K24" s="20"/>
      <c r="L24" s="19"/>
    </row>
    <row r="25" spans="1:12" ht="13.8" thickBot="1" x14ac:dyDescent="0.3">
      <c r="A25" s="248" t="s">
        <v>36</v>
      </c>
      <c r="B25" s="254"/>
      <c r="C25" s="255"/>
      <c r="D25" s="185">
        <f t="shared" ref="D25:I25" si="1">SUM(D8:D24)</f>
        <v>12358.692519206683</v>
      </c>
      <c r="E25" s="185">
        <f t="shared" si="1"/>
        <v>13431.477937614813</v>
      </c>
      <c r="F25" s="185">
        <f t="shared" si="1"/>
        <v>14310.036666622394</v>
      </c>
      <c r="G25" s="185">
        <f t="shared" si="1"/>
        <v>15521.03120817391</v>
      </c>
      <c r="H25" s="185">
        <f t="shared" si="1"/>
        <v>16399.589937181496</v>
      </c>
      <c r="I25" s="185">
        <f t="shared" si="1"/>
        <v>17610.584478733013</v>
      </c>
      <c r="K25" s="20"/>
      <c r="L25" s="19"/>
    </row>
    <row r="26" spans="1:12" ht="13.8" thickBot="1" x14ac:dyDescent="0.3">
      <c r="A26" s="80"/>
      <c r="B26" s="81"/>
      <c r="C26" s="81"/>
      <c r="D26" s="17"/>
      <c r="E26" s="17"/>
      <c r="F26" s="17"/>
      <c r="G26" s="17"/>
      <c r="H26" s="17"/>
      <c r="I26" s="17"/>
    </row>
    <row r="27" spans="1:12" ht="13.8" thickBot="1" x14ac:dyDescent="0.3">
      <c r="A27" s="261" t="s">
        <v>37</v>
      </c>
      <c r="B27" s="262"/>
      <c r="C27" s="263"/>
      <c r="D27" s="186">
        <v>1839.63</v>
      </c>
      <c r="E27" s="185">
        <v>1839.63</v>
      </c>
      <c r="F27" s="185">
        <v>1839.63</v>
      </c>
      <c r="G27" s="185">
        <v>1839.63</v>
      </c>
      <c r="H27" s="185">
        <v>1839.63</v>
      </c>
      <c r="I27" s="185">
        <v>1839.63</v>
      </c>
    </row>
    <row r="28" spans="1:12" ht="13.8" thickBot="1" x14ac:dyDescent="0.3">
      <c r="A28" s="80"/>
      <c r="B28" s="81"/>
      <c r="C28" s="81"/>
      <c r="D28" s="17"/>
      <c r="E28" s="17"/>
      <c r="F28" s="17"/>
      <c r="G28" s="17"/>
      <c r="H28" s="17"/>
      <c r="I28" s="17"/>
    </row>
    <row r="29" spans="1:12" ht="28.5" customHeight="1" thickBot="1" x14ac:dyDescent="0.3">
      <c r="A29" s="248" t="s">
        <v>38</v>
      </c>
      <c r="B29" s="254"/>
      <c r="C29" s="255"/>
      <c r="D29" s="185">
        <f t="shared" ref="D29:I29" si="2">D25+D27</f>
        <v>14198.322519206682</v>
      </c>
      <c r="E29" s="185">
        <f t="shared" si="2"/>
        <v>15271.107937614812</v>
      </c>
      <c r="F29" s="185">
        <f t="shared" si="2"/>
        <v>16149.666666622394</v>
      </c>
      <c r="G29" s="185">
        <f t="shared" si="2"/>
        <v>17360.661208173911</v>
      </c>
      <c r="H29" s="185">
        <f t="shared" si="2"/>
        <v>18239.219937181497</v>
      </c>
      <c r="I29" s="185">
        <f t="shared" si="2"/>
        <v>19450.214478733014</v>
      </c>
    </row>
    <row r="30" spans="1:12" ht="13.8" thickBot="1" x14ac:dyDescent="0.3">
      <c r="A30" s="75"/>
      <c r="B30" s="76"/>
      <c r="C30" s="76"/>
      <c r="D30" s="18"/>
      <c r="E30" s="18"/>
      <c r="F30" s="18"/>
      <c r="G30" s="18"/>
      <c r="H30" s="18"/>
      <c r="I30" s="18"/>
    </row>
    <row r="31" spans="1:12" ht="27.75" customHeight="1" thickBot="1" x14ac:dyDescent="0.3">
      <c r="A31" s="248" t="s">
        <v>39</v>
      </c>
      <c r="B31" s="249"/>
      <c r="C31" s="250"/>
      <c r="D31" s="185">
        <f t="shared" ref="D31:I31" si="3">D29/D5</f>
        <v>4056.6635769161949</v>
      </c>
      <c r="E31" s="185">
        <f t="shared" si="3"/>
        <v>3817.776984403703</v>
      </c>
      <c r="F31" s="185">
        <f t="shared" si="3"/>
        <v>3588.8148148049763</v>
      </c>
      <c r="G31" s="185">
        <f t="shared" si="3"/>
        <v>3472.1322416347821</v>
      </c>
      <c r="H31" s="185">
        <f t="shared" si="3"/>
        <v>3316.2218067602721</v>
      </c>
      <c r="I31" s="185">
        <f t="shared" si="3"/>
        <v>3241.7024131221692</v>
      </c>
    </row>
    <row r="32" spans="1:12" ht="13.8" thickBot="1" x14ac:dyDescent="0.3">
      <c r="A32" s="84"/>
      <c r="B32" s="85"/>
      <c r="C32" s="85"/>
      <c r="D32" s="18"/>
      <c r="E32" s="18"/>
      <c r="F32" s="18"/>
      <c r="G32" s="18"/>
      <c r="H32" s="18"/>
      <c r="I32" s="18"/>
    </row>
    <row r="33" spans="1:10" ht="13.8" thickBot="1" x14ac:dyDescent="0.3">
      <c r="A33" s="192" t="s">
        <v>40</v>
      </c>
      <c r="B33" s="182"/>
      <c r="C33" s="182"/>
      <c r="D33" s="185">
        <f>'Pryse + Sensatiwiteitsanalise'!D4</f>
        <v>379</v>
      </c>
      <c r="E33" s="185">
        <f>$D$33</f>
        <v>379</v>
      </c>
      <c r="F33" s="185">
        <f>$D$33</f>
        <v>379</v>
      </c>
      <c r="G33" s="185">
        <f>$D$33</f>
        <v>379</v>
      </c>
      <c r="H33" s="185">
        <f>$D$33</f>
        <v>379</v>
      </c>
      <c r="I33" s="185">
        <f>$D$33</f>
        <v>379</v>
      </c>
    </row>
    <row r="34" spans="1:10" ht="13.8" thickBot="1" x14ac:dyDescent="0.3">
      <c r="A34" s="84"/>
      <c r="B34" s="85"/>
      <c r="C34" s="85"/>
      <c r="D34" s="18"/>
      <c r="E34" s="18"/>
      <c r="F34" s="18"/>
      <c r="G34" s="18"/>
      <c r="H34" s="18"/>
      <c r="I34" s="18"/>
    </row>
    <row r="35" spans="1:10" ht="13.8" thickBot="1" x14ac:dyDescent="0.3">
      <c r="A35" s="251" t="s">
        <v>41</v>
      </c>
      <c r="B35" s="252"/>
      <c r="C35" s="253"/>
      <c r="D35" s="187">
        <f t="shared" ref="D35:I35" si="4">D31+D33</f>
        <v>4435.6635769161949</v>
      </c>
      <c r="E35" s="187">
        <f t="shared" si="4"/>
        <v>4196.776984403703</v>
      </c>
      <c r="F35" s="187">
        <f t="shared" si="4"/>
        <v>3967.8148148049763</v>
      </c>
      <c r="G35" s="187">
        <f t="shared" si="4"/>
        <v>3851.1322416347821</v>
      </c>
      <c r="H35" s="187">
        <f t="shared" si="4"/>
        <v>3695.2218067602721</v>
      </c>
      <c r="I35" s="187">
        <f t="shared" si="4"/>
        <v>3620.7024131221692</v>
      </c>
    </row>
    <row r="36" spans="1:10" ht="13.8" thickBot="1" x14ac:dyDescent="0.3">
      <c r="A36" s="188" t="s">
        <v>42</v>
      </c>
      <c r="B36" s="189"/>
      <c r="C36" s="190"/>
      <c r="D36" s="187">
        <f>'Pryse + Sensatiwiteitsanalise'!B4</f>
        <v>4200</v>
      </c>
      <c r="E36" s="187">
        <f>$D$36</f>
        <v>4200</v>
      </c>
      <c r="F36" s="187">
        <f>$D$36</f>
        <v>4200</v>
      </c>
      <c r="G36" s="187">
        <f>$D$36</f>
        <v>4200</v>
      </c>
      <c r="H36" s="187">
        <f>$D$36</f>
        <v>4200</v>
      </c>
      <c r="I36" s="187">
        <f>$D$36</f>
        <v>4200</v>
      </c>
    </row>
    <row r="37" spans="1:10" ht="13.8" thickBot="1" x14ac:dyDescent="0.3"/>
    <row r="38" spans="1:10" customFormat="1" ht="14.4" x14ac:dyDescent="0.3">
      <c r="A38" s="264" t="s">
        <v>104</v>
      </c>
      <c r="B38" s="265"/>
      <c r="C38" s="265"/>
      <c r="D38" s="169">
        <f t="shared" ref="D38:I38" si="5">D6-D25</f>
        <v>1014.8074807933172</v>
      </c>
      <c r="E38" s="170">
        <f t="shared" si="5"/>
        <v>1852.5220623851874</v>
      </c>
      <c r="F38" s="169">
        <f t="shared" si="5"/>
        <v>2884.4633333776055</v>
      </c>
      <c r="G38" s="170">
        <f t="shared" si="5"/>
        <v>3583.9687918260897</v>
      </c>
      <c r="H38" s="169">
        <f t="shared" si="5"/>
        <v>4615.9100628185042</v>
      </c>
      <c r="I38" s="171">
        <f t="shared" si="5"/>
        <v>5315.4155212669866</v>
      </c>
    </row>
    <row r="39" spans="1:10" customFormat="1" ht="15" thickBot="1" x14ac:dyDescent="0.35">
      <c r="A39" s="266" t="s">
        <v>105</v>
      </c>
      <c r="B39" s="267"/>
      <c r="C39" s="267"/>
      <c r="D39" s="172">
        <f t="shared" ref="D39:I39" si="6">D6-D29</f>
        <v>-824.82251920668205</v>
      </c>
      <c r="E39" s="173">
        <f t="shared" si="6"/>
        <v>12.892062385188183</v>
      </c>
      <c r="F39" s="172">
        <f t="shared" si="6"/>
        <v>1044.8333333776063</v>
      </c>
      <c r="G39" s="173">
        <f t="shared" si="6"/>
        <v>1744.3387918260887</v>
      </c>
      <c r="H39" s="172">
        <f t="shared" si="6"/>
        <v>2776.2800628185032</v>
      </c>
      <c r="I39" s="174">
        <f t="shared" si="6"/>
        <v>3475.7855212669856</v>
      </c>
    </row>
    <row r="40" spans="1:10" ht="14.4" x14ac:dyDescent="0.25">
      <c r="A40" s="86" t="s">
        <v>43</v>
      </c>
      <c r="B40" s="72"/>
      <c r="C40" s="72"/>
      <c r="D40" s="72"/>
      <c r="E40" s="72"/>
      <c r="F40" s="72"/>
      <c r="G40" s="72"/>
      <c r="H40" s="71"/>
      <c r="I40" s="31"/>
      <c r="J40" s="31"/>
    </row>
    <row r="41" spans="1:10" ht="14.4" x14ac:dyDescent="0.25">
      <c r="A41" s="70" t="s">
        <v>44</v>
      </c>
      <c r="B41" s="69"/>
      <c r="C41" s="69"/>
      <c r="D41" s="69"/>
      <c r="E41" s="69"/>
      <c r="F41" s="69"/>
      <c r="G41" s="69"/>
      <c r="H41" s="68"/>
      <c r="I41" s="31"/>
      <c r="J41" s="31"/>
    </row>
    <row r="42" spans="1:10" ht="15" thickBot="1" x14ac:dyDescent="0.3">
      <c r="A42" s="67" t="s">
        <v>45</v>
      </c>
      <c r="B42" s="88"/>
      <c r="C42" s="88"/>
      <c r="D42" s="88"/>
      <c r="E42" s="88"/>
      <c r="F42" s="88"/>
      <c r="G42" s="88"/>
      <c r="H42" s="87"/>
      <c r="I42" s="31"/>
      <c r="J42" s="31"/>
    </row>
    <row r="43" spans="1:10" x14ac:dyDescent="0.25">
      <c r="A43" s="236" t="s">
        <v>46</v>
      </c>
      <c r="B43" s="237"/>
      <c r="C43" s="237"/>
      <c r="D43" s="237"/>
      <c r="E43" s="237"/>
      <c r="F43" s="237"/>
      <c r="G43" s="237"/>
      <c r="H43" s="238"/>
    </row>
    <row r="44" spans="1:10" x14ac:dyDescent="0.25">
      <c r="A44" s="239"/>
      <c r="B44" s="240"/>
      <c r="C44" s="240"/>
      <c r="D44" s="240"/>
      <c r="E44" s="240"/>
      <c r="F44" s="240"/>
      <c r="G44" s="240"/>
      <c r="H44" s="241"/>
    </row>
    <row r="45" spans="1:10" x14ac:dyDescent="0.25">
      <c r="A45" s="239"/>
      <c r="B45" s="240"/>
      <c r="C45" s="240"/>
      <c r="D45" s="240"/>
      <c r="E45" s="240"/>
      <c r="F45" s="240"/>
      <c r="G45" s="240"/>
      <c r="H45" s="241"/>
    </row>
    <row r="46" spans="1:10" ht="13.8" thickBot="1" x14ac:dyDescent="0.3">
      <c r="A46" s="242"/>
      <c r="B46" s="243"/>
      <c r="C46" s="243"/>
      <c r="D46" s="243"/>
      <c r="E46" s="243"/>
      <c r="F46" s="243"/>
      <c r="G46" s="243"/>
      <c r="H46" s="244"/>
    </row>
  </sheetData>
  <mergeCells count="13">
    <mergeCell ref="K7:M7"/>
    <mergeCell ref="A43:H46"/>
    <mergeCell ref="A38:C38"/>
    <mergeCell ref="A39:C39"/>
    <mergeCell ref="A1:D1"/>
    <mergeCell ref="E1:G1"/>
    <mergeCell ref="A31:C31"/>
    <mergeCell ref="A35:C35"/>
    <mergeCell ref="A29:C29"/>
    <mergeCell ref="A3:C3"/>
    <mergeCell ref="A8:C8"/>
    <mergeCell ref="A25:C25"/>
    <mergeCell ref="A27:C27"/>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horizontalDpi="300" verticalDpi="300" r:id="rId1"/>
  <headerFooter alignWithMargins="0">
    <oddHeader>&amp;F</oddHeader>
    <oddFooter>&amp;A&amp;RPage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zoomScale="85" zoomScaleNormal="85" workbookViewId="0">
      <selection activeCell="P13" sqref="P13"/>
    </sheetView>
  </sheetViews>
  <sheetFormatPr defaultColWidth="9.109375" defaultRowHeight="13.2" x14ac:dyDescent="0.25"/>
  <cols>
    <col min="1" max="1" width="41.6640625" style="1" customWidth="1"/>
    <col min="2" max="2" width="18" style="1" customWidth="1"/>
    <col min="3" max="3" width="17.33203125" style="1" customWidth="1"/>
    <col min="4" max="4" width="13.6640625" style="1" customWidth="1"/>
    <col min="5" max="9" width="14.33203125" style="1" customWidth="1"/>
    <col min="10" max="10" width="14.44140625" style="1" customWidth="1"/>
    <col min="11" max="11" width="12.6640625" style="1" hidden="1" customWidth="1"/>
    <col min="12" max="12" width="13.6640625" style="1" hidden="1" customWidth="1"/>
    <col min="13" max="13" width="12.6640625" style="1" hidden="1" customWidth="1"/>
    <col min="14" max="26" width="12.6640625" style="1" customWidth="1"/>
    <col min="27" max="16384" width="9.109375" style="1"/>
  </cols>
  <sheetData>
    <row r="1" spans="1:13" ht="30.75" customHeight="1" thickBot="1" x14ac:dyDescent="0.3">
      <c r="A1" s="245" t="s">
        <v>60</v>
      </c>
      <c r="B1" s="246"/>
      <c r="C1" s="246"/>
      <c r="D1" s="246"/>
      <c r="E1" s="247" t="s">
        <v>126</v>
      </c>
      <c r="F1" s="247"/>
      <c r="G1" s="247"/>
      <c r="H1" s="175"/>
      <c r="I1" s="176"/>
    </row>
    <row r="2" spans="1:13" ht="16.2" thickBot="1" x14ac:dyDescent="0.35">
      <c r="A2" s="8"/>
      <c r="B2" s="9"/>
      <c r="C2" s="10"/>
      <c r="D2" s="10"/>
      <c r="E2" s="6"/>
      <c r="F2" s="6"/>
      <c r="G2" s="6"/>
      <c r="H2" s="6"/>
      <c r="I2" s="2"/>
    </row>
    <row r="3" spans="1:13" ht="24.75" customHeight="1" thickBot="1" x14ac:dyDescent="0.3">
      <c r="A3" s="256" t="s">
        <v>15</v>
      </c>
      <c r="B3" s="257"/>
      <c r="C3" s="257"/>
      <c r="D3" s="177"/>
      <c r="E3" s="178">
        <f>'Pryse + Sensatiwiteitsanalise'!B32</f>
        <v>9217</v>
      </c>
      <c r="F3" s="177" t="s">
        <v>0</v>
      </c>
      <c r="G3" s="179"/>
      <c r="H3" s="179"/>
      <c r="I3" s="180"/>
    </row>
    <row r="4" spans="1:13" ht="13.8" thickBot="1" x14ac:dyDescent="0.3">
      <c r="A4" s="83"/>
      <c r="B4" s="4"/>
      <c r="C4" s="4"/>
      <c r="D4" s="3"/>
      <c r="E4" s="5"/>
      <c r="F4" s="11"/>
      <c r="G4" s="4"/>
      <c r="H4" s="12"/>
      <c r="I4" s="12"/>
    </row>
    <row r="5" spans="1:13" ht="13.8" thickBot="1" x14ac:dyDescent="0.3">
      <c r="A5" s="73" t="s">
        <v>16</v>
      </c>
      <c r="B5" s="4"/>
      <c r="C5" s="4"/>
      <c r="D5" s="23">
        <v>1</v>
      </c>
      <c r="E5" s="220">
        <v>1.25</v>
      </c>
      <c r="F5" s="23">
        <v>1.5</v>
      </c>
      <c r="G5" s="23">
        <v>1.75</v>
      </c>
      <c r="H5" s="23">
        <v>2</v>
      </c>
      <c r="I5" s="23"/>
    </row>
    <row r="6" spans="1:13" ht="13.8" thickBot="1" x14ac:dyDescent="0.3">
      <c r="A6" s="181" t="s">
        <v>17</v>
      </c>
      <c r="B6" s="182"/>
      <c r="C6" s="183"/>
      <c r="D6" s="184">
        <f t="shared" ref="D6:I6" si="0">$E$3*D5</f>
        <v>9217</v>
      </c>
      <c r="E6" s="184">
        <f t="shared" si="0"/>
        <v>11521.25</v>
      </c>
      <c r="F6" s="184">
        <f t="shared" si="0"/>
        <v>13825.5</v>
      </c>
      <c r="G6" s="184">
        <f t="shared" si="0"/>
        <v>16129.75</v>
      </c>
      <c r="H6" s="184">
        <f t="shared" si="0"/>
        <v>18434</v>
      </c>
      <c r="I6" s="184">
        <f t="shared" si="0"/>
        <v>0</v>
      </c>
    </row>
    <row r="7" spans="1:13" ht="15" thickBot="1" x14ac:dyDescent="0.35">
      <c r="A7" s="84"/>
      <c r="B7" s="85"/>
      <c r="C7" s="85"/>
      <c r="D7" s="13"/>
      <c r="E7" s="13"/>
      <c r="F7" s="13"/>
      <c r="G7" s="13"/>
      <c r="H7" s="13"/>
      <c r="I7" s="13"/>
      <c r="K7" s="268" t="s">
        <v>58</v>
      </c>
      <c r="L7" s="268"/>
      <c r="M7" s="268"/>
    </row>
    <row r="8" spans="1:13" ht="15" thickBot="1" x14ac:dyDescent="0.35">
      <c r="A8" s="258" t="s">
        <v>18</v>
      </c>
      <c r="B8" s="259"/>
      <c r="C8" s="260"/>
      <c r="D8" s="206"/>
      <c r="E8" s="206"/>
      <c r="F8" s="206"/>
      <c r="G8" s="206"/>
      <c r="H8" s="206"/>
      <c r="I8" s="206"/>
      <c r="K8" s="89" t="s">
        <v>54</v>
      </c>
      <c r="L8" s="89" t="s">
        <v>55</v>
      </c>
      <c r="M8" s="89" t="s">
        <v>56</v>
      </c>
    </row>
    <row r="9" spans="1:13" ht="14.4" x14ac:dyDescent="0.3">
      <c r="A9" s="77" t="s">
        <v>19</v>
      </c>
      <c r="B9" s="78"/>
      <c r="C9" s="78"/>
      <c r="D9" s="92">
        <v>672.19444444444446</v>
      </c>
      <c r="E9" s="92">
        <v>720.20833333333337</v>
      </c>
      <c r="F9" s="92">
        <v>768.22222222222217</v>
      </c>
      <c r="G9" s="92">
        <v>768.22222222222217</v>
      </c>
      <c r="H9" s="92">
        <v>768.22222222222217</v>
      </c>
      <c r="I9" s="15">
        <v>0</v>
      </c>
      <c r="K9" s="90">
        <f>D5</f>
        <v>1</v>
      </c>
      <c r="L9" s="90">
        <f>D25</f>
        <v>6488.0894930431014</v>
      </c>
      <c r="M9" s="90">
        <f>D27</f>
        <v>1762.2800000000002</v>
      </c>
    </row>
    <row r="10" spans="1:13" ht="14.4" x14ac:dyDescent="0.3">
      <c r="A10" s="74" t="s">
        <v>20</v>
      </c>
      <c r="B10" s="79"/>
      <c r="C10" s="79"/>
      <c r="D10" s="93">
        <v>1513.1886079999999</v>
      </c>
      <c r="E10" s="93">
        <v>1925.1886079999999</v>
      </c>
      <c r="F10" s="93">
        <v>1986.9886079999999</v>
      </c>
      <c r="G10" s="93">
        <v>2141.4886080000001</v>
      </c>
      <c r="H10" s="93">
        <v>2490.588608</v>
      </c>
      <c r="I10" s="16">
        <v>0</v>
      </c>
      <c r="K10" s="90">
        <f>E5</f>
        <v>1.25</v>
      </c>
      <c r="L10" s="90">
        <f>E25</f>
        <v>7170.5400483739058</v>
      </c>
      <c r="M10" s="90">
        <f>E27</f>
        <v>1762.2800000000002</v>
      </c>
    </row>
    <row r="11" spans="1:13" ht="14.4" x14ac:dyDescent="0.3">
      <c r="A11" s="74" t="s">
        <v>21</v>
      </c>
      <c r="B11" s="79"/>
      <c r="C11" s="79"/>
      <c r="D11" s="93">
        <v>0</v>
      </c>
      <c r="E11" s="93">
        <v>0</v>
      </c>
      <c r="F11" s="93">
        <v>0</v>
      </c>
      <c r="G11" s="93">
        <v>0</v>
      </c>
      <c r="H11" s="93">
        <v>0</v>
      </c>
      <c r="I11" s="16">
        <v>0</v>
      </c>
      <c r="K11" s="90">
        <f>F5</f>
        <v>1.5</v>
      </c>
      <c r="L11" s="90">
        <f>F25</f>
        <v>7469.2294968548467</v>
      </c>
      <c r="M11" s="90">
        <f>F27</f>
        <v>1762.2800000000002</v>
      </c>
    </row>
    <row r="12" spans="1:13" ht="14.4" x14ac:dyDescent="0.3">
      <c r="A12" s="74" t="s">
        <v>22</v>
      </c>
      <c r="B12" s="79"/>
      <c r="C12" s="79"/>
      <c r="D12" s="93">
        <v>818.6859199999999</v>
      </c>
      <c r="E12" s="93">
        <v>832.62591999999995</v>
      </c>
      <c r="F12" s="93">
        <v>846.56592000000001</v>
      </c>
      <c r="G12" s="93">
        <v>860.50591999999995</v>
      </c>
      <c r="H12" s="93">
        <v>874.44591999999989</v>
      </c>
      <c r="I12" s="16">
        <v>0</v>
      </c>
      <c r="K12" s="90">
        <f>G5</f>
        <v>1.75</v>
      </c>
      <c r="L12" s="90">
        <f>G25</f>
        <v>7816.8875103295541</v>
      </c>
      <c r="M12" s="90">
        <f>G27</f>
        <v>1762.2800000000002</v>
      </c>
    </row>
    <row r="13" spans="1:13" ht="14.4" x14ac:dyDescent="0.3">
      <c r="A13" s="74" t="s">
        <v>23</v>
      </c>
      <c r="B13" s="79"/>
      <c r="C13" s="79"/>
      <c r="D13" s="93">
        <v>1154.2287000000001</v>
      </c>
      <c r="E13" s="93">
        <v>1156.9262000000001</v>
      </c>
      <c r="F13" s="93">
        <v>1159.6237000000001</v>
      </c>
      <c r="G13" s="93">
        <v>1162.3212000000001</v>
      </c>
      <c r="H13" s="93">
        <v>1165.0187000000001</v>
      </c>
      <c r="I13" s="16">
        <v>0</v>
      </c>
      <c r="K13" s="90">
        <f>H5</f>
        <v>2</v>
      </c>
      <c r="L13" s="90">
        <f>H25</f>
        <v>8377.7948424592632</v>
      </c>
      <c r="M13" s="90">
        <f>H27</f>
        <v>1762.2800000000002</v>
      </c>
    </row>
    <row r="14" spans="1:13" ht="14.4" x14ac:dyDescent="0.3">
      <c r="A14" s="74" t="s">
        <v>24</v>
      </c>
      <c r="B14" s="79"/>
      <c r="C14" s="79"/>
      <c r="D14" s="93">
        <v>252.55</v>
      </c>
      <c r="E14" s="93">
        <v>252.55</v>
      </c>
      <c r="F14" s="93">
        <v>252.55</v>
      </c>
      <c r="G14" s="93">
        <v>252.55</v>
      </c>
      <c r="H14" s="93">
        <v>252.55</v>
      </c>
      <c r="I14" s="16">
        <v>0</v>
      </c>
      <c r="K14" s="90">
        <f>I5</f>
        <v>0</v>
      </c>
      <c r="L14" s="90">
        <f>I25</f>
        <v>0</v>
      </c>
      <c r="M14" s="90">
        <f>I27</f>
        <v>0</v>
      </c>
    </row>
    <row r="15" spans="1:13" x14ac:dyDescent="0.25">
      <c r="A15" s="74" t="s">
        <v>25</v>
      </c>
      <c r="B15" s="79"/>
      <c r="C15" s="79"/>
      <c r="D15" s="93">
        <v>925.37120000000004</v>
      </c>
      <c r="E15" s="93">
        <v>925.37120000000004</v>
      </c>
      <c r="F15" s="93">
        <v>925.37120000000004</v>
      </c>
      <c r="G15" s="93">
        <v>925.37120000000004</v>
      </c>
      <c r="H15" s="93">
        <v>925.37120000000004</v>
      </c>
      <c r="I15" s="16">
        <v>0</v>
      </c>
    </row>
    <row r="16" spans="1:13" x14ac:dyDescent="0.25">
      <c r="A16" s="74" t="s">
        <v>26</v>
      </c>
      <c r="B16" s="79"/>
      <c r="C16" s="79"/>
      <c r="D16" s="93">
        <v>199.5369594</v>
      </c>
      <c r="E16" s="93">
        <v>249.42119925000003</v>
      </c>
      <c r="F16" s="93">
        <v>299.3054391</v>
      </c>
      <c r="G16" s="93">
        <v>349.18967895000009</v>
      </c>
      <c r="H16" s="93">
        <v>399.0739188</v>
      </c>
      <c r="I16" s="16">
        <v>0</v>
      </c>
    </row>
    <row r="17" spans="1:10" x14ac:dyDescent="0.25">
      <c r="A17" s="74" t="s">
        <v>28</v>
      </c>
      <c r="B17" s="79"/>
      <c r="C17" s="79"/>
      <c r="D17" s="93">
        <v>178.57575623367654</v>
      </c>
      <c r="E17" s="93">
        <v>197.35927087862189</v>
      </c>
      <c r="F17" s="93">
        <v>205.58028789737548</v>
      </c>
      <c r="G17" s="93">
        <v>215.14909744192821</v>
      </c>
      <c r="H17" s="93">
        <v>230.58730172679191</v>
      </c>
      <c r="I17" s="16">
        <v>0</v>
      </c>
    </row>
    <row r="18" spans="1:10" x14ac:dyDescent="0.25">
      <c r="A18" s="74" t="s">
        <v>29</v>
      </c>
      <c r="B18" s="79"/>
      <c r="C18" s="79"/>
      <c r="D18" s="93">
        <v>0</v>
      </c>
      <c r="E18" s="93">
        <v>0</v>
      </c>
      <c r="F18" s="93">
        <v>0</v>
      </c>
      <c r="G18" s="93">
        <v>0</v>
      </c>
      <c r="H18" s="93">
        <v>0</v>
      </c>
      <c r="I18" s="16">
        <v>0</v>
      </c>
    </row>
    <row r="19" spans="1:10" x14ac:dyDescent="0.25">
      <c r="A19" s="74" t="s">
        <v>30</v>
      </c>
      <c r="B19" s="79"/>
      <c r="C19" s="79"/>
      <c r="D19" s="93">
        <v>384.92998</v>
      </c>
      <c r="E19" s="93">
        <v>481.16247499999997</v>
      </c>
      <c r="F19" s="93">
        <v>577.39496999999994</v>
      </c>
      <c r="G19" s="93">
        <v>673.62746500000003</v>
      </c>
      <c r="H19" s="93">
        <v>769.85996</v>
      </c>
      <c r="I19" s="16">
        <v>0</v>
      </c>
    </row>
    <row r="20" spans="1:10" x14ac:dyDescent="0.25">
      <c r="A20" s="74" t="s">
        <v>31</v>
      </c>
      <c r="B20" s="79"/>
      <c r="C20" s="79"/>
      <c r="D20" s="93">
        <v>0</v>
      </c>
      <c r="E20" s="93">
        <v>0</v>
      </c>
      <c r="F20" s="93">
        <v>0</v>
      </c>
      <c r="G20" s="93">
        <v>0</v>
      </c>
      <c r="H20" s="93">
        <v>0</v>
      </c>
      <c r="I20" s="16">
        <v>0</v>
      </c>
    </row>
    <row r="21" spans="1:10" x14ac:dyDescent="0.25">
      <c r="A21" s="74" t="s">
        <v>32</v>
      </c>
      <c r="B21" s="79"/>
      <c r="C21" s="79"/>
      <c r="D21" s="93">
        <v>0</v>
      </c>
      <c r="E21" s="93">
        <v>0</v>
      </c>
      <c r="F21" s="93">
        <v>0</v>
      </c>
      <c r="G21" s="93">
        <v>0</v>
      </c>
      <c r="H21" s="93">
        <v>0</v>
      </c>
      <c r="I21" s="16">
        <v>0</v>
      </c>
    </row>
    <row r="22" spans="1:10" x14ac:dyDescent="0.25">
      <c r="A22" s="74" t="s">
        <v>33</v>
      </c>
      <c r="B22" s="79"/>
      <c r="C22" s="79"/>
      <c r="D22" s="93">
        <v>0</v>
      </c>
      <c r="E22" s="93">
        <v>0</v>
      </c>
      <c r="F22" s="93">
        <v>0</v>
      </c>
      <c r="G22" s="93">
        <v>0</v>
      </c>
      <c r="H22" s="93">
        <v>0</v>
      </c>
      <c r="I22" s="16">
        <v>0</v>
      </c>
    </row>
    <row r="23" spans="1:10" x14ac:dyDescent="0.25">
      <c r="A23" s="74" t="s">
        <v>34</v>
      </c>
      <c r="B23" s="79"/>
      <c r="C23" s="79"/>
      <c r="D23" s="93">
        <v>0</v>
      </c>
      <c r="E23" s="93">
        <v>0</v>
      </c>
      <c r="F23" s="93">
        <v>0</v>
      </c>
      <c r="G23" s="93">
        <v>0</v>
      </c>
      <c r="H23" s="93">
        <v>0</v>
      </c>
      <c r="I23" s="16">
        <v>0</v>
      </c>
    </row>
    <row r="24" spans="1:10" ht="13.8" thickBot="1" x14ac:dyDescent="0.3">
      <c r="A24" s="74" t="s">
        <v>35</v>
      </c>
      <c r="B24" s="79"/>
      <c r="C24" s="79"/>
      <c r="D24" s="93">
        <v>388.82792496498024</v>
      </c>
      <c r="E24" s="93">
        <v>429.72684191194975</v>
      </c>
      <c r="F24" s="93">
        <v>447.6271496352494</v>
      </c>
      <c r="G24" s="93">
        <v>468.46211871540214</v>
      </c>
      <c r="H24" s="93">
        <v>502.07701171024956</v>
      </c>
      <c r="I24" s="16">
        <v>0</v>
      </c>
    </row>
    <row r="25" spans="1:10" ht="13.8" thickBot="1" x14ac:dyDescent="0.3">
      <c r="A25" s="248" t="s">
        <v>36</v>
      </c>
      <c r="B25" s="254"/>
      <c r="C25" s="255"/>
      <c r="D25" s="185">
        <f>SUM(D8:D24)</f>
        <v>6488.0894930431014</v>
      </c>
      <c r="E25" s="185">
        <f>SUM(E8:E24)</f>
        <v>7170.5400483739058</v>
      </c>
      <c r="F25" s="185">
        <f>SUM(F8:F24)</f>
        <v>7469.2294968548467</v>
      </c>
      <c r="G25" s="185">
        <f>SUM(G8:G24)</f>
        <v>7816.8875103295541</v>
      </c>
      <c r="H25" s="185">
        <f>SUM(H8:H24)</f>
        <v>8377.7948424592632</v>
      </c>
      <c r="I25" s="185">
        <v>0</v>
      </c>
    </row>
    <row r="26" spans="1:10" ht="13.8" thickBot="1" x14ac:dyDescent="0.3">
      <c r="A26" s="80"/>
      <c r="B26" s="81"/>
      <c r="C26" s="81"/>
      <c r="D26" s="221"/>
      <c r="E26" s="221"/>
      <c r="F26" s="221"/>
      <c r="G26" s="221"/>
      <c r="H26" s="221"/>
      <c r="I26" s="17"/>
      <c r="J26" s="222"/>
    </row>
    <row r="27" spans="1:10" ht="13.8" thickBot="1" x14ac:dyDescent="0.3">
      <c r="A27" s="261" t="s">
        <v>37</v>
      </c>
      <c r="B27" s="262"/>
      <c r="C27" s="263"/>
      <c r="D27" s="186">
        <v>1762.2800000000002</v>
      </c>
      <c r="E27" s="185">
        <v>1762.2800000000002</v>
      </c>
      <c r="F27" s="185">
        <v>1762.2800000000002</v>
      </c>
      <c r="G27" s="185">
        <v>1762.2800000000002</v>
      </c>
      <c r="H27" s="185">
        <v>1762.2800000000002</v>
      </c>
      <c r="I27" s="185"/>
      <c r="J27" s="14"/>
    </row>
    <row r="28" spans="1:10" ht="13.8" thickBot="1" x14ac:dyDescent="0.3">
      <c r="A28" s="80"/>
      <c r="B28" s="81"/>
      <c r="C28" s="81"/>
      <c r="D28" s="17"/>
      <c r="E28" s="17"/>
      <c r="F28" s="17"/>
      <c r="G28" s="17"/>
      <c r="H28" s="17"/>
      <c r="I28" s="17"/>
    </row>
    <row r="29" spans="1:10" ht="28.5" customHeight="1" thickBot="1" x14ac:dyDescent="0.3">
      <c r="A29" s="248" t="s">
        <v>38</v>
      </c>
      <c r="B29" s="254"/>
      <c r="C29" s="255"/>
      <c r="D29" s="185">
        <f>D25+D27</f>
        <v>8250.3694930431011</v>
      </c>
      <c r="E29" s="185">
        <f>E25+E27</f>
        <v>8932.8200483739056</v>
      </c>
      <c r="F29" s="185">
        <f>F25+F27</f>
        <v>9231.5094968548474</v>
      </c>
      <c r="G29" s="185">
        <f>G25+G27</f>
        <v>9579.1675103295547</v>
      </c>
      <c r="H29" s="185">
        <f>H25+H27</f>
        <v>10140.074842459264</v>
      </c>
      <c r="I29" s="185">
        <v>0</v>
      </c>
    </row>
    <row r="30" spans="1:10" ht="13.8" thickBot="1" x14ac:dyDescent="0.3">
      <c r="A30" s="75"/>
      <c r="B30" s="76"/>
      <c r="C30" s="76"/>
      <c r="D30" s="18"/>
      <c r="E30" s="18"/>
      <c r="F30" s="18"/>
      <c r="G30" s="18"/>
      <c r="H30" s="18"/>
      <c r="I30" s="18"/>
    </row>
    <row r="31" spans="1:10" ht="27.75" customHeight="1" thickBot="1" x14ac:dyDescent="0.3">
      <c r="A31" s="248" t="s">
        <v>39</v>
      </c>
      <c r="B31" s="249"/>
      <c r="C31" s="250"/>
      <c r="D31" s="185">
        <f>D29/D5</f>
        <v>8250.3694930431011</v>
      </c>
      <c r="E31" s="185">
        <f>E29/E5</f>
        <v>7146.2560386991245</v>
      </c>
      <c r="F31" s="185">
        <f>F29/F5</f>
        <v>6154.3396645698986</v>
      </c>
      <c r="G31" s="185">
        <f>G29/G5</f>
        <v>5473.8100059026028</v>
      </c>
      <c r="H31" s="185">
        <f>H29/H5</f>
        <v>5070.0374212296319</v>
      </c>
      <c r="I31" s="185">
        <v>0</v>
      </c>
    </row>
    <row r="32" spans="1:10" ht="13.8" thickBot="1" x14ac:dyDescent="0.3">
      <c r="A32" s="84"/>
      <c r="B32" s="85"/>
      <c r="C32" s="85"/>
      <c r="D32" s="18"/>
      <c r="E32" s="18"/>
      <c r="F32" s="18"/>
      <c r="G32" s="18"/>
      <c r="H32" s="18"/>
      <c r="I32" s="18"/>
    </row>
    <row r="33" spans="1:10" ht="13.8" thickBot="1" x14ac:dyDescent="0.3">
      <c r="A33" s="192" t="s">
        <v>40</v>
      </c>
      <c r="B33" s="182"/>
      <c r="C33" s="182"/>
      <c r="D33" s="185">
        <f>'Pryse + Sensatiwiteitsanalise'!D5</f>
        <v>383</v>
      </c>
      <c r="E33" s="185">
        <f>$D$33</f>
        <v>383</v>
      </c>
      <c r="F33" s="185">
        <f>$D$33</f>
        <v>383</v>
      </c>
      <c r="G33" s="185">
        <f>$D$33</f>
        <v>383</v>
      </c>
      <c r="H33" s="185">
        <f>$D$33</f>
        <v>383</v>
      </c>
      <c r="I33" s="185">
        <v>0</v>
      </c>
    </row>
    <row r="34" spans="1:10" ht="13.8" thickBot="1" x14ac:dyDescent="0.3">
      <c r="A34" s="84"/>
      <c r="B34" s="85"/>
      <c r="C34" s="85"/>
      <c r="D34" s="18"/>
      <c r="E34" s="18"/>
      <c r="F34" s="18"/>
      <c r="G34" s="18"/>
      <c r="H34" s="18"/>
      <c r="I34" s="18"/>
    </row>
    <row r="35" spans="1:10" ht="13.8" thickBot="1" x14ac:dyDescent="0.3">
      <c r="A35" s="251" t="s">
        <v>41</v>
      </c>
      <c r="B35" s="252"/>
      <c r="C35" s="253"/>
      <c r="D35" s="187">
        <f>D31+D33</f>
        <v>8633.3694930431011</v>
      </c>
      <c r="E35" s="187">
        <f>E31+E33</f>
        <v>7529.2560386991245</v>
      </c>
      <c r="F35" s="187">
        <f>F31+F33</f>
        <v>6537.3396645698986</v>
      </c>
      <c r="G35" s="187">
        <f>G31+G33</f>
        <v>5856.8100059026028</v>
      </c>
      <c r="H35" s="187">
        <f>H31+H33</f>
        <v>5453.0374212296319</v>
      </c>
      <c r="I35" s="187">
        <v>0</v>
      </c>
    </row>
    <row r="36" spans="1:10" ht="13.8" thickBot="1" x14ac:dyDescent="0.3">
      <c r="A36" s="188" t="s">
        <v>42</v>
      </c>
      <c r="B36" s="189"/>
      <c r="C36" s="190"/>
      <c r="D36" s="187">
        <f>'Pryse + Sensatiwiteitsanalise'!B5</f>
        <v>9600</v>
      </c>
      <c r="E36" s="187">
        <f>$D$36</f>
        <v>9600</v>
      </c>
      <c r="F36" s="187">
        <f>$D$36</f>
        <v>9600</v>
      </c>
      <c r="G36" s="187">
        <f>$D$36</f>
        <v>9600</v>
      </c>
      <c r="H36" s="187">
        <f>$D$36</f>
        <v>9600</v>
      </c>
      <c r="I36" s="187">
        <v>0</v>
      </c>
    </row>
    <row r="37" spans="1:10" ht="13.8" thickBot="1" x14ac:dyDescent="0.3"/>
    <row r="38" spans="1:10" customFormat="1" ht="14.4" x14ac:dyDescent="0.3">
      <c r="A38" s="264" t="s">
        <v>104</v>
      </c>
      <c r="B38" s="265"/>
      <c r="C38" s="265"/>
      <c r="D38" s="169">
        <f t="shared" ref="D38:H38" si="1">D6-D25</f>
        <v>2728.9105069568986</v>
      </c>
      <c r="E38" s="170">
        <f t="shared" si="1"/>
        <v>4350.7099516260942</v>
      </c>
      <c r="F38" s="169">
        <f t="shared" si="1"/>
        <v>6356.2705031451533</v>
      </c>
      <c r="G38" s="170">
        <f t="shared" si="1"/>
        <v>8312.8624896704459</v>
      </c>
      <c r="H38" s="169">
        <f t="shared" si="1"/>
        <v>10056.205157540737</v>
      </c>
      <c r="I38" s="171"/>
    </row>
    <row r="39" spans="1:10" customFormat="1" ht="15" thickBot="1" x14ac:dyDescent="0.35">
      <c r="A39" s="266" t="s">
        <v>105</v>
      </c>
      <c r="B39" s="267"/>
      <c r="C39" s="267"/>
      <c r="D39" s="172">
        <f t="shared" ref="D39:H39" si="2">D6-D29</f>
        <v>966.6305069568989</v>
      </c>
      <c r="E39" s="173">
        <f t="shared" si="2"/>
        <v>2588.4299516260944</v>
      </c>
      <c r="F39" s="172">
        <f t="shared" si="2"/>
        <v>4593.9905031451526</v>
      </c>
      <c r="G39" s="173">
        <f t="shared" si="2"/>
        <v>6550.5824896704453</v>
      </c>
      <c r="H39" s="172">
        <f t="shared" si="2"/>
        <v>8293.9251575407361</v>
      </c>
      <c r="I39" s="174"/>
    </row>
    <row r="40" spans="1:10" ht="14.4" x14ac:dyDescent="0.25">
      <c r="A40" s="86" t="s">
        <v>43</v>
      </c>
      <c r="B40" s="72"/>
      <c r="C40" s="72"/>
      <c r="D40" s="72"/>
      <c r="E40" s="72"/>
      <c r="F40" s="72"/>
      <c r="G40" s="72"/>
      <c r="H40" s="71"/>
      <c r="I40" s="31"/>
      <c r="J40" s="31"/>
    </row>
    <row r="41" spans="1:10" ht="14.4" x14ac:dyDescent="0.25">
      <c r="A41" s="70" t="s">
        <v>44</v>
      </c>
      <c r="B41" s="69"/>
      <c r="C41" s="69"/>
      <c r="D41" s="69"/>
      <c r="E41" s="69"/>
      <c r="F41" s="69"/>
      <c r="G41" s="69"/>
      <c r="H41" s="68"/>
      <c r="I41" s="31"/>
      <c r="J41" s="31"/>
    </row>
    <row r="42" spans="1:10" ht="15" thickBot="1" x14ac:dyDescent="0.3">
      <c r="A42" s="67" t="s">
        <v>45</v>
      </c>
      <c r="B42" s="88"/>
      <c r="C42" s="88"/>
      <c r="D42" s="88"/>
      <c r="E42" s="88"/>
      <c r="F42" s="88"/>
      <c r="G42" s="88"/>
      <c r="H42" s="87"/>
      <c r="I42" s="31"/>
      <c r="J42" s="31"/>
    </row>
  </sheetData>
  <mergeCells count="12">
    <mergeCell ref="A38:C38"/>
    <mergeCell ref="A39:C39"/>
    <mergeCell ref="K7:M7"/>
    <mergeCell ref="A1:D1"/>
    <mergeCell ref="E1:G1"/>
    <mergeCell ref="A31:C31"/>
    <mergeCell ref="A35:C35"/>
    <mergeCell ref="A29:C29"/>
    <mergeCell ref="A3:C3"/>
    <mergeCell ref="A8:C8"/>
    <mergeCell ref="A25:C25"/>
    <mergeCell ref="A27:C27"/>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0" fitToHeight="0" orientation="portrait" r:id="rId1"/>
  <headerFooter alignWithMargins="0">
    <oddHeader>&amp;F</oddHeader>
    <oddFooter>&amp;A&amp;RPage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zoomScale="80" zoomScaleNormal="80" workbookViewId="0">
      <selection activeCell="D13" sqref="D13:G13"/>
    </sheetView>
  </sheetViews>
  <sheetFormatPr defaultColWidth="9.109375" defaultRowHeight="13.2" x14ac:dyDescent="0.25"/>
  <cols>
    <col min="1" max="1" width="41.6640625" style="1" customWidth="1"/>
    <col min="2" max="2" width="18" style="1" customWidth="1"/>
    <col min="3" max="3" width="17.33203125" style="1" customWidth="1"/>
    <col min="4" max="4" width="13.88671875" style="1" customWidth="1"/>
    <col min="5" max="9" width="14.33203125" style="1" customWidth="1"/>
    <col min="10" max="10" width="14.44140625" style="1" customWidth="1"/>
    <col min="11" max="13" width="12.6640625" style="1" hidden="1" customWidth="1"/>
    <col min="14" max="26" width="12.6640625" style="1" customWidth="1"/>
    <col min="27" max="16384" width="9.109375" style="1"/>
  </cols>
  <sheetData>
    <row r="1" spans="1:13" ht="30.75" customHeight="1" thickBot="1" x14ac:dyDescent="0.3">
      <c r="A1" s="245" t="s">
        <v>14</v>
      </c>
      <c r="B1" s="246"/>
      <c r="C1" s="246"/>
      <c r="D1" s="246"/>
      <c r="E1" s="247" t="s">
        <v>124</v>
      </c>
      <c r="F1" s="247"/>
      <c r="G1" s="247"/>
      <c r="H1" s="175"/>
      <c r="I1" s="176"/>
    </row>
    <row r="2" spans="1:13" ht="16.2" thickBot="1" x14ac:dyDescent="0.35">
      <c r="A2" s="8"/>
      <c r="B2" s="9"/>
      <c r="C2" s="10"/>
      <c r="D2" s="10"/>
      <c r="E2" s="6"/>
      <c r="F2" s="6"/>
      <c r="G2" s="2"/>
      <c r="H2" s="6"/>
      <c r="I2" s="2"/>
    </row>
    <row r="3" spans="1:13" ht="24.75" customHeight="1" thickBot="1" x14ac:dyDescent="0.3">
      <c r="A3" s="256" t="s">
        <v>15</v>
      </c>
      <c r="B3" s="257"/>
      <c r="C3" s="257"/>
      <c r="D3" s="177"/>
      <c r="E3" s="178">
        <f>'Pryse + Sensatiwiteitsanalise'!B45</f>
        <v>7221</v>
      </c>
      <c r="F3" s="177" t="s">
        <v>0</v>
      </c>
      <c r="G3" s="180"/>
      <c r="H3" s="179"/>
      <c r="I3" s="180"/>
    </row>
    <row r="4" spans="1:13" ht="13.8" thickBot="1" x14ac:dyDescent="0.3">
      <c r="A4" s="83"/>
      <c r="B4" s="4"/>
      <c r="C4" s="4"/>
      <c r="D4" s="3"/>
      <c r="E4" s="5"/>
      <c r="F4" s="11"/>
      <c r="G4" s="29"/>
      <c r="H4" s="12"/>
      <c r="I4" s="12"/>
    </row>
    <row r="5" spans="1:13" ht="13.8" thickBot="1" x14ac:dyDescent="0.3">
      <c r="A5" s="73" t="s">
        <v>16</v>
      </c>
      <c r="B5" s="4"/>
      <c r="C5" s="4"/>
      <c r="D5" s="23">
        <v>1</v>
      </c>
      <c r="E5" s="23">
        <v>1.5</v>
      </c>
      <c r="F5" s="23">
        <v>1.8</v>
      </c>
      <c r="G5" s="23">
        <v>2</v>
      </c>
      <c r="H5" s="24">
        <v>0</v>
      </c>
      <c r="I5" s="23">
        <v>0</v>
      </c>
    </row>
    <row r="6" spans="1:13" ht="13.8" thickBot="1" x14ac:dyDescent="0.3">
      <c r="A6" s="181" t="s">
        <v>17</v>
      </c>
      <c r="B6" s="182"/>
      <c r="C6" s="183"/>
      <c r="D6" s="184">
        <f t="shared" ref="D6:I6" si="0">$E$3*D5</f>
        <v>7221</v>
      </c>
      <c r="E6" s="184">
        <f t="shared" si="0"/>
        <v>10831.5</v>
      </c>
      <c r="F6" s="184">
        <f t="shared" si="0"/>
        <v>12997.800000000001</v>
      </c>
      <c r="G6" s="184">
        <f t="shared" si="0"/>
        <v>14442</v>
      </c>
      <c r="H6" s="184">
        <f t="shared" si="0"/>
        <v>0</v>
      </c>
      <c r="I6" s="184">
        <f t="shared" si="0"/>
        <v>0</v>
      </c>
    </row>
    <row r="7" spans="1:13" ht="15" thickBot="1" x14ac:dyDescent="0.35">
      <c r="A7" s="84"/>
      <c r="B7" s="85"/>
      <c r="C7" s="85"/>
      <c r="D7" s="13"/>
      <c r="E7" s="13"/>
      <c r="F7" s="13"/>
      <c r="G7" s="13"/>
      <c r="H7" s="25"/>
      <c r="I7" s="13"/>
      <c r="K7" s="268" t="s">
        <v>59</v>
      </c>
      <c r="L7" s="268"/>
      <c r="M7" s="268"/>
    </row>
    <row r="8" spans="1:13" ht="15" thickBot="1" x14ac:dyDescent="0.35">
      <c r="A8" s="269" t="s">
        <v>18</v>
      </c>
      <c r="B8" s="270"/>
      <c r="C8" s="271"/>
      <c r="D8" s="206"/>
      <c r="E8" s="206"/>
      <c r="F8" s="206"/>
      <c r="G8" s="206"/>
      <c r="H8" s="190"/>
      <c r="I8" s="206"/>
      <c r="K8" s="89" t="s">
        <v>54</v>
      </c>
      <c r="L8" s="89" t="s">
        <v>55</v>
      </c>
      <c r="M8" s="89" t="s">
        <v>56</v>
      </c>
    </row>
    <row r="9" spans="1:13" ht="14.4" x14ac:dyDescent="0.3">
      <c r="A9" s="77" t="s">
        <v>19</v>
      </c>
      <c r="B9" s="78"/>
      <c r="C9" s="78"/>
      <c r="D9" s="92">
        <v>2110.9903199999999</v>
      </c>
      <c r="E9" s="92">
        <v>2110.9903199999999</v>
      </c>
      <c r="F9" s="92">
        <v>2110.9903199999999</v>
      </c>
      <c r="G9" s="92">
        <v>2110.9903199999999</v>
      </c>
      <c r="H9" s="26">
        <v>0</v>
      </c>
      <c r="I9" s="15">
        <v>0</v>
      </c>
      <c r="K9" s="90">
        <f>D5</f>
        <v>1</v>
      </c>
      <c r="L9" s="90">
        <f>D25</f>
        <v>8044.4064207857464</v>
      </c>
      <c r="M9" s="90">
        <f>D27</f>
        <v>1956.0199999999998</v>
      </c>
    </row>
    <row r="10" spans="1:13" ht="14.4" x14ac:dyDescent="0.3">
      <c r="A10" s="74" t="s">
        <v>20</v>
      </c>
      <c r="B10" s="79"/>
      <c r="C10" s="79"/>
      <c r="D10" s="93">
        <v>1341.769536</v>
      </c>
      <c r="E10" s="93">
        <v>1865.9695360000003</v>
      </c>
      <c r="F10" s="93">
        <v>2240.2695359999998</v>
      </c>
      <c r="G10" s="93">
        <v>2988.8695359999997</v>
      </c>
      <c r="H10" s="27">
        <v>0</v>
      </c>
      <c r="I10" s="16">
        <v>0</v>
      </c>
      <c r="K10" s="90">
        <f>E5</f>
        <v>1.5</v>
      </c>
      <c r="L10" s="90">
        <f>E25</f>
        <v>9075.9384095740425</v>
      </c>
      <c r="M10" s="90">
        <f>E27</f>
        <v>1956.0199999999998</v>
      </c>
    </row>
    <row r="11" spans="1:13" ht="14.4" x14ac:dyDescent="0.3">
      <c r="A11" s="74" t="s">
        <v>21</v>
      </c>
      <c r="B11" s="79"/>
      <c r="C11" s="79"/>
      <c r="D11" s="93">
        <v>0</v>
      </c>
      <c r="E11" s="93">
        <v>0</v>
      </c>
      <c r="F11" s="93">
        <v>0</v>
      </c>
      <c r="G11" s="93">
        <v>0</v>
      </c>
      <c r="H11" s="27">
        <v>0</v>
      </c>
      <c r="I11" s="16">
        <v>0</v>
      </c>
      <c r="K11" s="90">
        <f>F5</f>
        <v>1.8</v>
      </c>
      <c r="L11" s="90">
        <f>F25</f>
        <v>9763.8484060080955</v>
      </c>
      <c r="M11" s="90">
        <f>F27</f>
        <v>1956.0199999999998</v>
      </c>
    </row>
    <row r="12" spans="1:13" ht="14.4" x14ac:dyDescent="0.3">
      <c r="A12" s="74" t="s">
        <v>22</v>
      </c>
      <c r="B12" s="79"/>
      <c r="C12" s="79"/>
      <c r="D12" s="93">
        <v>908.19092000000001</v>
      </c>
      <c r="E12" s="93">
        <v>925.82092</v>
      </c>
      <c r="F12" s="93">
        <v>940.49892</v>
      </c>
      <c r="G12" s="93">
        <v>953.70092</v>
      </c>
      <c r="H12" s="27">
        <v>0</v>
      </c>
      <c r="I12" s="16">
        <v>0</v>
      </c>
      <c r="K12" s="90">
        <f>G5</f>
        <v>2</v>
      </c>
      <c r="L12" s="90">
        <f>G25</f>
        <v>10765.140241583016</v>
      </c>
      <c r="M12" s="90">
        <f>G27</f>
        <v>1956.0199999999998</v>
      </c>
    </row>
    <row r="13" spans="1:13" ht="14.4" x14ac:dyDescent="0.3">
      <c r="A13" s="74" t="s">
        <v>23</v>
      </c>
      <c r="B13" s="79"/>
      <c r="C13" s="79"/>
      <c r="D13" s="93">
        <v>1256.7469000000001</v>
      </c>
      <c r="E13" s="93">
        <v>1262.1419000000001</v>
      </c>
      <c r="F13" s="93">
        <v>1265.3788999999999</v>
      </c>
      <c r="G13" s="93">
        <v>1267.5369000000001</v>
      </c>
      <c r="H13" s="27">
        <v>0</v>
      </c>
      <c r="I13" s="16">
        <v>0</v>
      </c>
      <c r="K13" s="90">
        <f>H5</f>
        <v>0</v>
      </c>
      <c r="L13" s="90">
        <f>H25</f>
        <v>0</v>
      </c>
      <c r="M13" s="90">
        <f>H27</f>
        <v>0</v>
      </c>
    </row>
    <row r="14" spans="1:13" x14ac:dyDescent="0.25">
      <c r="A14" s="74" t="s">
        <v>24</v>
      </c>
      <c r="B14" s="79"/>
      <c r="C14" s="79"/>
      <c r="D14" s="93">
        <v>601</v>
      </c>
      <c r="E14" s="93">
        <v>601</v>
      </c>
      <c r="F14" s="93">
        <v>601</v>
      </c>
      <c r="G14" s="93">
        <v>601</v>
      </c>
      <c r="H14" s="27">
        <v>0</v>
      </c>
      <c r="I14" s="16">
        <v>0</v>
      </c>
    </row>
    <row r="15" spans="1:13" x14ac:dyDescent="0.25">
      <c r="A15" s="74" t="s">
        <v>25</v>
      </c>
      <c r="B15" s="79"/>
      <c r="C15" s="79"/>
      <c r="D15" s="93">
        <v>414</v>
      </c>
      <c r="E15" s="93">
        <v>414</v>
      </c>
      <c r="F15" s="93">
        <v>414</v>
      </c>
      <c r="G15" s="93">
        <v>414</v>
      </c>
      <c r="H15" s="27">
        <v>0</v>
      </c>
      <c r="I15" s="16">
        <v>0</v>
      </c>
    </row>
    <row r="16" spans="1:13" x14ac:dyDescent="0.25">
      <c r="A16" s="74" t="s">
        <v>26</v>
      </c>
      <c r="B16" s="79"/>
      <c r="C16" s="79"/>
      <c r="D16" s="93">
        <v>224.53516079999997</v>
      </c>
      <c r="E16" s="93">
        <v>336.80274119999996</v>
      </c>
      <c r="F16" s="93">
        <v>404.16328944000003</v>
      </c>
      <c r="G16" s="93">
        <v>449.07032159999994</v>
      </c>
      <c r="H16" s="27">
        <v>0</v>
      </c>
      <c r="I16" s="16">
        <v>0</v>
      </c>
    </row>
    <row r="17" spans="1:10" x14ac:dyDescent="0.25">
      <c r="A17" s="74" t="s">
        <v>28</v>
      </c>
      <c r="B17" s="79"/>
      <c r="C17" s="79"/>
      <c r="D17" s="93">
        <v>113.82827192925677</v>
      </c>
      <c r="E17" s="93">
        <v>128.42443945009822</v>
      </c>
      <c r="F17" s="93">
        <v>138.15835915045329</v>
      </c>
      <c r="G17" s="93">
        <v>152.32662880001612</v>
      </c>
      <c r="H17" s="27">
        <v>0</v>
      </c>
      <c r="I17" s="16">
        <v>0</v>
      </c>
    </row>
    <row r="18" spans="1:10" x14ac:dyDescent="0.25">
      <c r="A18" s="74" t="s">
        <v>29</v>
      </c>
      <c r="B18" s="79"/>
      <c r="C18" s="79"/>
      <c r="D18" s="93">
        <v>0</v>
      </c>
      <c r="E18" s="93">
        <v>0</v>
      </c>
      <c r="F18" s="93">
        <v>0</v>
      </c>
      <c r="G18" s="93">
        <v>0</v>
      </c>
      <c r="H18" s="27">
        <v>0</v>
      </c>
      <c r="I18" s="16">
        <v>0</v>
      </c>
    </row>
    <row r="19" spans="1:10" x14ac:dyDescent="0.25">
      <c r="A19" s="74" t="s">
        <v>30</v>
      </c>
      <c r="B19" s="79"/>
      <c r="C19" s="79"/>
      <c r="D19" s="93">
        <v>591.24810000000002</v>
      </c>
      <c r="E19" s="93">
        <v>886.87215000000003</v>
      </c>
      <c r="F19" s="93">
        <v>1064.24658</v>
      </c>
      <c r="G19" s="93">
        <v>1182.4962</v>
      </c>
      <c r="H19" s="27">
        <v>0</v>
      </c>
      <c r="I19" s="16">
        <v>0</v>
      </c>
    </row>
    <row r="20" spans="1:10" x14ac:dyDescent="0.25">
      <c r="A20" s="74" t="s">
        <v>31</v>
      </c>
      <c r="B20" s="79"/>
      <c r="C20" s="79"/>
      <c r="D20" s="93">
        <v>0</v>
      </c>
      <c r="E20" s="93">
        <v>0</v>
      </c>
      <c r="F20" s="93">
        <v>0</v>
      </c>
      <c r="G20" s="93">
        <v>0</v>
      </c>
      <c r="H20" s="27">
        <v>0</v>
      </c>
      <c r="I20" s="16">
        <v>0</v>
      </c>
    </row>
    <row r="21" spans="1:10" x14ac:dyDescent="0.25">
      <c r="A21" s="74" t="s">
        <v>32</v>
      </c>
      <c r="B21" s="79"/>
      <c r="C21" s="79"/>
      <c r="D21" s="93">
        <v>0</v>
      </c>
      <c r="E21" s="93">
        <v>0</v>
      </c>
      <c r="F21" s="93">
        <v>0</v>
      </c>
      <c r="G21" s="93">
        <v>0</v>
      </c>
      <c r="H21" s="27">
        <v>0</v>
      </c>
      <c r="I21" s="16">
        <v>0</v>
      </c>
    </row>
    <row r="22" spans="1:10" x14ac:dyDescent="0.25">
      <c r="A22" s="74" t="s">
        <v>33</v>
      </c>
      <c r="B22" s="79"/>
      <c r="C22" s="79"/>
      <c r="D22" s="93">
        <v>0</v>
      </c>
      <c r="E22" s="93">
        <v>0</v>
      </c>
      <c r="F22" s="93">
        <v>0</v>
      </c>
      <c r="G22" s="93">
        <v>0</v>
      </c>
      <c r="H22" s="27">
        <v>0</v>
      </c>
      <c r="I22" s="16">
        <v>0</v>
      </c>
    </row>
    <row r="23" spans="1:10" x14ac:dyDescent="0.25">
      <c r="A23" s="74" t="s">
        <v>34</v>
      </c>
      <c r="B23" s="79"/>
      <c r="C23" s="79"/>
      <c r="D23" s="93">
        <v>0</v>
      </c>
      <c r="E23" s="93">
        <v>0</v>
      </c>
      <c r="F23" s="93">
        <v>0</v>
      </c>
      <c r="G23" s="93">
        <v>0</v>
      </c>
      <c r="H23" s="27">
        <v>0</v>
      </c>
      <c r="I23" s="16">
        <v>0</v>
      </c>
    </row>
    <row r="24" spans="1:10" ht="13.8" thickBot="1" x14ac:dyDescent="0.3">
      <c r="A24" s="74" t="s">
        <v>35</v>
      </c>
      <c r="B24" s="79"/>
      <c r="C24" s="79"/>
      <c r="D24" s="93">
        <v>482.09721205649004</v>
      </c>
      <c r="E24" s="93">
        <v>543.91640292394379</v>
      </c>
      <c r="F24" s="93">
        <v>585.14250141764137</v>
      </c>
      <c r="G24" s="93">
        <v>645.149415183001</v>
      </c>
      <c r="H24" s="27">
        <v>0</v>
      </c>
      <c r="I24" s="16">
        <v>0</v>
      </c>
    </row>
    <row r="25" spans="1:10" ht="13.8" thickBot="1" x14ac:dyDescent="0.3">
      <c r="A25" s="248" t="s">
        <v>36</v>
      </c>
      <c r="B25" s="254"/>
      <c r="C25" s="255"/>
      <c r="D25" s="185">
        <f>SUM(D9:D24)</f>
        <v>8044.4064207857464</v>
      </c>
      <c r="E25" s="185">
        <f>SUM(E9:E24)</f>
        <v>9075.9384095740425</v>
      </c>
      <c r="F25" s="185">
        <f t="shared" ref="F25:G25" si="1">SUM(F9:F24)</f>
        <v>9763.8484060080955</v>
      </c>
      <c r="G25" s="185">
        <f t="shared" si="1"/>
        <v>10765.140241583016</v>
      </c>
      <c r="H25" s="194">
        <v>0</v>
      </c>
      <c r="I25" s="185">
        <v>0</v>
      </c>
    </row>
    <row r="26" spans="1:10" ht="13.8" thickBot="1" x14ac:dyDescent="0.3">
      <c r="A26" s="80"/>
      <c r="B26" s="81"/>
      <c r="C26" s="81"/>
      <c r="D26" s="221">
        <f>D12/D25</f>
        <v>0.11289719495690168</v>
      </c>
      <c r="E26" s="221">
        <f t="shared" ref="E26:G26" si="2">E12/E25</f>
        <v>0.10200828588957461</v>
      </c>
      <c r="F26" s="221">
        <f t="shared" si="2"/>
        <v>9.6324613092238567E-2</v>
      </c>
      <c r="G26" s="221">
        <f t="shared" si="2"/>
        <v>8.8591592733376051E-2</v>
      </c>
      <c r="H26" s="28"/>
      <c r="I26" s="17"/>
      <c r="J26" s="222">
        <f>AVERAGE(E26:G26,D26)</f>
        <v>9.9955421668022709E-2</v>
      </c>
    </row>
    <row r="27" spans="1:10" ht="13.8" thickBot="1" x14ac:dyDescent="0.3">
      <c r="A27" s="261" t="s">
        <v>37</v>
      </c>
      <c r="B27" s="262"/>
      <c r="C27" s="263"/>
      <c r="D27" s="186">
        <v>1956.0199999999998</v>
      </c>
      <c r="E27" s="185">
        <v>1956.0199999999998</v>
      </c>
      <c r="F27" s="185">
        <v>1956.0199999999998</v>
      </c>
      <c r="G27" s="185">
        <v>1956.0199999999998</v>
      </c>
      <c r="H27" s="185"/>
      <c r="I27" s="185"/>
      <c r="J27" s="14"/>
    </row>
    <row r="28" spans="1:10" ht="13.8" thickBot="1" x14ac:dyDescent="0.3">
      <c r="A28" s="80"/>
      <c r="B28" s="81"/>
      <c r="C28" s="81"/>
      <c r="D28" s="17"/>
      <c r="E28" s="17"/>
      <c r="F28" s="17"/>
      <c r="G28" s="17"/>
      <c r="H28" s="28"/>
      <c r="I28" s="17"/>
    </row>
    <row r="29" spans="1:10" ht="28.5" customHeight="1" thickBot="1" x14ac:dyDescent="0.3">
      <c r="A29" s="248" t="s">
        <v>38</v>
      </c>
      <c r="B29" s="254"/>
      <c r="C29" s="255"/>
      <c r="D29" s="185">
        <f>D25+D27</f>
        <v>10000.426420785747</v>
      </c>
      <c r="E29" s="185">
        <f>E25+E27</f>
        <v>11031.958409574043</v>
      </c>
      <c r="F29" s="185">
        <f>F25+F27</f>
        <v>11719.868406008096</v>
      </c>
      <c r="G29" s="185">
        <f>G25+G27</f>
        <v>12721.160241583017</v>
      </c>
      <c r="H29" s="194">
        <v>0</v>
      </c>
      <c r="I29" s="185">
        <v>0</v>
      </c>
    </row>
    <row r="30" spans="1:10" ht="13.8" thickBot="1" x14ac:dyDescent="0.3">
      <c r="A30" s="75"/>
      <c r="B30" s="76"/>
      <c r="C30" s="76"/>
      <c r="D30" s="18"/>
      <c r="E30" s="18"/>
      <c r="F30" s="18"/>
      <c r="G30" s="18"/>
      <c r="H30" s="21"/>
      <c r="I30" s="18"/>
    </row>
    <row r="31" spans="1:10" ht="27.75" customHeight="1" thickBot="1" x14ac:dyDescent="0.3">
      <c r="A31" s="248" t="s">
        <v>39</v>
      </c>
      <c r="B31" s="249"/>
      <c r="C31" s="250"/>
      <c r="D31" s="185">
        <f>D29/D5</f>
        <v>10000.426420785747</v>
      </c>
      <c r="E31" s="185">
        <f>E29/E5</f>
        <v>7354.6389397160283</v>
      </c>
      <c r="F31" s="185">
        <f>F29/F5</f>
        <v>6511.0380033378306</v>
      </c>
      <c r="G31" s="185">
        <f>G29/G5</f>
        <v>6360.5801207915083</v>
      </c>
      <c r="H31" s="194">
        <v>0</v>
      </c>
      <c r="I31" s="185">
        <v>0</v>
      </c>
    </row>
    <row r="32" spans="1:10" ht="13.8" thickBot="1" x14ac:dyDescent="0.3">
      <c r="A32" s="84"/>
      <c r="B32" s="85"/>
      <c r="C32" s="85"/>
      <c r="D32" s="18"/>
      <c r="E32" s="18"/>
      <c r="F32" s="18"/>
      <c r="G32" s="18"/>
      <c r="H32" s="21"/>
      <c r="I32" s="18"/>
    </row>
    <row r="33" spans="1:10" ht="13.8" thickBot="1" x14ac:dyDescent="0.3">
      <c r="A33" s="192" t="s">
        <v>40</v>
      </c>
      <c r="B33" s="182"/>
      <c r="C33" s="182"/>
      <c r="D33" s="185">
        <f>'Pryse + Sensatiwiteitsanalise'!D6</f>
        <v>179</v>
      </c>
      <c r="E33" s="185">
        <f>$D$33</f>
        <v>179</v>
      </c>
      <c r="F33" s="185">
        <f>$D$33</f>
        <v>179</v>
      </c>
      <c r="G33" s="185">
        <f>$D$33</f>
        <v>179</v>
      </c>
      <c r="H33" s="194">
        <v>0</v>
      </c>
      <c r="I33" s="185">
        <v>0</v>
      </c>
    </row>
    <row r="34" spans="1:10" ht="13.8" thickBot="1" x14ac:dyDescent="0.3">
      <c r="A34" s="84"/>
      <c r="B34" s="85"/>
      <c r="C34" s="85"/>
      <c r="D34" s="18"/>
      <c r="E34" s="18"/>
      <c r="F34" s="18"/>
      <c r="G34" s="18"/>
      <c r="H34" s="21"/>
      <c r="I34" s="18"/>
    </row>
    <row r="35" spans="1:10" ht="13.8" thickBot="1" x14ac:dyDescent="0.3">
      <c r="A35" s="251" t="s">
        <v>41</v>
      </c>
      <c r="B35" s="252"/>
      <c r="C35" s="253"/>
      <c r="D35" s="187">
        <f>D31+D33</f>
        <v>10179.426420785747</v>
      </c>
      <c r="E35" s="187">
        <f>E31+E33</f>
        <v>7533.6389397160283</v>
      </c>
      <c r="F35" s="187">
        <f>F31+F33</f>
        <v>6690.0380033378306</v>
      </c>
      <c r="G35" s="187">
        <f>G31+G33</f>
        <v>6539.5801207915083</v>
      </c>
      <c r="H35" s="193">
        <v>0</v>
      </c>
      <c r="I35" s="187">
        <v>0</v>
      </c>
    </row>
    <row r="36" spans="1:10" ht="13.8" thickBot="1" x14ac:dyDescent="0.3">
      <c r="A36" s="188" t="s">
        <v>42</v>
      </c>
      <c r="B36" s="189"/>
      <c r="C36" s="190"/>
      <c r="D36" s="187">
        <f>'Pryse + Sensatiwiteitsanalise'!B5</f>
        <v>9600</v>
      </c>
      <c r="E36" s="187">
        <f>$D$36</f>
        <v>9600</v>
      </c>
      <c r="F36" s="187">
        <f>$D$36</f>
        <v>9600</v>
      </c>
      <c r="G36" s="187">
        <f>$D$36</f>
        <v>9600</v>
      </c>
      <c r="H36" s="193">
        <v>0</v>
      </c>
      <c r="I36" s="187">
        <v>0</v>
      </c>
    </row>
    <row r="37" spans="1:10" ht="13.8" thickBot="1" x14ac:dyDescent="0.3"/>
    <row r="38" spans="1:10" customFormat="1" ht="14.4" x14ac:dyDescent="0.3">
      <c r="A38" s="264" t="s">
        <v>104</v>
      </c>
      <c r="B38" s="265"/>
      <c r="C38" s="265"/>
      <c r="D38" s="169">
        <f t="shared" ref="D38:G38" si="3">D6-D25</f>
        <v>-823.40642078574638</v>
      </c>
      <c r="E38" s="170">
        <f t="shared" si="3"/>
        <v>1755.5615904259575</v>
      </c>
      <c r="F38" s="169">
        <f t="shared" si="3"/>
        <v>3233.9515939919056</v>
      </c>
      <c r="G38" s="170">
        <f t="shared" si="3"/>
        <v>3676.8597584169838</v>
      </c>
      <c r="H38" s="169"/>
      <c r="I38" s="171"/>
    </row>
    <row r="39" spans="1:10" customFormat="1" ht="15" thickBot="1" x14ac:dyDescent="0.35">
      <c r="A39" s="266" t="s">
        <v>105</v>
      </c>
      <c r="B39" s="267"/>
      <c r="C39" s="267"/>
      <c r="D39" s="172">
        <f t="shared" ref="D39:G39" si="4">D6-D29</f>
        <v>-2779.4264207857468</v>
      </c>
      <c r="E39" s="173">
        <f t="shared" si="4"/>
        <v>-200.45840957404289</v>
      </c>
      <c r="F39" s="172">
        <f t="shared" si="4"/>
        <v>1277.9315939919052</v>
      </c>
      <c r="G39" s="173">
        <f t="shared" si="4"/>
        <v>1720.8397584169834</v>
      </c>
      <c r="H39" s="172"/>
      <c r="I39" s="174"/>
    </row>
    <row r="40" spans="1:10" ht="14.4" x14ac:dyDescent="0.25">
      <c r="A40" s="86" t="s">
        <v>43</v>
      </c>
      <c r="B40" s="72"/>
      <c r="C40" s="72"/>
      <c r="D40" s="72"/>
      <c r="E40" s="72"/>
      <c r="F40" s="72"/>
      <c r="G40" s="72"/>
      <c r="H40" s="71"/>
      <c r="I40" s="31"/>
      <c r="J40" s="31"/>
    </row>
    <row r="41" spans="1:10" ht="14.4" x14ac:dyDescent="0.25">
      <c r="A41" s="70" t="s">
        <v>44</v>
      </c>
      <c r="B41" s="69"/>
      <c r="C41" s="69"/>
      <c r="D41" s="69"/>
      <c r="E41" s="69"/>
      <c r="F41" s="69"/>
      <c r="G41" s="69"/>
      <c r="H41" s="68"/>
      <c r="I41" s="31"/>
      <c r="J41" s="31"/>
    </row>
    <row r="42" spans="1:10" ht="15" thickBot="1" x14ac:dyDescent="0.3">
      <c r="A42" s="67" t="s">
        <v>45</v>
      </c>
      <c r="B42" s="88"/>
      <c r="C42" s="88"/>
      <c r="D42" s="88"/>
      <c r="E42" s="88"/>
      <c r="F42" s="88"/>
      <c r="G42" s="88"/>
      <c r="H42" s="87"/>
      <c r="I42" s="31"/>
      <c r="J42" s="31"/>
    </row>
  </sheetData>
  <mergeCells count="12">
    <mergeCell ref="A38:C38"/>
    <mergeCell ref="A39:C39"/>
    <mergeCell ref="K7:M7"/>
    <mergeCell ref="A1:D1"/>
    <mergeCell ref="E1:G1"/>
    <mergeCell ref="A31:C31"/>
    <mergeCell ref="A35:C35"/>
    <mergeCell ref="A29:C29"/>
    <mergeCell ref="A3:C3"/>
    <mergeCell ref="A8:C8"/>
    <mergeCell ref="A25:C25"/>
    <mergeCell ref="A27:C27"/>
  </mergeCells>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1496062992125984" right="0.31496062992125984" top="0.55118110236220474" bottom="0.55118110236220474" header="0.31496062992125984" footer="0.31496062992125984"/>
  <pageSetup paperSize="9" scale="61" fitToHeight="0" orientation="portrait" horizontalDpi="300" verticalDpi="300" r:id="rId1"/>
  <headerFooter>
    <oddHeader>&amp;F</oddHead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7"/>
  <sheetViews>
    <sheetView zoomScale="85" zoomScaleNormal="85" workbookViewId="0">
      <selection activeCell="K30" sqref="K30"/>
    </sheetView>
  </sheetViews>
  <sheetFormatPr defaultColWidth="9.109375" defaultRowHeight="13.2" x14ac:dyDescent="0.25"/>
  <cols>
    <col min="1" max="1" width="42.88671875" style="1" customWidth="1"/>
    <col min="2" max="2" width="15.6640625" style="1" bestFit="1" customWidth="1"/>
    <col min="3" max="4" width="14.44140625" style="1" customWidth="1"/>
    <col min="5" max="9" width="14.33203125" style="1" customWidth="1"/>
    <col min="10" max="10" width="14.44140625" style="1" customWidth="1"/>
    <col min="11" max="26" width="12.6640625" style="1" customWidth="1"/>
    <col min="27" max="27" width="9.109375" style="1" customWidth="1"/>
    <col min="28" max="16384" width="9.109375" style="1"/>
  </cols>
  <sheetData>
    <row r="1" spans="1:9" ht="30" customHeight="1" thickBot="1" x14ac:dyDescent="0.3">
      <c r="A1" s="245" t="s">
        <v>67</v>
      </c>
      <c r="B1" s="246"/>
      <c r="C1" s="246"/>
      <c r="D1" s="246"/>
      <c r="E1" s="247" t="s">
        <v>124</v>
      </c>
      <c r="F1" s="247"/>
      <c r="G1" s="247"/>
      <c r="H1" s="175"/>
      <c r="I1" s="176"/>
    </row>
    <row r="2" spans="1:9" ht="16.2" thickBot="1" x14ac:dyDescent="0.35">
      <c r="A2" s="8"/>
      <c r="B2" s="9"/>
      <c r="C2" s="10"/>
      <c r="D2" s="10"/>
      <c r="E2" s="6"/>
      <c r="F2" s="6"/>
      <c r="G2" s="6"/>
      <c r="H2" s="6"/>
      <c r="I2" s="2"/>
    </row>
    <row r="3" spans="1:9" ht="27.75" customHeight="1" thickBot="1" x14ac:dyDescent="0.3">
      <c r="A3" s="248" t="s">
        <v>15</v>
      </c>
      <c r="B3" s="249"/>
      <c r="C3" s="249"/>
      <c r="D3" s="177"/>
      <c r="E3" s="178">
        <f>'Pryse + Sensatiwiteitsanalise'!B19</f>
        <v>3821</v>
      </c>
      <c r="F3" s="177" t="s">
        <v>0</v>
      </c>
      <c r="G3" s="179"/>
      <c r="H3" s="179"/>
      <c r="I3" s="180"/>
    </row>
    <row r="4" spans="1:9" ht="13.8" thickBot="1" x14ac:dyDescent="0.3">
      <c r="A4" s="73"/>
      <c r="B4" s="82"/>
      <c r="C4" s="82"/>
      <c r="D4" s="3"/>
      <c r="E4" s="5"/>
      <c r="F4" s="11"/>
      <c r="G4" s="4"/>
      <c r="H4" s="12"/>
      <c r="I4" s="12"/>
    </row>
    <row r="5" spans="1:9" ht="13.8" thickBot="1" x14ac:dyDescent="0.3">
      <c r="A5" s="73" t="s">
        <v>16</v>
      </c>
      <c r="B5" s="82"/>
      <c r="C5" s="82"/>
      <c r="D5" s="23">
        <v>8</v>
      </c>
      <c r="E5" s="23">
        <v>10</v>
      </c>
      <c r="F5" s="23">
        <v>12</v>
      </c>
      <c r="G5" s="23">
        <v>0</v>
      </c>
      <c r="H5" s="23">
        <v>0</v>
      </c>
      <c r="I5" s="23">
        <v>0</v>
      </c>
    </row>
    <row r="6" spans="1:9" ht="13.8" thickBot="1" x14ac:dyDescent="0.3">
      <c r="A6" s="181" t="s">
        <v>17</v>
      </c>
      <c r="B6" s="195"/>
      <c r="C6" s="198"/>
      <c r="D6" s="184">
        <f t="shared" ref="D6:I6" si="0">$E$3*D5</f>
        <v>30568</v>
      </c>
      <c r="E6" s="184">
        <f t="shared" si="0"/>
        <v>38210</v>
      </c>
      <c r="F6" s="184">
        <f t="shared" si="0"/>
        <v>45852</v>
      </c>
      <c r="G6" s="184">
        <f t="shared" si="0"/>
        <v>0</v>
      </c>
      <c r="H6" s="184">
        <f t="shared" si="0"/>
        <v>0</v>
      </c>
      <c r="I6" s="184">
        <f t="shared" si="0"/>
        <v>0</v>
      </c>
    </row>
    <row r="7" spans="1:9" ht="13.8" thickBot="1" x14ac:dyDescent="0.3">
      <c r="A7" s="75"/>
      <c r="B7" s="76"/>
      <c r="C7" s="76"/>
      <c r="D7" s="22"/>
      <c r="E7" s="22"/>
      <c r="F7" s="22"/>
      <c r="G7" s="22"/>
      <c r="H7" s="22"/>
      <c r="I7" s="22"/>
    </row>
    <row r="8" spans="1:9" ht="13.8" thickBot="1" x14ac:dyDescent="0.3">
      <c r="A8" s="258" t="s">
        <v>18</v>
      </c>
      <c r="B8" s="259"/>
      <c r="C8" s="260"/>
      <c r="D8" s="207"/>
      <c r="E8" s="207"/>
      <c r="F8" s="207"/>
      <c r="G8" s="207"/>
      <c r="H8" s="207"/>
      <c r="I8" s="207"/>
    </row>
    <row r="9" spans="1:9" x14ac:dyDescent="0.25">
      <c r="A9" s="77" t="s">
        <v>19</v>
      </c>
      <c r="B9" s="78"/>
      <c r="C9" s="78"/>
      <c r="D9" s="92">
        <v>4723.8125</v>
      </c>
      <c r="E9" s="92">
        <v>5153.25</v>
      </c>
      <c r="F9" s="92">
        <v>5582.6875</v>
      </c>
      <c r="G9" s="15">
        <v>0</v>
      </c>
      <c r="H9" s="15">
        <v>0</v>
      </c>
      <c r="I9" s="15">
        <v>0</v>
      </c>
    </row>
    <row r="10" spans="1:9" x14ac:dyDescent="0.25">
      <c r="A10" s="74" t="s">
        <v>20</v>
      </c>
      <c r="B10" s="79"/>
      <c r="C10" s="79"/>
      <c r="D10" s="93">
        <v>8864.5074999999997</v>
      </c>
      <c r="E10" s="93">
        <v>9764.1075000000001</v>
      </c>
      <c r="F10" s="93">
        <v>11687.707500000002</v>
      </c>
      <c r="G10" s="16">
        <v>0</v>
      </c>
      <c r="H10" s="16">
        <v>0</v>
      </c>
      <c r="I10" s="16">
        <v>0</v>
      </c>
    </row>
    <row r="11" spans="1:9" x14ac:dyDescent="0.25">
      <c r="A11" s="74" t="s">
        <v>21</v>
      </c>
      <c r="B11" s="79"/>
      <c r="C11" s="79"/>
      <c r="D11" s="93">
        <v>671.97375</v>
      </c>
      <c r="E11" s="93">
        <v>671.97375</v>
      </c>
      <c r="F11" s="93">
        <v>671.97375</v>
      </c>
      <c r="G11" s="16">
        <v>0</v>
      </c>
      <c r="H11" s="16">
        <v>0</v>
      </c>
      <c r="I11" s="16">
        <v>0</v>
      </c>
    </row>
    <row r="12" spans="1:9" x14ac:dyDescent="0.25">
      <c r="A12" s="74" t="s">
        <v>22</v>
      </c>
      <c r="B12" s="79"/>
      <c r="C12" s="79"/>
      <c r="D12" s="93">
        <v>1760.8256350000004</v>
      </c>
      <c r="E12" s="93">
        <v>1849.5936350000004</v>
      </c>
      <c r="F12" s="93">
        <v>1938.3616350000002</v>
      </c>
      <c r="G12" s="16">
        <v>0</v>
      </c>
      <c r="H12" s="16">
        <v>0</v>
      </c>
      <c r="I12" s="16">
        <v>0</v>
      </c>
    </row>
    <row r="13" spans="1:9" x14ac:dyDescent="0.25">
      <c r="A13" s="74" t="s">
        <v>23</v>
      </c>
      <c r="B13" s="79"/>
      <c r="C13" s="79"/>
      <c r="D13" s="93">
        <v>1259.033905</v>
      </c>
      <c r="E13" s="93">
        <v>1271.793905</v>
      </c>
      <c r="F13" s="93">
        <v>1284.553905</v>
      </c>
      <c r="G13" s="16">
        <v>0</v>
      </c>
      <c r="H13" s="16">
        <v>0</v>
      </c>
      <c r="I13" s="16">
        <v>0</v>
      </c>
    </row>
    <row r="14" spans="1:9" x14ac:dyDescent="0.25">
      <c r="A14" s="74" t="s">
        <v>24</v>
      </c>
      <c r="B14" s="79"/>
      <c r="C14" s="79"/>
      <c r="D14" s="93">
        <v>1681.1262499999998</v>
      </c>
      <c r="E14" s="93">
        <v>1681.1262499999998</v>
      </c>
      <c r="F14" s="93">
        <v>1681.1262499999998</v>
      </c>
      <c r="G14" s="16">
        <v>0</v>
      </c>
      <c r="H14" s="16">
        <v>0</v>
      </c>
      <c r="I14" s="16">
        <v>0</v>
      </c>
    </row>
    <row r="15" spans="1:9" x14ac:dyDescent="0.25">
      <c r="A15" s="74" t="s">
        <v>25</v>
      </c>
      <c r="B15" s="79"/>
      <c r="C15" s="79"/>
      <c r="D15" s="93">
        <v>2330.3529999999996</v>
      </c>
      <c r="E15" s="93">
        <v>2330.3529999999996</v>
      </c>
      <c r="F15" s="93">
        <v>2330.3529999999996</v>
      </c>
      <c r="G15" s="16">
        <v>0</v>
      </c>
      <c r="H15" s="16">
        <v>0</v>
      </c>
      <c r="I15" s="16">
        <v>0</v>
      </c>
    </row>
    <row r="16" spans="1:9" x14ac:dyDescent="0.25">
      <c r="A16" s="74" t="s">
        <v>26</v>
      </c>
      <c r="B16" s="79"/>
      <c r="C16" s="79"/>
      <c r="D16" s="93">
        <v>0</v>
      </c>
      <c r="E16" s="93">
        <v>0</v>
      </c>
      <c r="F16" s="93">
        <v>0</v>
      </c>
      <c r="G16" s="16">
        <v>0</v>
      </c>
      <c r="H16" s="16">
        <v>0</v>
      </c>
      <c r="I16" s="16">
        <v>0</v>
      </c>
    </row>
    <row r="17" spans="1:10" x14ac:dyDescent="0.25">
      <c r="A17" s="74" t="s">
        <v>27</v>
      </c>
      <c r="B17" s="79"/>
      <c r="C17" s="79"/>
      <c r="D17" s="93">
        <v>3416.046390832641</v>
      </c>
      <c r="E17" s="93">
        <v>3416.046390832641</v>
      </c>
      <c r="F17" s="93">
        <v>3416.046390832641</v>
      </c>
      <c r="G17" s="16">
        <v>0</v>
      </c>
      <c r="H17" s="16">
        <v>0</v>
      </c>
      <c r="I17" s="16">
        <v>0</v>
      </c>
    </row>
    <row r="18" spans="1:10" x14ac:dyDescent="0.25">
      <c r="A18" s="74" t="s">
        <v>28</v>
      </c>
      <c r="B18" s="79"/>
      <c r="C18" s="79"/>
      <c r="D18" s="93">
        <v>3022.0281426186853</v>
      </c>
      <c r="E18" s="93">
        <v>3218.4828540438916</v>
      </c>
      <c r="F18" s="93">
        <v>3535.5500507458942</v>
      </c>
      <c r="G18" s="16">
        <v>0</v>
      </c>
      <c r="H18" s="16">
        <v>0</v>
      </c>
      <c r="I18" s="16">
        <v>0</v>
      </c>
    </row>
    <row r="19" spans="1:10" x14ac:dyDescent="0.25">
      <c r="A19" s="74" t="s">
        <v>29</v>
      </c>
      <c r="B19" s="79"/>
      <c r="C19" s="79"/>
      <c r="D19" s="93">
        <v>0</v>
      </c>
      <c r="E19" s="93">
        <v>0</v>
      </c>
      <c r="F19" s="93">
        <v>0</v>
      </c>
      <c r="G19" s="16">
        <v>0</v>
      </c>
      <c r="H19" s="16">
        <v>0</v>
      </c>
      <c r="I19" s="16">
        <v>0</v>
      </c>
    </row>
    <row r="20" spans="1:10" x14ac:dyDescent="0.25">
      <c r="A20" s="74" t="s">
        <v>30</v>
      </c>
      <c r="B20" s="79"/>
      <c r="C20" s="79"/>
      <c r="D20" s="93">
        <v>949.34000000000015</v>
      </c>
      <c r="E20" s="93">
        <v>1186.6750000000002</v>
      </c>
      <c r="F20" s="93">
        <v>1424.0100000000002</v>
      </c>
      <c r="G20" s="16">
        <v>0</v>
      </c>
      <c r="H20" s="16">
        <v>0</v>
      </c>
      <c r="I20" s="16">
        <v>0</v>
      </c>
    </row>
    <row r="21" spans="1:10" x14ac:dyDescent="0.25">
      <c r="A21" s="74" t="s">
        <v>31</v>
      </c>
      <c r="B21" s="79"/>
      <c r="C21" s="79"/>
      <c r="D21" s="93">
        <v>0</v>
      </c>
      <c r="E21" s="93">
        <v>0</v>
      </c>
      <c r="F21" s="93">
        <v>0</v>
      </c>
      <c r="G21" s="16">
        <v>0</v>
      </c>
      <c r="H21" s="16">
        <v>0</v>
      </c>
      <c r="I21" s="16">
        <v>0</v>
      </c>
    </row>
    <row r="22" spans="1:10" s="7" customFormat="1" x14ac:dyDescent="0.25">
      <c r="A22" s="74" t="s">
        <v>32</v>
      </c>
      <c r="B22" s="79"/>
      <c r="C22" s="79"/>
      <c r="D22" s="93">
        <v>0</v>
      </c>
      <c r="E22" s="93">
        <v>0</v>
      </c>
      <c r="F22" s="93">
        <v>0</v>
      </c>
      <c r="G22" s="16">
        <v>0</v>
      </c>
      <c r="H22" s="16">
        <v>0</v>
      </c>
      <c r="I22" s="16">
        <v>0</v>
      </c>
      <c r="J22" s="1"/>
    </row>
    <row r="23" spans="1:10" s="7" customFormat="1" x14ac:dyDescent="0.25">
      <c r="A23" s="74" t="s">
        <v>33</v>
      </c>
      <c r="B23" s="79"/>
      <c r="C23" s="79"/>
      <c r="D23" s="93">
        <v>276.83999999999997</v>
      </c>
      <c r="E23" s="93">
        <v>276.83999999999997</v>
      </c>
      <c r="F23" s="93">
        <v>276.83999999999997</v>
      </c>
      <c r="G23" s="16">
        <v>0</v>
      </c>
      <c r="H23" s="16">
        <v>0</v>
      </c>
      <c r="I23" s="16">
        <v>0</v>
      </c>
      <c r="J23" s="1"/>
    </row>
    <row r="24" spans="1:10" s="7" customFormat="1" x14ac:dyDescent="0.25">
      <c r="A24" s="74" t="s">
        <v>34</v>
      </c>
      <c r="B24" s="79"/>
      <c r="C24" s="79"/>
      <c r="D24" s="93">
        <v>0</v>
      </c>
      <c r="E24" s="93">
        <v>0</v>
      </c>
      <c r="F24" s="93">
        <v>0</v>
      </c>
      <c r="G24" s="16">
        <v>0</v>
      </c>
      <c r="H24" s="16">
        <v>0</v>
      </c>
      <c r="I24" s="16">
        <v>0</v>
      </c>
      <c r="J24" s="1"/>
    </row>
    <row r="25" spans="1:10" s="7" customFormat="1" ht="13.8" thickBot="1" x14ac:dyDescent="0.3">
      <c r="A25" s="74" t="s">
        <v>35</v>
      </c>
      <c r="B25" s="79"/>
      <c r="C25" s="79"/>
      <c r="D25" s="93">
        <v>1684.8940155652656</v>
      </c>
      <c r="E25" s="93">
        <v>1794.4248842364962</v>
      </c>
      <c r="F25" s="93">
        <v>1971.2017364177393</v>
      </c>
      <c r="G25" s="16">
        <v>0</v>
      </c>
      <c r="H25" s="16">
        <v>0</v>
      </c>
      <c r="I25" s="16">
        <v>0</v>
      </c>
      <c r="J25" s="1"/>
    </row>
    <row r="26" spans="1:10" s="7" customFormat="1" ht="13.8" thickBot="1" x14ac:dyDescent="0.3">
      <c r="A26" s="248" t="s">
        <v>36</v>
      </c>
      <c r="B26" s="254"/>
      <c r="C26" s="255"/>
      <c r="D26" s="185">
        <f>SUM(D9:D25)</f>
        <v>30640.781089016593</v>
      </c>
      <c r="E26" s="185">
        <f>SUM(E9:E25)</f>
        <v>32614.667169113029</v>
      </c>
      <c r="F26" s="185">
        <f>SUM(F9:F25)</f>
        <v>35800.411717996278</v>
      </c>
      <c r="G26" s="185">
        <v>0</v>
      </c>
      <c r="H26" s="185">
        <v>0</v>
      </c>
      <c r="I26" s="185">
        <v>0</v>
      </c>
      <c r="J26" s="1"/>
    </row>
    <row r="27" spans="1:10" s="7" customFormat="1" ht="13.8" thickBot="1" x14ac:dyDescent="0.3">
      <c r="A27" s="80"/>
      <c r="B27" s="81"/>
      <c r="C27" s="81"/>
      <c r="D27" s="17"/>
      <c r="E27" s="17"/>
      <c r="F27" s="17"/>
      <c r="G27" s="17"/>
      <c r="H27" s="17"/>
      <c r="I27" s="17"/>
      <c r="J27" s="1"/>
    </row>
    <row r="28" spans="1:10" ht="13.8" thickBot="1" x14ac:dyDescent="0.3">
      <c r="A28" s="261" t="s">
        <v>37</v>
      </c>
      <c r="B28" s="262"/>
      <c r="C28" s="263"/>
      <c r="D28" s="186">
        <v>3967.01</v>
      </c>
      <c r="E28" s="185">
        <v>3967.01</v>
      </c>
      <c r="F28" s="185">
        <v>3967.01</v>
      </c>
      <c r="G28" s="185"/>
      <c r="H28" s="185"/>
      <c r="I28" s="185"/>
      <c r="J28" s="14"/>
    </row>
    <row r="29" spans="1:10" ht="13.8" thickBot="1" x14ac:dyDescent="0.3">
      <c r="A29" s="80"/>
      <c r="B29" s="81"/>
      <c r="C29" s="81"/>
      <c r="D29" s="17"/>
      <c r="E29" s="17"/>
      <c r="F29" s="17"/>
      <c r="G29" s="17"/>
      <c r="H29" s="17"/>
      <c r="I29" s="17"/>
    </row>
    <row r="30" spans="1:10" ht="27" customHeight="1" thickBot="1" x14ac:dyDescent="0.3">
      <c r="A30" s="248" t="s">
        <v>38</v>
      </c>
      <c r="B30" s="254"/>
      <c r="C30" s="255"/>
      <c r="D30" s="185">
        <f>D26+D28</f>
        <v>34607.791089016595</v>
      </c>
      <c r="E30" s="185">
        <f>E26+E28</f>
        <v>36581.677169113027</v>
      </c>
      <c r="F30" s="185">
        <f>F26+F28</f>
        <v>39767.42171799628</v>
      </c>
      <c r="G30" s="185">
        <v>0</v>
      </c>
      <c r="H30" s="185">
        <v>0</v>
      </c>
      <c r="I30" s="185">
        <v>0</v>
      </c>
    </row>
    <row r="31" spans="1:10" ht="13.8" thickBot="1" x14ac:dyDescent="0.3">
      <c r="A31" s="75"/>
      <c r="B31" s="76"/>
      <c r="C31" s="76"/>
      <c r="D31" s="18"/>
      <c r="E31" s="18"/>
      <c r="F31" s="18"/>
      <c r="G31" s="18"/>
      <c r="H31" s="18"/>
      <c r="I31" s="18"/>
    </row>
    <row r="32" spans="1:10" ht="24.75" customHeight="1" thickBot="1" x14ac:dyDescent="0.3">
      <c r="A32" s="248" t="s">
        <v>39</v>
      </c>
      <c r="B32" s="249"/>
      <c r="C32" s="250"/>
      <c r="D32" s="185">
        <f>D30/D5</f>
        <v>4325.9738861270744</v>
      </c>
      <c r="E32" s="185">
        <f>E30/E5</f>
        <v>3658.1677169113027</v>
      </c>
      <c r="F32" s="185">
        <f>F30/F5</f>
        <v>3313.9518098330232</v>
      </c>
      <c r="G32" s="185">
        <v>0</v>
      </c>
      <c r="H32" s="185">
        <v>0</v>
      </c>
      <c r="I32" s="185">
        <v>0</v>
      </c>
    </row>
    <row r="33" spans="1:10" ht="13.8" thickBot="1" x14ac:dyDescent="0.3">
      <c r="A33" s="75"/>
      <c r="B33" s="76"/>
      <c r="C33" s="76"/>
      <c r="D33" s="18"/>
      <c r="E33" s="18"/>
      <c r="F33" s="18"/>
      <c r="G33" s="18"/>
      <c r="H33" s="18"/>
      <c r="I33" s="18"/>
    </row>
    <row r="34" spans="1:10" ht="13.8" thickBot="1" x14ac:dyDescent="0.3">
      <c r="A34" s="181" t="s">
        <v>40</v>
      </c>
      <c r="B34" s="195"/>
      <c r="C34" s="195"/>
      <c r="D34" s="185">
        <f>'Pryse + Sensatiwiteitsanalise'!D4</f>
        <v>379</v>
      </c>
      <c r="E34" s="185">
        <f>$D$34</f>
        <v>379</v>
      </c>
      <c r="F34" s="185">
        <f>$D$34</f>
        <v>379</v>
      </c>
      <c r="G34" s="185">
        <v>0</v>
      </c>
      <c r="H34" s="185">
        <v>0</v>
      </c>
      <c r="I34" s="185">
        <v>0</v>
      </c>
    </row>
    <row r="35" spans="1:10" ht="13.8" thickBot="1" x14ac:dyDescent="0.3">
      <c r="A35" s="75"/>
      <c r="B35" s="76"/>
      <c r="C35" s="76"/>
      <c r="D35" s="18"/>
      <c r="E35" s="18"/>
      <c r="F35" s="18"/>
      <c r="G35" s="18"/>
      <c r="H35" s="18"/>
      <c r="I35" s="18"/>
    </row>
    <row r="36" spans="1:10" ht="13.8" thickBot="1" x14ac:dyDescent="0.3">
      <c r="A36" s="272" t="s">
        <v>41</v>
      </c>
      <c r="B36" s="273"/>
      <c r="C36" s="274"/>
      <c r="D36" s="187">
        <f>D32+D34</f>
        <v>4704.9738861270744</v>
      </c>
      <c r="E36" s="187">
        <f>E32+E34</f>
        <v>4037.1677169113027</v>
      </c>
      <c r="F36" s="187">
        <f>F32+F34</f>
        <v>3692.9518098330232</v>
      </c>
      <c r="G36" s="187">
        <v>0</v>
      </c>
      <c r="H36" s="187">
        <v>0</v>
      </c>
      <c r="I36" s="187">
        <v>0</v>
      </c>
    </row>
    <row r="37" spans="1:10" ht="13.8" thickBot="1" x14ac:dyDescent="0.3">
      <c r="A37" s="191" t="s">
        <v>42</v>
      </c>
      <c r="B37" s="196"/>
      <c r="C37" s="197"/>
      <c r="D37" s="187">
        <f>'Pryse + Sensatiwiteitsanalise'!B4</f>
        <v>4200</v>
      </c>
      <c r="E37" s="187">
        <f>$D$37</f>
        <v>4200</v>
      </c>
      <c r="F37" s="187">
        <f>$D$37</f>
        <v>4200</v>
      </c>
      <c r="G37" s="187">
        <v>0</v>
      </c>
      <c r="H37" s="187">
        <v>0</v>
      </c>
      <c r="I37" s="187">
        <v>0</v>
      </c>
    </row>
    <row r="38" spans="1:10" ht="13.8" thickBot="1" x14ac:dyDescent="0.3"/>
    <row r="39" spans="1:10" customFormat="1" ht="14.4" x14ac:dyDescent="0.3">
      <c r="A39" s="264" t="s">
        <v>104</v>
      </c>
      <c r="B39" s="275"/>
      <c r="C39" s="276"/>
      <c r="D39" s="169">
        <f>D6-D26</f>
        <v>-72.781089016592887</v>
      </c>
      <c r="E39" s="169">
        <f>E6-E26</f>
        <v>5595.3328308869714</v>
      </c>
      <c r="F39" s="169">
        <f>F6-F26</f>
        <v>10051.588282003722</v>
      </c>
      <c r="G39" s="170"/>
      <c r="H39" s="169"/>
      <c r="I39" s="171"/>
    </row>
    <row r="40" spans="1:10" customFormat="1" ht="15" thickBot="1" x14ac:dyDescent="0.35">
      <c r="A40" s="266" t="s">
        <v>105</v>
      </c>
      <c r="B40" s="277"/>
      <c r="C40" s="278"/>
      <c r="D40" s="172">
        <f>D6-D30</f>
        <v>-4039.7910890165949</v>
      </c>
      <c r="E40" s="172">
        <f>E6-E30</f>
        <v>1628.322830886973</v>
      </c>
      <c r="F40" s="172">
        <f>F6-F30</f>
        <v>6084.5782820037202</v>
      </c>
      <c r="G40" s="173"/>
      <c r="H40" s="172"/>
      <c r="I40" s="174"/>
    </row>
    <row r="41" spans="1:10" ht="14.4" x14ac:dyDescent="0.25">
      <c r="A41" s="86" t="s">
        <v>43</v>
      </c>
      <c r="B41" s="72"/>
      <c r="C41" s="72"/>
      <c r="D41" s="72"/>
      <c r="E41" s="72"/>
      <c r="F41" s="72"/>
      <c r="G41" s="72"/>
      <c r="H41" s="71"/>
      <c r="I41" s="31"/>
      <c r="J41" s="31"/>
    </row>
    <row r="42" spans="1:10" ht="14.4" x14ac:dyDescent="0.25">
      <c r="A42" s="70" t="s">
        <v>44</v>
      </c>
      <c r="B42" s="69"/>
      <c r="C42" s="69"/>
      <c r="D42" s="69"/>
      <c r="E42" s="69"/>
      <c r="F42" s="69"/>
      <c r="G42" s="69"/>
      <c r="H42" s="68"/>
      <c r="I42" s="31"/>
      <c r="J42" s="31"/>
    </row>
    <row r="43" spans="1:10" ht="15" thickBot="1" x14ac:dyDescent="0.3">
      <c r="A43" s="67" t="s">
        <v>45</v>
      </c>
      <c r="B43" s="88"/>
      <c r="C43" s="88"/>
      <c r="D43" s="88"/>
      <c r="E43" s="88"/>
      <c r="F43" s="88"/>
      <c r="G43" s="88"/>
      <c r="H43" s="87"/>
      <c r="I43" s="31"/>
      <c r="J43" s="31"/>
    </row>
    <row r="44" spans="1:10" x14ac:dyDescent="0.25">
      <c r="A44" s="236" t="s">
        <v>46</v>
      </c>
      <c r="B44" s="237"/>
      <c r="C44" s="237"/>
      <c r="D44" s="237"/>
      <c r="E44" s="237"/>
      <c r="F44" s="237"/>
      <c r="G44" s="237"/>
      <c r="H44" s="238"/>
    </row>
    <row r="45" spans="1:10" x14ac:dyDescent="0.25">
      <c r="A45" s="239"/>
      <c r="B45" s="240"/>
      <c r="C45" s="240"/>
      <c r="D45" s="240"/>
      <c r="E45" s="240"/>
      <c r="F45" s="240"/>
      <c r="G45" s="240"/>
      <c r="H45" s="241"/>
    </row>
    <row r="46" spans="1:10" x14ac:dyDescent="0.25">
      <c r="A46" s="239"/>
      <c r="B46" s="240"/>
      <c r="C46" s="240"/>
      <c r="D46" s="240"/>
      <c r="E46" s="240"/>
      <c r="F46" s="240"/>
      <c r="G46" s="240"/>
      <c r="H46" s="241"/>
    </row>
    <row r="47" spans="1:10" ht="13.8" thickBot="1" x14ac:dyDescent="0.3">
      <c r="A47" s="242"/>
      <c r="B47" s="243"/>
      <c r="C47" s="243"/>
      <c r="D47" s="243"/>
      <c r="E47" s="243"/>
      <c r="F47" s="243"/>
      <c r="G47" s="243"/>
      <c r="H47" s="244"/>
    </row>
  </sheetData>
  <mergeCells count="12">
    <mergeCell ref="E1:G1"/>
    <mergeCell ref="A44:H47"/>
    <mergeCell ref="A1:D1"/>
    <mergeCell ref="A36:C36"/>
    <mergeCell ref="A3:C3"/>
    <mergeCell ref="A8:C8"/>
    <mergeCell ref="A26:C26"/>
    <mergeCell ref="A28:C28"/>
    <mergeCell ref="A30:C30"/>
    <mergeCell ref="A32:C32"/>
    <mergeCell ref="A39:C39"/>
    <mergeCell ref="A40:C40"/>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2" fitToHeight="0" orientation="portrait" verticalDpi="300" r:id="rId1"/>
  <headerFooter alignWithMargins="0">
    <oddHeader>&amp;F</oddHeader>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7"/>
  <sheetViews>
    <sheetView zoomScale="85" zoomScaleNormal="85" workbookViewId="0">
      <selection activeCell="C12" sqref="C12:C13"/>
    </sheetView>
  </sheetViews>
  <sheetFormatPr defaultColWidth="9.109375" defaultRowHeight="13.2" x14ac:dyDescent="0.25"/>
  <cols>
    <col min="1" max="1" width="38.88671875" customWidth="1"/>
    <col min="2" max="2" width="14.33203125" hidden="1" customWidth="1"/>
    <col min="3" max="5" width="14.33203125" customWidth="1"/>
    <col min="6" max="6" width="14.33203125" hidden="1" customWidth="1"/>
    <col min="8" max="8" width="10.88671875" bestFit="1" customWidth="1"/>
  </cols>
  <sheetData>
    <row r="1" spans="1:7" ht="14.4" x14ac:dyDescent="0.3">
      <c r="A1" s="168" t="s">
        <v>128</v>
      </c>
      <c r="B1" s="94"/>
      <c r="C1" s="94"/>
      <c r="D1" s="94"/>
      <c r="E1" s="94"/>
      <c r="F1" s="94"/>
      <c r="G1" s="95"/>
    </row>
    <row r="2" spans="1:7" ht="19.8" customHeight="1" x14ac:dyDescent="0.3">
      <c r="A2" s="224" t="s">
        <v>68</v>
      </c>
      <c r="B2" s="225" t="str">
        <f>'[4]Rent calculations'!B2</f>
        <v>Maize (conven)</v>
      </c>
      <c r="C2" s="225" t="str">
        <f>'[4]Rent calculations'!C2</f>
        <v>Maize (Bt)</v>
      </c>
      <c r="D2" s="225" t="str">
        <f>'[4]Rent calculations'!D2</f>
        <v>Sunflower</v>
      </c>
      <c r="E2" s="225" t="str">
        <f>'[4]Rent calculations'!E2</f>
        <v>Soy bean</v>
      </c>
      <c r="F2" s="199" t="str">
        <f>'[4]Rent calculations'!F2</f>
        <v>Irr-Maize</v>
      </c>
      <c r="G2" s="95"/>
    </row>
    <row r="3" spans="1:7" ht="14.4" x14ac:dyDescent="0.3">
      <c r="A3" s="200" t="s">
        <v>69</v>
      </c>
      <c r="B3" s="201"/>
      <c r="C3" s="201"/>
      <c r="D3" s="201"/>
      <c r="E3" s="201"/>
      <c r="F3" s="201"/>
      <c r="G3" s="95"/>
    </row>
    <row r="4" spans="1:7" ht="14.4" x14ac:dyDescent="0.3">
      <c r="A4" s="97" t="s">
        <v>70</v>
      </c>
      <c r="B4" s="98">
        <f>'W-Mielie '!I5</f>
        <v>6</v>
      </c>
      <c r="C4" s="98">
        <f>'W-BT Mielies'!I5</f>
        <v>6</v>
      </c>
      <c r="D4" s="98">
        <f>Sonneblom!E5</f>
        <v>1.25</v>
      </c>
      <c r="E4" s="98">
        <f>Sojabone!F5</f>
        <v>1.8</v>
      </c>
      <c r="F4" s="98">
        <f>'Bes-mielies'!E5</f>
        <v>10</v>
      </c>
      <c r="G4" s="95"/>
    </row>
    <row r="5" spans="1:7" s="101" customFormat="1" ht="14.4" x14ac:dyDescent="0.3">
      <c r="A5" s="97" t="s">
        <v>71</v>
      </c>
      <c r="B5" s="99">
        <f>'Pryse + Sensatiwiteitsanalise'!B4</f>
        <v>4200</v>
      </c>
      <c r="C5" s="99">
        <f>B5</f>
        <v>4200</v>
      </c>
      <c r="D5" s="99">
        <f>'Pryse + Sensatiwiteitsanalise'!B5</f>
        <v>9600</v>
      </c>
      <c r="E5" s="99">
        <f>'Pryse + Sensatiwiteitsanalise'!B6</f>
        <v>7400</v>
      </c>
      <c r="F5" s="99">
        <f>B5</f>
        <v>4200</v>
      </c>
      <c r="G5" s="100"/>
    </row>
    <row r="6" spans="1:7" s="101" customFormat="1" ht="14.4" x14ac:dyDescent="0.3">
      <c r="A6" s="97" t="s">
        <v>72</v>
      </c>
      <c r="B6" s="99">
        <f>'Pryse + Sensatiwiteitsanalise'!D4</f>
        <v>379</v>
      </c>
      <c r="C6" s="99">
        <f>B6</f>
        <v>379</v>
      </c>
      <c r="D6" s="99">
        <f>'Pryse + Sensatiwiteitsanalise'!D5</f>
        <v>383</v>
      </c>
      <c r="E6" s="99">
        <f>'Pryse + Sensatiwiteitsanalise'!D6</f>
        <v>179</v>
      </c>
      <c r="F6" s="99">
        <f>B6</f>
        <v>379</v>
      </c>
      <c r="G6" s="100"/>
    </row>
    <row r="7" spans="1:7" s="101" customFormat="1" ht="15" thickBot="1" x14ac:dyDescent="0.35">
      <c r="A7" s="97" t="s">
        <v>73</v>
      </c>
      <c r="B7" s="102">
        <f>B5-B6</f>
        <v>3821</v>
      </c>
      <c r="C7" s="102">
        <f>C5-C6</f>
        <v>3821</v>
      </c>
      <c r="D7" s="102">
        <f>D5-D6</f>
        <v>9217</v>
      </c>
      <c r="E7" s="102">
        <f>E5-E6</f>
        <v>7221</v>
      </c>
      <c r="F7" s="102">
        <f>F5-F6</f>
        <v>3821</v>
      </c>
      <c r="G7" s="100"/>
    </row>
    <row r="8" spans="1:7" ht="15" thickTop="1" x14ac:dyDescent="0.3">
      <c r="A8" s="103" t="s">
        <v>74</v>
      </c>
      <c r="B8" s="104">
        <f>B4*B7</f>
        <v>22926</v>
      </c>
      <c r="C8" s="104">
        <f>C4*C7</f>
        <v>22926</v>
      </c>
      <c r="D8" s="104">
        <f t="shared" ref="D8:F8" si="0">D4*D7</f>
        <v>11521.25</v>
      </c>
      <c r="E8" s="104">
        <f t="shared" si="0"/>
        <v>12997.800000000001</v>
      </c>
      <c r="F8" s="104">
        <f t="shared" si="0"/>
        <v>38210</v>
      </c>
      <c r="G8" s="95"/>
    </row>
    <row r="9" spans="1:7" ht="14.4" x14ac:dyDescent="0.3">
      <c r="A9" s="97"/>
      <c r="B9" s="106"/>
      <c r="C9" s="106"/>
      <c r="D9" s="106"/>
      <c r="E9" s="106"/>
      <c r="F9" s="106"/>
      <c r="G9" s="95"/>
    </row>
    <row r="10" spans="1:7" ht="14.4" x14ac:dyDescent="0.3">
      <c r="A10" s="200" t="s">
        <v>75</v>
      </c>
      <c r="B10" s="202"/>
      <c r="C10" s="202"/>
      <c r="D10" s="202"/>
      <c r="E10" s="202"/>
      <c r="F10" s="202"/>
      <c r="G10" s="95"/>
    </row>
    <row r="11" spans="1:7" ht="14.4" x14ac:dyDescent="0.3">
      <c r="A11" s="105" t="s">
        <v>19</v>
      </c>
      <c r="B11" s="105">
        <f>'W-Mielie '!I9</f>
        <v>2760.2999999999997</v>
      </c>
      <c r="C11" s="105">
        <f>'W-BT Mielies'!I9</f>
        <v>3348.9674999999997</v>
      </c>
      <c r="D11" s="105">
        <f>Sonneblom!E9</f>
        <v>720.20833333333337</v>
      </c>
      <c r="E11" s="105">
        <f>Sojabone!F9</f>
        <v>2110.9903199999999</v>
      </c>
      <c r="F11" s="105">
        <f>'Bes-mielies'!E9</f>
        <v>5153.25</v>
      </c>
      <c r="G11" s="95"/>
    </row>
    <row r="12" spans="1:7" ht="14.4" x14ac:dyDescent="0.3">
      <c r="A12" s="105" t="s">
        <v>20</v>
      </c>
      <c r="B12" s="105">
        <f>'W-Mielie '!I10</f>
        <v>6731.0664999999999</v>
      </c>
      <c r="C12" s="105">
        <f>'W-BT Mielies'!I10</f>
        <v>6436.5074999999997</v>
      </c>
      <c r="D12" s="105">
        <f>Sonneblom!E10</f>
        <v>1925.1886079999999</v>
      </c>
      <c r="E12" s="105">
        <f>Sojabone!F10</f>
        <v>2240.2695359999998</v>
      </c>
      <c r="F12" s="105">
        <f>'Bes-mielies'!E10</f>
        <v>9764.1075000000001</v>
      </c>
      <c r="G12" s="95"/>
    </row>
    <row r="13" spans="1:7" ht="14.4" x14ac:dyDescent="0.3">
      <c r="A13" s="105" t="s">
        <v>21</v>
      </c>
      <c r="B13" s="105">
        <f>'W-Mielie '!I11</f>
        <v>760</v>
      </c>
      <c r="C13" s="105">
        <f>'W-BT Mielies'!I11</f>
        <v>760</v>
      </c>
      <c r="D13" s="105">
        <f>Sonneblom!E11</f>
        <v>0</v>
      </c>
      <c r="E13" s="105">
        <f>Sojabone!F11</f>
        <v>0</v>
      </c>
      <c r="F13" s="105">
        <f>'Bes-mielies'!E11</f>
        <v>671.97375</v>
      </c>
      <c r="G13" s="95"/>
    </row>
    <row r="14" spans="1:7" ht="14.4" x14ac:dyDescent="0.3">
      <c r="A14" s="105" t="s">
        <v>22</v>
      </c>
      <c r="B14" s="105">
        <f>'W-Mielie '!I12</f>
        <v>1325.319</v>
      </c>
      <c r="C14" s="105">
        <f>'W-BT Mielies'!I12</f>
        <v>934.16920000000005</v>
      </c>
      <c r="D14" s="105">
        <f>Sonneblom!E12</f>
        <v>832.62591999999995</v>
      </c>
      <c r="E14" s="105">
        <f>Sojabone!F12</f>
        <v>940.49892</v>
      </c>
      <c r="F14" s="105">
        <f>'Bes-mielies'!E12</f>
        <v>1849.5936350000004</v>
      </c>
      <c r="G14" s="95"/>
    </row>
    <row r="15" spans="1:7" ht="14.4" x14ac:dyDescent="0.3">
      <c r="A15" s="105" t="s">
        <v>23</v>
      </c>
      <c r="B15" s="105">
        <f>'W-Mielie '!I13</f>
        <v>1357.345</v>
      </c>
      <c r="C15" s="105">
        <f>'W-BT Mielies'!I13</f>
        <v>1042.8869999999999</v>
      </c>
      <c r="D15" s="105">
        <f>Sonneblom!E13</f>
        <v>1156.9262000000001</v>
      </c>
      <c r="E15" s="105">
        <f>Sojabone!F13</f>
        <v>1265.3788999999999</v>
      </c>
      <c r="F15" s="105">
        <f>'Bes-mielies'!E13</f>
        <v>1271.793905</v>
      </c>
      <c r="G15" s="95"/>
    </row>
    <row r="16" spans="1:7" ht="14.4" x14ac:dyDescent="0.3">
      <c r="A16" s="105" t="s">
        <v>127</v>
      </c>
      <c r="B16" s="105">
        <f>'W-Mielie '!I14</f>
        <v>1236</v>
      </c>
      <c r="C16" s="105">
        <f>'W-BT Mielies'!I14</f>
        <v>966.47</v>
      </c>
      <c r="D16" s="105">
        <f>Sonneblom!E14+925.37</f>
        <v>1177.92</v>
      </c>
      <c r="E16" s="105">
        <f>Sojabone!F14+414.16</f>
        <v>1015.1600000000001</v>
      </c>
      <c r="F16" s="105">
        <f>'Bes-mielies'!E14</f>
        <v>1681.1262499999998</v>
      </c>
      <c r="G16" s="95"/>
    </row>
    <row r="17" spans="1:12" ht="14.4" hidden="1" x14ac:dyDescent="0.3">
      <c r="A17" s="105" t="s">
        <v>25</v>
      </c>
      <c r="B17" s="105">
        <f>'W-Mielie '!I15</f>
        <v>0</v>
      </c>
      <c r="C17" s="105">
        <f>'W-BT Mielies'!G15</f>
        <v>0</v>
      </c>
      <c r="D17" s="105"/>
      <c r="E17" s="105"/>
      <c r="F17" s="105">
        <f>'Bes-mielies'!E15</f>
        <v>2330.3529999999996</v>
      </c>
      <c r="G17" s="95"/>
    </row>
    <row r="18" spans="1:12" ht="14.4" x14ac:dyDescent="0.3">
      <c r="A18" s="105" t="s">
        <v>26</v>
      </c>
      <c r="B18" s="105">
        <f>'W-Mielie '!I16</f>
        <v>449.39699999999999</v>
      </c>
      <c r="C18" s="105">
        <f>'W-BT Mielies'!I16</f>
        <v>449.39699999999999</v>
      </c>
      <c r="D18" s="105">
        <f>Sonneblom!E16</f>
        <v>249.42119925000003</v>
      </c>
      <c r="E18" s="105">
        <f>Sojabone!F16</f>
        <v>404.16328944000003</v>
      </c>
      <c r="F18" s="105">
        <f>'Bes-mielies'!E16</f>
        <v>0</v>
      </c>
      <c r="G18" s="95"/>
    </row>
    <row r="19" spans="1:12" ht="14.4" hidden="1" x14ac:dyDescent="0.3">
      <c r="A19" s="105" t="s">
        <v>27</v>
      </c>
      <c r="B19" s="105"/>
      <c r="C19" s="105"/>
      <c r="D19" s="105">
        <v>0</v>
      </c>
      <c r="E19" s="105"/>
      <c r="F19" s="105">
        <f>'Bes-mielies'!F17</f>
        <v>3416.046390832641</v>
      </c>
      <c r="G19" s="95"/>
    </row>
    <row r="20" spans="1:12" ht="14.4" x14ac:dyDescent="0.3">
      <c r="A20" s="105" t="s">
        <v>28</v>
      </c>
      <c r="B20" s="105">
        <f>'W-Mielie '!I17</f>
        <v>1345.1359834678467</v>
      </c>
      <c r="C20" s="105">
        <f>'W-BT Mielies'!I17</f>
        <v>1289.4252000130175</v>
      </c>
      <c r="D20" s="105">
        <f>Sonneblom!E17</f>
        <v>197.35927087862189</v>
      </c>
      <c r="E20" s="105">
        <f>Sojabone!F17</f>
        <v>138.15835915045329</v>
      </c>
      <c r="F20" s="105">
        <f>'Bes-mielies'!E18</f>
        <v>3218.4828540438916</v>
      </c>
      <c r="G20" s="95"/>
    </row>
    <row r="21" spans="1:12" ht="14.4" hidden="1" x14ac:dyDescent="0.3">
      <c r="A21" s="105" t="s">
        <v>29</v>
      </c>
      <c r="B21" s="105">
        <f>'W-Mielie '!I18</f>
        <v>0</v>
      </c>
      <c r="C21" s="105">
        <f>'W-BT Mielies'!I18</f>
        <v>0</v>
      </c>
      <c r="D21" s="105">
        <v>0</v>
      </c>
      <c r="E21" s="105">
        <f>Sojabone!F18</f>
        <v>0</v>
      </c>
      <c r="F21" s="105">
        <f>'Bes-mielies'!F19</f>
        <v>0</v>
      </c>
      <c r="G21" s="95"/>
    </row>
    <row r="22" spans="1:12" ht="14.4" x14ac:dyDescent="0.3">
      <c r="A22" s="105" t="s">
        <v>30</v>
      </c>
      <c r="B22" s="105">
        <f>'W-Mielie '!I19</f>
        <v>803.46</v>
      </c>
      <c r="C22" s="105">
        <f>'W-BT Mielies'!I19</f>
        <v>845.72775000000013</v>
      </c>
      <c r="D22" s="105">
        <f>Sonneblom!E19</f>
        <v>481.16247499999997</v>
      </c>
      <c r="E22" s="105">
        <f>Sojabone!F19</f>
        <v>1064.24658</v>
      </c>
      <c r="F22" s="105">
        <f>'Bes-mielies'!E20</f>
        <v>1186.6750000000002</v>
      </c>
      <c r="G22" s="95"/>
    </row>
    <row r="23" spans="1:12" ht="14.4" hidden="1" x14ac:dyDescent="0.3">
      <c r="A23" s="105" t="s">
        <v>31</v>
      </c>
      <c r="B23" s="105">
        <f>'W-Mielie '!I20</f>
        <v>0</v>
      </c>
      <c r="C23" s="105">
        <f>'W-BT Mielies'!I20</f>
        <v>0</v>
      </c>
      <c r="D23" s="105">
        <v>0</v>
      </c>
      <c r="E23" s="105">
        <f>Sojabone!F20</f>
        <v>0</v>
      </c>
      <c r="F23" s="105">
        <f>'Bes-mielies'!F21</f>
        <v>0</v>
      </c>
      <c r="G23" s="95"/>
    </row>
    <row r="24" spans="1:12" ht="14.4" hidden="1" x14ac:dyDescent="0.3">
      <c r="A24" s="105" t="s">
        <v>32</v>
      </c>
      <c r="B24" s="105">
        <f>'W-Mielie '!I21</f>
        <v>0</v>
      </c>
      <c r="C24" s="105">
        <f>'W-BT Mielies'!I21</f>
        <v>0</v>
      </c>
      <c r="D24" s="105">
        <v>0</v>
      </c>
      <c r="E24" s="105">
        <f>Sojabone!F21</f>
        <v>0</v>
      </c>
      <c r="F24" s="105">
        <f>'Bes-mielies'!F22</f>
        <v>0</v>
      </c>
      <c r="G24" s="95"/>
    </row>
    <row r="25" spans="1:12" ht="14.4" hidden="1" x14ac:dyDescent="0.3">
      <c r="A25" s="105" t="s">
        <v>33</v>
      </c>
      <c r="B25" s="105">
        <f>'W-Mielie '!I22</f>
        <v>0</v>
      </c>
      <c r="C25" s="105">
        <f>'W-BT Mielies'!I22</f>
        <v>0</v>
      </c>
      <c r="D25" s="105">
        <v>0</v>
      </c>
      <c r="E25" s="105">
        <f>Sojabone!F22</f>
        <v>0</v>
      </c>
      <c r="F25" s="105">
        <f>'Bes-mielies'!F23</f>
        <v>276.83999999999997</v>
      </c>
      <c r="G25" s="95"/>
    </row>
    <row r="26" spans="1:12" ht="14.4" hidden="1" x14ac:dyDescent="0.3">
      <c r="A26" s="105" t="s">
        <v>34</v>
      </c>
      <c r="B26" s="105">
        <f>'W-Mielie '!I23</f>
        <v>0</v>
      </c>
      <c r="C26" s="105">
        <f>'W-BT Mielies'!I23</f>
        <v>0</v>
      </c>
      <c r="D26" s="105">
        <v>0</v>
      </c>
      <c r="E26" s="105">
        <f>Sojabone!F23</f>
        <v>0</v>
      </c>
      <c r="F26" s="105">
        <f>'Bes-mielies'!F24</f>
        <v>0</v>
      </c>
      <c r="G26" s="95"/>
    </row>
    <row r="27" spans="1:12" ht="15" thickBot="1" x14ac:dyDescent="0.35">
      <c r="A27" s="105" t="s">
        <v>35</v>
      </c>
      <c r="B27" s="107">
        <f>'W-Mielie '!I24</f>
        <v>1603.4422456066129</v>
      </c>
      <c r="C27" s="107">
        <f>'W-BT Mielies'!I24</f>
        <v>1537.0333287199949</v>
      </c>
      <c r="D27" s="107">
        <f>Sonneblom!E24</f>
        <v>429.72684191194975</v>
      </c>
      <c r="E27" s="107">
        <f>Sojabone!F24</f>
        <v>585.14250141764137</v>
      </c>
      <c r="F27" s="107">
        <f>'Bes-mielies'!E25</f>
        <v>1794.4248842364962</v>
      </c>
      <c r="G27" s="95"/>
    </row>
    <row r="28" spans="1:12" ht="15" thickTop="1" x14ac:dyDescent="0.3">
      <c r="A28" s="203" t="s">
        <v>76</v>
      </c>
      <c r="B28" s="204">
        <f>SUM(B11:B27)</f>
        <v>18371.465729074458</v>
      </c>
      <c r="C28" s="204">
        <f>SUM(C11:C27)</f>
        <v>17610.584478733013</v>
      </c>
      <c r="D28" s="204">
        <f>SUM(D11:D27)</f>
        <v>7170.5388483739061</v>
      </c>
      <c r="E28" s="204">
        <f>SUM(E11:E27)</f>
        <v>9764.0084060080953</v>
      </c>
      <c r="F28" s="204">
        <f>SUM(F11:F27)</f>
        <v>32614.667169113029</v>
      </c>
      <c r="G28" s="95"/>
    </row>
    <row r="29" spans="1:12" ht="15" thickBot="1" x14ac:dyDescent="0.35">
      <c r="A29" s="103"/>
      <c r="B29" s="109"/>
      <c r="C29" s="109"/>
      <c r="D29" s="109"/>
      <c r="E29" s="109"/>
      <c r="F29" s="109"/>
      <c r="G29" s="95"/>
    </row>
    <row r="30" spans="1:12" ht="15" thickTop="1" x14ac:dyDescent="0.3">
      <c r="A30" s="203" t="s">
        <v>77</v>
      </c>
      <c r="B30" s="204">
        <f>'W-Mielie '!I27</f>
        <v>2631.17</v>
      </c>
      <c r="C30" s="204">
        <f>'W-BT Mielies'!D27</f>
        <v>1839.63</v>
      </c>
      <c r="D30" s="204">
        <f>Sonneblom!D27</f>
        <v>1762.2800000000002</v>
      </c>
      <c r="E30" s="204">
        <f>Sojabone!D27</f>
        <v>1956.0199999999998</v>
      </c>
      <c r="F30" s="204">
        <f>'Bes-mielies'!D28</f>
        <v>3967.01</v>
      </c>
      <c r="G30" s="95"/>
      <c r="H30" s="110"/>
      <c r="I30" s="110"/>
      <c r="J30" s="110"/>
      <c r="K30" s="110"/>
      <c r="L30" s="110"/>
    </row>
    <row r="31" spans="1:12" ht="14.4" x14ac:dyDescent="0.3">
      <c r="A31" s="103"/>
      <c r="B31" s="108"/>
      <c r="C31" s="108"/>
      <c r="D31" s="108"/>
      <c r="E31" s="108"/>
      <c r="F31" s="108"/>
      <c r="G31" s="95"/>
    </row>
    <row r="32" spans="1:12" ht="15" thickBot="1" x14ac:dyDescent="0.35">
      <c r="A32" s="203" t="s">
        <v>78</v>
      </c>
      <c r="B32" s="205">
        <f>B28+B30</f>
        <v>21002.635729074456</v>
      </c>
      <c r="C32" s="205">
        <f>C28+C30</f>
        <v>19450.214478733014</v>
      </c>
      <c r="D32" s="205">
        <f>D28+D30</f>
        <v>8932.8188483739068</v>
      </c>
      <c r="E32" s="205">
        <f>E28+E30</f>
        <v>11720.028406008096</v>
      </c>
      <c r="F32" s="205">
        <f>F28+F30</f>
        <v>36581.677169113027</v>
      </c>
      <c r="G32" s="95"/>
    </row>
    <row r="33" spans="1:7" ht="15.6" thickTop="1" thickBot="1" x14ac:dyDescent="0.35">
      <c r="A33" s="96"/>
      <c r="B33" s="109"/>
      <c r="C33" s="109"/>
      <c r="D33" s="109"/>
      <c r="E33" s="109"/>
      <c r="F33" s="109"/>
      <c r="G33" s="95"/>
    </row>
    <row r="34" spans="1:7" ht="15" thickTop="1" x14ac:dyDescent="0.3">
      <c r="A34" s="111" t="s">
        <v>79</v>
      </c>
      <c r="B34" s="112">
        <f>B8-B28</f>
        <v>4554.5342709255419</v>
      </c>
      <c r="C34" s="112">
        <f>C8-C28</f>
        <v>5315.4155212669866</v>
      </c>
      <c r="D34" s="112">
        <f>D8-D28</f>
        <v>4350.7111516260939</v>
      </c>
      <c r="E34" s="112">
        <f>E8-E28</f>
        <v>3233.7915939919058</v>
      </c>
      <c r="F34" s="112">
        <f>F8-F28</f>
        <v>5595.3328308869714</v>
      </c>
      <c r="G34" s="95"/>
    </row>
    <row r="35" spans="1:7" ht="14.4" x14ac:dyDescent="0.3">
      <c r="A35" s="111" t="s">
        <v>80</v>
      </c>
      <c r="B35" s="112">
        <f>B8-B32</f>
        <v>1923.3642709255437</v>
      </c>
      <c r="C35" s="112">
        <f>C8-C32</f>
        <v>3475.7855212669856</v>
      </c>
      <c r="D35" s="112">
        <f>D8-D32</f>
        <v>2588.4311516260932</v>
      </c>
      <c r="E35" s="112">
        <f>E8-E32</f>
        <v>1277.7715939919053</v>
      </c>
      <c r="F35" s="112">
        <f>F8-F32</f>
        <v>1628.322830886973</v>
      </c>
      <c r="G35" s="95"/>
    </row>
    <row r="36" spans="1:7" ht="14.4" x14ac:dyDescent="0.3">
      <c r="A36" s="111"/>
      <c r="B36" s="112"/>
      <c r="C36" s="112"/>
      <c r="D36" s="112"/>
      <c r="E36" s="112"/>
      <c r="F36" s="112"/>
      <c r="G36" s="95"/>
    </row>
    <row r="37" spans="1:7" ht="54" customHeight="1" x14ac:dyDescent="0.25">
      <c r="A37" s="279" t="s">
        <v>81</v>
      </c>
      <c r="B37" s="280"/>
      <c r="C37" s="280"/>
      <c r="D37" s="280"/>
      <c r="E37" s="280"/>
      <c r="F37" s="281"/>
      <c r="G37" s="95"/>
    </row>
    <row r="38" spans="1:7" ht="9.75" customHeight="1" x14ac:dyDescent="0.25">
      <c r="A38" s="113"/>
      <c r="B38" s="113"/>
      <c r="C38" s="113"/>
      <c r="D38" s="113"/>
      <c r="E38" s="113"/>
      <c r="F38" s="114"/>
      <c r="G38" s="95"/>
    </row>
    <row r="39" spans="1:7" x14ac:dyDescent="0.25">
      <c r="A39" s="115"/>
      <c r="B39" s="115"/>
      <c r="C39" s="115"/>
      <c r="D39" s="115"/>
      <c r="E39" s="115"/>
      <c r="F39" s="115"/>
      <c r="G39" s="95"/>
    </row>
    <row r="40" spans="1:7" x14ac:dyDescent="0.25">
      <c r="A40" s="115"/>
      <c r="B40" s="115"/>
      <c r="C40" s="115"/>
      <c r="D40" s="115"/>
      <c r="E40" s="115"/>
      <c r="F40" s="115"/>
      <c r="G40" s="95"/>
    </row>
    <row r="41" spans="1:7" x14ac:dyDescent="0.25">
      <c r="A41" s="115"/>
      <c r="B41" s="115"/>
      <c r="C41" s="115"/>
      <c r="D41" s="115"/>
      <c r="E41" s="115"/>
      <c r="F41" s="115"/>
      <c r="G41" s="95"/>
    </row>
    <row r="42" spans="1:7" x14ac:dyDescent="0.25">
      <c r="A42" s="115"/>
      <c r="B42" s="115"/>
      <c r="C42" s="115"/>
      <c r="D42" s="115"/>
      <c r="E42" s="115"/>
      <c r="F42" s="115"/>
      <c r="G42" s="95"/>
    </row>
    <row r="43" spans="1:7" x14ac:dyDescent="0.25">
      <c r="A43" s="115"/>
      <c r="B43" s="115"/>
      <c r="C43" s="115"/>
      <c r="D43" s="115"/>
      <c r="E43" s="115"/>
      <c r="F43" s="115"/>
      <c r="G43" s="95"/>
    </row>
    <row r="44" spans="1:7" x14ac:dyDescent="0.25">
      <c r="A44" s="115"/>
      <c r="B44" s="115"/>
      <c r="C44" s="115"/>
      <c r="D44" s="115"/>
      <c r="E44" s="115"/>
      <c r="F44" s="115"/>
      <c r="G44" s="95"/>
    </row>
    <row r="45" spans="1:7" x14ac:dyDescent="0.25">
      <c r="A45" s="115"/>
      <c r="B45" s="115"/>
      <c r="C45" s="115"/>
      <c r="D45" s="115"/>
      <c r="E45" s="115"/>
      <c r="F45" s="115"/>
      <c r="G45" s="95"/>
    </row>
    <row r="46" spans="1:7" x14ac:dyDescent="0.25">
      <c r="A46" s="115"/>
      <c r="B46" s="115"/>
      <c r="C46" s="115"/>
      <c r="D46" s="115"/>
      <c r="E46" s="115"/>
      <c r="F46" s="115"/>
      <c r="G46" s="95"/>
    </row>
    <row r="47" spans="1:7" x14ac:dyDescent="0.25">
      <c r="A47" s="115"/>
      <c r="B47" s="115"/>
      <c r="C47" s="115"/>
      <c r="D47" s="115"/>
      <c r="E47" s="115"/>
      <c r="F47" s="115"/>
      <c r="G47" s="95"/>
    </row>
    <row r="48" spans="1:7" x14ac:dyDescent="0.25">
      <c r="A48" s="115"/>
      <c r="B48" s="115"/>
      <c r="C48" s="115"/>
      <c r="D48" s="115"/>
      <c r="E48" s="115"/>
      <c r="F48" s="115"/>
      <c r="G48" s="95"/>
    </row>
    <row r="49" spans="1:7" x14ac:dyDescent="0.25">
      <c r="A49" s="115"/>
      <c r="B49" s="115"/>
      <c r="C49" s="115"/>
      <c r="D49" s="115"/>
      <c r="E49" s="115"/>
      <c r="F49" s="115"/>
      <c r="G49" s="95"/>
    </row>
    <row r="50" spans="1:7" x14ac:dyDescent="0.25">
      <c r="A50" s="115"/>
      <c r="B50" s="115"/>
      <c r="C50" s="115"/>
      <c r="D50" s="115"/>
      <c r="E50" s="115"/>
      <c r="F50" s="115"/>
      <c r="G50" s="95"/>
    </row>
    <row r="51" spans="1:7" x14ac:dyDescent="0.25">
      <c r="A51" s="115"/>
      <c r="B51" s="115"/>
      <c r="C51" s="115"/>
      <c r="D51" s="115"/>
      <c r="E51" s="115"/>
      <c r="F51" s="115"/>
      <c r="G51" s="95"/>
    </row>
    <row r="52" spans="1:7" x14ac:dyDescent="0.25">
      <c r="A52" s="115"/>
      <c r="B52" s="115"/>
      <c r="C52" s="115"/>
      <c r="D52" s="115"/>
      <c r="E52" s="115"/>
      <c r="F52" s="115"/>
      <c r="G52" s="95"/>
    </row>
    <row r="53" spans="1:7" x14ac:dyDescent="0.25">
      <c r="A53" s="115"/>
      <c r="B53" s="115"/>
      <c r="C53" s="115"/>
      <c r="D53" s="115"/>
      <c r="E53" s="115"/>
      <c r="F53" s="115"/>
      <c r="G53" s="95"/>
    </row>
    <row r="54" spans="1:7" x14ac:dyDescent="0.25">
      <c r="A54" s="115"/>
      <c r="B54" s="115"/>
      <c r="C54" s="115"/>
      <c r="D54" s="115"/>
      <c r="E54" s="115"/>
      <c r="F54" s="115"/>
      <c r="G54" s="95"/>
    </row>
    <row r="55" spans="1:7" x14ac:dyDescent="0.25">
      <c r="A55" s="115"/>
      <c r="B55" s="115"/>
      <c r="C55" s="115"/>
      <c r="D55" s="115"/>
      <c r="E55" s="115"/>
      <c r="F55" s="115"/>
      <c r="G55" s="95"/>
    </row>
    <row r="56" spans="1:7" x14ac:dyDescent="0.25">
      <c r="A56" s="115"/>
      <c r="B56" s="115"/>
      <c r="C56" s="115"/>
      <c r="D56" s="115"/>
      <c r="E56" s="115"/>
      <c r="F56" s="115"/>
      <c r="G56" s="95"/>
    </row>
    <row r="57" spans="1:7" x14ac:dyDescent="0.25">
      <c r="A57" s="115"/>
      <c r="B57" s="115"/>
      <c r="C57" s="115"/>
      <c r="D57" s="115"/>
      <c r="E57" s="115"/>
      <c r="F57" s="115"/>
      <c r="G57" s="95"/>
    </row>
    <row r="58" spans="1:7" ht="14.4" x14ac:dyDescent="0.3">
      <c r="A58" s="116" t="s">
        <v>82</v>
      </c>
      <c r="B58" s="117"/>
      <c r="C58" s="117"/>
      <c r="D58" s="117"/>
      <c r="E58" s="117"/>
      <c r="F58" s="117"/>
      <c r="G58" s="95"/>
    </row>
    <row r="59" spans="1:7" ht="27" customHeight="1" thickBot="1" x14ac:dyDescent="0.35">
      <c r="A59" s="118"/>
      <c r="B59" s="119" t="str">
        <f>B2</f>
        <v>Maize (conven)</v>
      </c>
      <c r="C59" s="119" t="str">
        <f>C2</f>
        <v>Maize (Bt)</v>
      </c>
      <c r="D59" s="119" t="str">
        <f>D2</f>
        <v>Sunflower</v>
      </c>
      <c r="E59" s="119" t="str">
        <f>E2</f>
        <v>Soy bean</v>
      </c>
      <c r="F59" s="119" t="str">
        <f>F2</f>
        <v>Irr-Maize</v>
      </c>
      <c r="G59" s="95"/>
    </row>
    <row r="60" spans="1:7" ht="14.4" x14ac:dyDescent="0.3">
      <c r="A60" s="120" t="s">
        <v>71</v>
      </c>
      <c r="B60" s="121">
        <f>B5</f>
        <v>4200</v>
      </c>
      <c r="C60" s="121">
        <f>C5</f>
        <v>4200</v>
      </c>
      <c r="D60" s="121">
        <f>D5</f>
        <v>9600</v>
      </c>
      <c r="E60" s="121">
        <f>E5</f>
        <v>7400</v>
      </c>
      <c r="F60" s="121">
        <f>F5</f>
        <v>4200</v>
      </c>
      <c r="G60" s="95"/>
    </row>
    <row r="61" spans="1:7" x14ac:dyDescent="0.25">
      <c r="A61" s="122" t="s">
        <v>83</v>
      </c>
      <c r="B61" s="123">
        <f>B4</f>
        <v>6</v>
      </c>
      <c r="C61" s="123">
        <f>C4</f>
        <v>6</v>
      </c>
      <c r="D61" s="123">
        <f>D4</f>
        <v>1.25</v>
      </c>
      <c r="E61" s="123">
        <f>E4</f>
        <v>1.8</v>
      </c>
      <c r="F61" s="123">
        <f>F4</f>
        <v>10</v>
      </c>
      <c r="G61" s="95"/>
    </row>
    <row r="62" spans="1:7" x14ac:dyDescent="0.25">
      <c r="A62" s="122"/>
      <c r="B62" s="123"/>
      <c r="C62" s="123"/>
      <c r="D62" s="123"/>
      <c r="E62" s="123"/>
      <c r="F62" s="123"/>
      <c r="G62" s="95"/>
    </row>
    <row r="63" spans="1:7" ht="14.4" x14ac:dyDescent="0.3">
      <c r="A63" s="124" t="s">
        <v>69</v>
      </c>
      <c r="B63" s="125"/>
      <c r="C63" s="125"/>
      <c r="D63" s="125"/>
      <c r="E63" s="125"/>
      <c r="F63" s="125"/>
      <c r="G63" s="95"/>
    </row>
    <row r="64" spans="1:7" x14ac:dyDescent="0.25">
      <c r="A64" s="122" t="s">
        <v>84</v>
      </c>
      <c r="B64" s="121">
        <f>B7</f>
        <v>3821</v>
      </c>
      <c r="C64" s="121">
        <f>C7</f>
        <v>3821</v>
      </c>
      <c r="D64" s="121">
        <f>D7</f>
        <v>9217</v>
      </c>
      <c r="E64" s="121">
        <f>E7</f>
        <v>7221</v>
      </c>
      <c r="F64" s="121">
        <f>F7</f>
        <v>3821</v>
      </c>
      <c r="G64" s="95"/>
    </row>
    <row r="65" spans="1:7" x14ac:dyDescent="0.25">
      <c r="A65" s="122" t="s">
        <v>85</v>
      </c>
      <c r="B65" s="121">
        <f>B64/B61</f>
        <v>636.83333333333337</v>
      </c>
      <c r="C65" s="121">
        <f>C64/C61</f>
        <v>636.83333333333337</v>
      </c>
      <c r="D65" s="121">
        <f>D64/D61</f>
        <v>7373.6</v>
      </c>
      <c r="E65" s="121">
        <f>E64/E61</f>
        <v>4011.6666666666665</v>
      </c>
      <c r="F65" s="121">
        <f>F64/F61</f>
        <v>382.1</v>
      </c>
      <c r="G65" s="95"/>
    </row>
    <row r="66" spans="1:7" x14ac:dyDescent="0.25">
      <c r="A66" s="122"/>
      <c r="B66" s="121"/>
      <c r="C66" s="121"/>
      <c r="D66" s="121"/>
      <c r="E66" s="121"/>
      <c r="F66" s="121"/>
      <c r="G66" s="95"/>
    </row>
    <row r="67" spans="1:7" ht="14.4" x14ac:dyDescent="0.3">
      <c r="A67" s="129" t="s">
        <v>94</v>
      </c>
      <c r="B67" s="125"/>
      <c r="C67" s="125"/>
      <c r="D67" s="125"/>
      <c r="E67" s="125"/>
      <c r="F67" s="125"/>
      <c r="G67" s="95"/>
    </row>
    <row r="68" spans="1:7" x14ac:dyDescent="0.25">
      <c r="A68" s="133" t="s">
        <v>95</v>
      </c>
      <c r="B68" s="121">
        <f>B28</f>
        <v>18371.465729074458</v>
      </c>
      <c r="C68" s="121">
        <f>C28</f>
        <v>17610.584478733013</v>
      </c>
      <c r="D68" s="121">
        <f>D28</f>
        <v>7170.5388483739061</v>
      </c>
      <c r="E68" s="121">
        <f>E28</f>
        <v>9764.0084060080953</v>
      </c>
      <c r="F68" s="121">
        <f>F28</f>
        <v>32614.667169113029</v>
      </c>
      <c r="G68" s="95"/>
    </row>
    <row r="69" spans="1:7" x14ac:dyDescent="0.25">
      <c r="A69" s="133" t="s">
        <v>96</v>
      </c>
      <c r="B69" s="121">
        <f>B68/B61</f>
        <v>3061.9109548457432</v>
      </c>
      <c r="C69" s="121">
        <f>C68/C61</f>
        <v>2935.0974131221687</v>
      </c>
      <c r="D69" s="121">
        <f>D68/D61</f>
        <v>5736.4310786991246</v>
      </c>
      <c r="E69" s="121">
        <f>E68/E61</f>
        <v>5424.4491144489421</v>
      </c>
      <c r="F69" s="121">
        <f>F68/F61</f>
        <v>3261.4667169113027</v>
      </c>
      <c r="G69" s="95"/>
    </row>
    <row r="70" spans="1:7" x14ac:dyDescent="0.25">
      <c r="A70" s="122"/>
      <c r="B70" s="121"/>
      <c r="C70" s="121"/>
      <c r="D70" s="121"/>
      <c r="E70" s="121"/>
      <c r="F70" s="121"/>
      <c r="G70" s="95"/>
    </row>
    <row r="71" spans="1:7" x14ac:dyDescent="0.25">
      <c r="A71" s="122" t="s">
        <v>86</v>
      </c>
      <c r="B71" s="121">
        <f>B32</f>
        <v>21002.635729074456</v>
      </c>
      <c r="C71" s="121">
        <f>C32</f>
        <v>19450.214478733014</v>
      </c>
      <c r="D71" s="121">
        <f>D32</f>
        <v>8932.8188483739068</v>
      </c>
      <c r="E71" s="121">
        <f>E32</f>
        <v>11720.028406008096</v>
      </c>
      <c r="F71" s="121">
        <f>F32</f>
        <v>36581.677169113027</v>
      </c>
      <c r="G71" s="95"/>
    </row>
    <row r="72" spans="1:7" x14ac:dyDescent="0.25">
      <c r="A72" s="122" t="s">
        <v>87</v>
      </c>
      <c r="B72" s="121">
        <f>B71/B61</f>
        <v>3500.4392881790759</v>
      </c>
      <c r="C72" s="121">
        <f>C71/C61</f>
        <v>3241.7024131221692</v>
      </c>
      <c r="D72" s="121">
        <f>D71/D61</f>
        <v>7146.2550786991251</v>
      </c>
      <c r="E72" s="121">
        <f>E71/E61</f>
        <v>6511.12689222672</v>
      </c>
      <c r="F72" s="121">
        <f>F71/F61</f>
        <v>3658.1677169113027</v>
      </c>
      <c r="G72" s="95"/>
    </row>
    <row r="73" spans="1:7" x14ac:dyDescent="0.25">
      <c r="A73" s="122"/>
      <c r="B73" s="121"/>
      <c r="C73" s="121"/>
      <c r="D73" s="121"/>
      <c r="E73" s="121"/>
      <c r="F73" s="121"/>
      <c r="G73" s="95"/>
    </row>
    <row r="74" spans="1:7" x14ac:dyDescent="0.25">
      <c r="A74" s="130" t="s">
        <v>97</v>
      </c>
      <c r="B74" s="126"/>
      <c r="C74" s="126"/>
      <c r="D74" s="126"/>
      <c r="E74" s="126"/>
      <c r="F74" s="126"/>
      <c r="G74" s="95"/>
    </row>
    <row r="75" spans="1:7" x14ac:dyDescent="0.25">
      <c r="A75" s="133" t="s">
        <v>98</v>
      </c>
      <c r="B75" s="121">
        <f>B34</f>
        <v>4554.5342709255419</v>
      </c>
      <c r="C75" s="121">
        <f>C34</f>
        <v>5315.4155212669866</v>
      </c>
      <c r="D75" s="121">
        <f>D34</f>
        <v>4350.7111516260939</v>
      </c>
      <c r="E75" s="121">
        <f>E34</f>
        <v>3233.7915939919058</v>
      </c>
      <c r="F75" s="121">
        <f>F34</f>
        <v>5595.3328308869714</v>
      </c>
      <c r="G75" s="95"/>
    </row>
    <row r="76" spans="1:7" x14ac:dyDescent="0.25">
      <c r="A76" s="133" t="s">
        <v>99</v>
      </c>
      <c r="B76" s="121">
        <f>B75/B61</f>
        <v>759.08904515425695</v>
      </c>
      <c r="C76" s="121">
        <f>C75/C61</f>
        <v>885.90258687783114</v>
      </c>
      <c r="D76" s="121">
        <f>D75/D61</f>
        <v>3480.568921300875</v>
      </c>
      <c r="E76" s="121">
        <f>E75/E61</f>
        <v>1796.5508855510586</v>
      </c>
      <c r="F76" s="121">
        <f>F75/F61</f>
        <v>559.53328308869709</v>
      </c>
      <c r="G76" s="95"/>
    </row>
    <row r="77" spans="1:7" x14ac:dyDescent="0.25">
      <c r="A77" s="122"/>
      <c r="B77" s="121"/>
      <c r="C77" s="121"/>
      <c r="D77" s="121"/>
      <c r="E77" s="121"/>
      <c r="F77" s="121"/>
      <c r="G77" s="95"/>
    </row>
    <row r="78" spans="1:7" x14ac:dyDescent="0.25">
      <c r="A78" s="122" t="s">
        <v>88</v>
      </c>
      <c r="B78" s="121">
        <f>B35</f>
        <v>1923.3642709255437</v>
      </c>
      <c r="C78" s="121">
        <f>C35</f>
        <v>3475.7855212669856</v>
      </c>
      <c r="D78" s="121">
        <f>D35</f>
        <v>2588.4311516260932</v>
      </c>
      <c r="E78" s="121">
        <f>E35</f>
        <v>1277.7715939919053</v>
      </c>
      <c r="F78" s="121">
        <f>F35</f>
        <v>1628.322830886973</v>
      </c>
      <c r="G78" s="95"/>
    </row>
    <row r="79" spans="1:7" x14ac:dyDescent="0.25">
      <c r="A79" s="122" t="s">
        <v>89</v>
      </c>
      <c r="B79" s="121">
        <f>B78/B4</f>
        <v>320.56071182092393</v>
      </c>
      <c r="C79" s="121">
        <f>C78/C4</f>
        <v>579.29758687783089</v>
      </c>
      <c r="D79" s="121">
        <f>D78/D4</f>
        <v>2070.7449213008745</v>
      </c>
      <c r="E79" s="121">
        <f>E78/E4</f>
        <v>709.87310777328071</v>
      </c>
      <c r="F79" s="121">
        <f>F78/F4</f>
        <v>162.8322830886973</v>
      </c>
      <c r="G79" s="95"/>
    </row>
    <row r="80" spans="1:7" x14ac:dyDescent="0.25">
      <c r="A80" s="122"/>
      <c r="B80" s="121"/>
      <c r="C80" s="121"/>
      <c r="D80" s="121"/>
      <c r="E80" s="121"/>
      <c r="F80" s="121"/>
      <c r="G80" s="95"/>
    </row>
    <row r="81" spans="1:7" ht="14.4" x14ac:dyDescent="0.3">
      <c r="A81" s="132" t="s">
        <v>92</v>
      </c>
      <c r="B81" s="126"/>
      <c r="C81" s="126"/>
      <c r="D81" s="126"/>
      <c r="E81" s="126"/>
      <c r="F81" s="126"/>
      <c r="G81" s="95"/>
    </row>
    <row r="82" spans="1:7" ht="13.8" thickBot="1" x14ac:dyDescent="0.3">
      <c r="A82" s="133" t="s">
        <v>90</v>
      </c>
      <c r="B82" s="127">
        <f>B68/B64</f>
        <v>4.808025576831839</v>
      </c>
      <c r="C82" s="127">
        <f>C68/C64</f>
        <v>4.6088941320944814</v>
      </c>
      <c r="D82" s="127">
        <f t="shared" ref="D82:E82" si="1">D68/D64</f>
        <v>0.77796884543494693</v>
      </c>
      <c r="E82" s="127">
        <f t="shared" si="1"/>
        <v>1.3521684539548671</v>
      </c>
      <c r="F82" s="127">
        <f>F68/F61</f>
        <v>3261.4667169113027</v>
      </c>
      <c r="G82" s="95"/>
    </row>
    <row r="83" spans="1:7" ht="14.4" thickTop="1" thickBot="1" x14ac:dyDescent="0.3">
      <c r="A83" s="133" t="s">
        <v>91</v>
      </c>
      <c r="B83" s="128">
        <f>B69+B6</f>
        <v>3440.9109548457432</v>
      </c>
      <c r="C83" s="128">
        <f>C69+C6</f>
        <v>3314.0974131221687</v>
      </c>
      <c r="D83" s="128">
        <f>D69+D6</f>
        <v>6119.4310786991246</v>
      </c>
      <c r="E83" s="128">
        <f>E69+E6</f>
        <v>5603.4491144489421</v>
      </c>
      <c r="F83" s="128">
        <f>F69+F6</f>
        <v>3640.4667169113027</v>
      </c>
      <c r="G83" s="95"/>
    </row>
    <row r="84" spans="1:7" ht="15.6" thickTop="1" thickBot="1" x14ac:dyDescent="0.35">
      <c r="A84" s="132" t="s">
        <v>93</v>
      </c>
      <c r="B84" s="131"/>
      <c r="C84" s="131"/>
      <c r="D84" s="131"/>
      <c r="E84" s="131"/>
      <c r="F84" s="131"/>
      <c r="G84" s="95"/>
    </row>
    <row r="85" spans="1:7" ht="14.4" thickTop="1" thickBot="1" x14ac:dyDescent="0.3">
      <c r="A85" s="122" t="s">
        <v>90</v>
      </c>
      <c r="B85" s="127">
        <f>B71/B64</f>
        <v>5.4966332711526968</v>
      </c>
      <c r="C85" s="127">
        <f>C71/C64</f>
        <v>5.0903466314402026</v>
      </c>
      <c r="D85" s="127">
        <f>D71/D64</f>
        <v>0.96916771708515859</v>
      </c>
      <c r="E85" s="127">
        <f>E71/E64</f>
        <v>1.6230478335421819</v>
      </c>
      <c r="F85" s="127">
        <f>F71/F64</f>
        <v>9.5738490366692037</v>
      </c>
      <c r="G85" s="95"/>
    </row>
    <row r="86" spans="1:7" ht="14.4" thickTop="1" thickBot="1" x14ac:dyDescent="0.3">
      <c r="A86" s="122" t="s">
        <v>91</v>
      </c>
      <c r="B86" s="128">
        <f>B72+B6</f>
        <v>3879.4392881790759</v>
      </c>
      <c r="C86" s="128">
        <f>C72+C6</f>
        <v>3620.7024131221692</v>
      </c>
      <c r="D86" s="128">
        <f>D72+D6</f>
        <v>7529.2550786991251</v>
      </c>
      <c r="E86" s="128">
        <f>E72+E6</f>
        <v>6690.12689222672</v>
      </c>
      <c r="F86" s="128">
        <f>F72+F6</f>
        <v>4037.1677169113027</v>
      </c>
      <c r="G86" s="95"/>
    </row>
    <row r="87" spans="1:7" ht="13.8" thickTop="1" x14ac:dyDescent="0.25"/>
  </sheetData>
  <mergeCells count="1">
    <mergeCell ref="A37:F37"/>
  </mergeCells>
  <conditionalFormatting sqref="B35:E36 F35 B34:F34">
    <cfRule type="colorScale" priority="2">
      <colorScale>
        <cfvo type="min"/>
        <cfvo type="percentile" val="50"/>
        <cfvo type="max"/>
        <color rgb="FFF8696B"/>
        <color rgb="FFFFEB84"/>
        <color rgb="FF63BE7B"/>
      </colorScale>
    </cfRule>
  </conditionalFormatting>
  <conditionalFormatting sqref="B34:F36">
    <cfRule type="colorScale" priority="4">
      <colorScale>
        <cfvo type="min"/>
        <cfvo type="percentile" val="50"/>
        <cfvo type="max"/>
        <color rgb="FFF8696B"/>
        <color rgb="FFFFEB84"/>
        <color rgb="FF63BE7B"/>
      </colorScale>
    </cfRule>
  </conditionalFormatting>
  <conditionalFormatting sqref="F34:F36">
    <cfRule type="colorScale" priority="3">
      <colorScale>
        <cfvo type="min"/>
        <cfvo type="percentile" val="50"/>
        <cfvo type="max"/>
        <color rgb="FFF8696B"/>
        <color rgb="FFFFEB84"/>
        <color rgb="FF63BE7B"/>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BD75F-79E7-429D-BF9B-90C254243D8B}">
  <dimension ref="A1:F59"/>
  <sheetViews>
    <sheetView tabSelected="1" zoomScale="66" zoomScaleNormal="100" zoomScaleSheetLayoutView="70" workbookViewId="0">
      <selection activeCell="AC20" sqref="AC20"/>
    </sheetView>
  </sheetViews>
  <sheetFormatPr defaultColWidth="9.109375" defaultRowHeight="14.4" x14ac:dyDescent="0.3"/>
  <cols>
    <col min="1" max="1" width="17.6640625" style="208" bestFit="1" customWidth="1"/>
    <col min="2" max="2" width="17.6640625" style="208" customWidth="1"/>
    <col min="3" max="16384" width="9.109375" style="208"/>
  </cols>
  <sheetData>
    <row r="1" spans="1:6" x14ac:dyDescent="0.3">
      <c r="A1" s="282" t="s">
        <v>106</v>
      </c>
      <c r="B1" s="283"/>
      <c r="C1" s="284"/>
      <c r="D1" s="282" t="s">
        <v>107</v>
      </c>
      <c r="E1" s="283"/>
      <c r="F1" s="284"/>
    </row>
    <row r="2" spans="1:6" x14ac:dyDescent="0.3">
      <c r="A2" s="209" t="s">
        <v>108</v>
      </c>
      <c r="B2" s="208">
        <v>0</v>
      </c>
      <c r="C2" s="210">
        <v>0</v>
      </c>
      <c r="D2" s="208" t="s">
        <v>109</v>
      </c>
      <c r="F2" s="211">
        <f>((B4+B3+F7)/B7)*100</f>
        <v>54.101104315265516</v>
      </c>
    </row>
    <row r="3" spans="1:6" x14ac:dyDescent="0.3">
      <c r="A3" s="209" t="s">
        <v>110</v>
      </c>
      <c r="B3" s="212">
        <f>'Crop Comparison'!C28</f>
        <v>17610.584478733013</v>
      </c>
      <c r="C3" s="211">
        <f>B3/$B$7*100</f>
        <v>41.557710369743113</v>
      </c>
      <c r="D3" s="208" t="s">
        <v>107</v>
      </c>
      <c r="F3" s="210">
        <v>1</v>
      </c>
    </row>
    <row r="4" spans="1:6" x14ac:dyDescent="0.3">
      <c r="A4" s="209" t="s">
        <v>111</v>
      </c>
      <c r="B4" s="212">
        <f>'Crop Comparison'!C30</f>
        <v>1839.63</v>
      </c>
      <c r="C4" s="211">
        <f>B4/$B$7*100</f>
        <v>4.3411853149913595</v>
      </c>
      <c r="D4" s="208" t="s">
        <v>112</v>
      </c>
      <c r="F4" s="211">
        <f>C7-F3-F2</f>
        <v>144.8988956847345</v>
      </c>
    </row>
    <row r="5" spans="1:6" x14ac:dyDescent="0.3">
      <c r="A5" s="209" t="s">
        <v>113</v>
      </c>
      <c r="B5" s="212">
        <f>'Crop Comparison'!C8</f>
        <v>22926</v>
      </c>
      <c r="C5" s="211">
        <f>B5/$B$7*100</f>
        <v>54.101104315265516</v>
      </c>
      <c r="D5" s="209"/>
      <c r="F5" s="210"/>
    </row>
    <row r="6" spans="1:6" x14ac:dyDescent="0.3">
      <c r="A6" s="209" t="s">
        <v>114</v>
      </c>
      <c r="C6" s="210">
        <v>100</v>
      </c>
      <c r="D6" s="209"/>
      <c r="F6" s="210"/>
    </row>
    <row r="7" spans="1:6" ht="15" thickBot="1" x14ac:dyDescent="0.35">
      <c r="A7" s="213" t="s">
        <v>115</v>
      </c>
      <c r="B7" s="214">
        <f>SUM(B3:B5)</f>
        <v>42376.214478733018</v>
      </c>
      <c r="C7" s="215">
        <f>SUM(C2:C6)</f>
        <v>200</v>
      </c>
      <c r="D7" s="213" t="s">
        <v>116</v>
      </c>
      <c r="E7" s="216"/>
      <c r="F7" s="217">
        <f>B5-(B3+B4)</f>
        <v>3475.7855212669856</v>
      </c>
    </row>
    <row r="17" spans="1:6" ht="15" thickBot="1" x14ac:dyDescent="0.35"/>
    <row r="18" spans="1:6" x14ac:dyDescent="0.3">
      <c r="A18" s="282" t="s">
        <v>117</v>
      </c>
      <c r="B18" s="283"/>
      <c r="C18" s="284"/>
      <c r="D18" s="282" t="s">
        <v>107</v>
      </c>
      <c r="E18" s="283"/>
      <c r="F18" s="284"/>
    </row>
    <row r="19" spans="1:6" x14ac:dyDescent="0.3">
      <c r="A19" s="209" t="s">
        <v>108</v>
      </c>
      <c r="B19" s="208">
        <v>0</v>
      </c>
      <c r="C19" s="210">
        <v>0</v>
      </c>
      <c r="D19" s="208" t="s">
        <v>109</v>
      </c>
      <c r="F19" s="211">
        <f>((B21+B20+F24)/B24)*100</f>
        <v>56.3274235821101</v>
      </c>
    </row>
    <row r="20" spans="1:6" x14ac:dyDescent="0.3">
      <c r="A20" s="209" t="s">
        <v>110</v>
      </c>
      <c r="B20" s="212">
        <f>'Crop Comparison'!D28</f>
        <v>7170.5388483739061</v>
      </c>
      <c r="C20" s="211">
        <f>B20/$B$24*100</f>
        <v>35.05678455239952</v>
      </c>
      <c r="D20" s="208" t="s">
        <v>107</v>
      </c>
      <c r="F20" s="210">
        <v>1</v>
      </c>
    </row>
    <row r="21" spans="1:6" x14ac:dyDescent="0.3">
      <c r="A21" s="209" t="s">
        <v>111</v>
      </c>
      <c r="B21" s="212">
        <f>'Crop Comparison'!D30</f>
        <v>1762.2800000000002</v>
      </c>
      <c r="C21" s="211">
        <f>B21/$B$24*100</f>
        <v>8.6157918654903778</v>
      </c>
      <c r="D21" s="208" t="s">
        <v>112</v>
      </c>
      <c r="F21" s="211">
        <f>C24-F20-F19</f>
        <v>142.6725764178899</v>
      </c>
    </row>
    <row r="22" spans="1:6" x14ac:dyDescent="0.3">
      <c r="A22" s="209" t="s">
        <v>113</v>
      </c>
      <c r="B22" s="212">
        <f>'Crop Comparison'!D8</f>
        <v>11521.25</v>
      </c>
      <c r="C22" s="211">
        <f t="shared" ref="C22" si="0">B22/$B$24*100</f>
        <v>56.3274235821101</v>
      </c>
      <c r="D22" s="209"/>
      <c r="F22" s="210"/>
    </row>
    <row r="23" spans="1:6" x14ac:dyDescent="0.3">
      <c r="A23" s="209" t="s">
        <v>114</v>
      </c>
      <c r="C23" s="210">
        <v>100</v>
      </c>
      <c r="D23" s="209"/>
      <c r="F23" s="210"/>
    </row>
    <row r="24" spans="1:6" ht="15" thickBot="1" x14ac:dyDescent="0.35">
      <c r="A24" s="213" t="s">
        <v>115</v>
      </c>
      <c r="B24" s="214">
        <f>SUM(B20:B22)</f>
        <v>20454.068848373907</v>
      </c>
      <c r="C24" s="215">
        <f>SUM(C19:C23)</f>
        <v>200</v>
      </c>
      <c r="D24" s="213" t="s">
        <v>116</v>
      </c>
      <c r="E24" s="216"/>
      <c r="F24" s="217">
        <f>B22-(B20+B21)</f>
        <v>2588.4311516260932</v>
      </c>
    </row>
    <row r="34" spans="1:6" ht="15" thickBot="1" x14ac:dyDescent="0.35"/>
    <row r="35" spans="1:6" x14ac:dyDescent="0.3">
      <c r="A35" s="282" t="s">
        <v>118</v>
      </c>
      <c r="B35" s="283"/>
      <c r="C35" s="284"/>
      <c r="D35" s="282" t="s">
        <v>107</v>
      </c>
      <c r="E35" s="283"/>
      <c r="F35" s="284"/>
    </row>
    <row r="36" spans="1:6" x14ac:dyDescent="0.3">
      <c r="A36" s="209" t="s">
        <v>108</v>
      </c>
      <c r="B36" s="208">
        <v>0</v>
      </c>
      <c r="C36" s="210">
        <v>0</v>
      </c>
      <c r="D36" s="208" t="s">
        <v>109</v>
      </c>
      <c r="F36" s="211">
        <f>((B38+B37+F41)/B41)*100</f>
        <v>52.584716531330308</v>
      </c>
    </row>
    <row r="37" spans="1:6" x14ac:dyDescent="0.3">
      <c r="A37" s="209" t="s">
        <v>110</v>
      </c>
      <c r="B37" s="212">
        <f>'Crop Comparison'!E28</f>
        <v>9764.0084060080953</v>
      </c>
      <c r="C37" s="211">
        <f>B37/$B$41*100</f>
        <v>39.501886029902138</v>
      </c>
      <c r="D37" s="208" t="s">
        <v>107</v>
      </c>
      <c r="F37" s="210">
        <v>1</v>
      </c>
    </row>
    <row r="38" spans="1:6" x14ac:dyDescent="0.3">
      <c r="A38" s="209" t="s">
        <v>111</v>
      </c>
      <c r="B38" s="212">
        <f>'Crop Comparison'!E30</f>
        <v>1956.0199999999998</v>
      </c>
      <c r="C38" s="211">
        <f>B38/$B$41*100</f>
        <v>7.9133974387675377</v>
      </c>
      <c r="D38" s="208" t="s">
        <v>112</v>
      </c>
      <c r="F38" s="211">
        <f>C41-F37-F36</f>
        <v>146.41528346866968</v>
      </c>
    </row>
    <row r="39" spans="1:6" x14ac:dyDescent="0.3">
      <c r="A39" s="209" t="s">
        <v>113</v>
      </c>
      <c r="B39" s="212">
        <f>'Crop Comparison'!E8</f>
        <v>12997.800000000001</v>
      </c>
      <c r="C39" s="211">
        <f t="shared" ref="C39" si="1">B39/$B$41*100</f>
        <v>52.584716531330308</v>
      </c>
      <c r="D39" s="209"/>
      <c r="F39" s="210"/>
    </row>
    <row r="40" spans="1:6" x14ac:dyDescent="0.3">
      <c r="A40" s="209" t="s">
        <v>114</v>
      </c>
      <c r="C40" s="210">
        <v>100</v>
      </c>
      <c r="D40" s="209"/>
      <c r="F40" s="210"/>
    </row>
    <row r="41" spans="1:6" ht="15" thickBot="1" x14ac:dyDescent="0.35">
      <c r="A41" s="213" t="s">
        <v>115</v>
      </c>
      <c r="B41" s="214">
        <f>SUM(B37:B39)</f>
        <v>24717.828406008099</v>
      </c>
      <c r="C41" s="215">
        <f>SUM(C36:C40)</f>
        <v>200</v>
      </c>
      <c r="D41" s="213" t="s">
        <v>116</v>
      </c>
      <c r="E41" s="216"/>
      <c r="F41" s="217">
        <f>B39-(B37+B38)</f>
        <v>1277.7715939919053</v>
      </c>
    </row>
    <row r="52" spans="1:6" ht="15" thickBot="1" x14ac:dyDescent="0.35"/>
    <row r="53" spans="1:6" x14ac:dyDescent="0.3">
      <c r="A53" s="282" t="s">
        <v>119</v>
      </c>
      <c r="B53" s="283"/>
      <c r="C53" s="284"/>
      <c r="D53" s="282" t="s">
        <v>107</v>
      </c>
      <c r="E53" s="283"/>
      <c r="F53" s="284"/>
    </row>
    <row r="54" spans="1:6" x14ac:dyDescent="0.3">
      <c r="A54" s="209" t="s">
        <v>108</v>
      </c>
      <c r="B54" s="208">
        <v>0</v>
      </c>
      <c r="C54" s="210">
        <v>0</v>
      </c>
      <c r="D54" s="208" t="s">
        <v>109</v>
      </c>
      <c r="F54" s="211">
        <f>((B56+B55+F59)/B59)*100</f>
        <v>61.324908196803854</v>
      </c>
    </row>
    <row r="55" spans="1:6" x14ac:dyDescent="0.3">
      <c r="A55" s="209" t="s">
        <v>110</v>
      </c>
      <c r="B55" s="212">
        <f>'[5]Crop Comparison'!F28</f>
        <v>8687.7382671231608</v>
      </c>
      <c r="C55" s="211">
        <f>B55/$B$59*100</f>
        <v>30.955479151077075</v>
      </c>
      <c r="D55" s="208" t="s">
        <v>107</v>
      </c>
      <c r="F55" s="210">
        <v>1</v>
      </c>
    </row>
    <row r="56" spans="1:6" x14ac:dyDescent="0.3">
      <c r="A56" s="209" t="s">
        <v>111</v>
      </c>
      <c r="B56" s="212">
        <f>'[5]Crop Comparison'!F30</f>
        <v>2166.5299999999997</v>
      </c>
      <c r="C56" s="211">
        <f t="shared" ref="C56:C57" si="2">B56/$B$59*100</f>
        <v>7.7196126521190758</v>
      </c>
      <c r="D56" s="208" t="s">
        <v>112</v>
      </c>
      <c r="F56" s="211">
        <f>C59-F55-F54</f>
        <v>137.67509180319615</v>
      </c>
    </row>
    <row r="57" spans="1:6" x14ac:dyDescent="0.3">
      <c r="A57" s="209" t="s">
        <v>113</v>
      </c>
      <c r="B57" s="212">
        <f>'[5]Crop Comparison'!F8</f>
        <v>17211</v>
      </c>
      <c r="C57" s="211">
        <f t="shared" si="2"/>
        <v>61.324908196803854</v>
      </c>
      <c r="D57" s="209"/>
      <c r="F57" s="210"/>
    </row>
    <row r="58" spans="1:6" x14ac:dyDescent="0.3">
      <c r="A58" s="209" t="s">
        <v>114</v>
      </c>
      <c r="C58" s="211">
        <v>100</v>
      </c>
      <c r="D58" s="209"/>
      <c r="F58" s="210"/>
    </row>
    <row r="59" spans="1:6" ht="15" thickBot="1" x14ac:dyDescent="0.35">
      <c r="A59" s="213" t="s">
        <v>115</v>
      </c>
      <c r="B59" s="214">
        <f>SUM(B55:B57)</f>
        <v>28065.26826712316</v>
      </c>
      <c r="C59" s="215">
        <f>SUM(C54:C58)</f>
        <v>200</v>
      </c>
      <c r="D59" s="213" t="s">
        <v>116</v>
      </c>
      <c r="E59" s="216"/>
      <c r="F59" s="217">
        <f>B57-(B55+B56)</f>
        <v>6356.7317328768404</v>
      </c>
    </row>
  </sheetData>
  <mergeCells count="8">
    <mergeCell ref="A53:C53"/>
    <mergeCell ref="D53:F53"/>
    <mergeCell ref="A1:C1"/>
    <mergeCell ref="D1:F1"/>
    <mergeCell ref="A18:C18"/>
    <mergeCell ref="D18:F18"/>
    <mergeCell ref="A35:C35"/>
    <mergeCell ref="D35:F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d7b95ce-97cf-4a61-8884-fde260c16070" xsi:nil="true"/>
    <lcf76f155ced4ddcb4097134ff3c332f xmlns="25435354-646d-4f90-a923-d4d04749ea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D8EB078C1C8474F8AAD7AD9366D8E54" ma:contentTypeVersion="19" ma:contentTypeDescription="Create a new document." ma:contentTypeScope="" ma:versionID="f067c3b21b4b898d5ec7e227a0bb26eb">
  <xsd:schema xmlns:xsd="http://www.w3.org/2001/XMLSchema" xmlns:xs="http://www.w3.org/2001/XMLSchema" xmlns:p="http://schemas.microsoft.com/office/2006/metadata/properties" xmlns:ns2="25435354-646d-4f90-a923-d4d04749eaf7" xmlns:ns3="5d7b95ce-97cf-4a61-8884-fde260c16070" targetNamespace="http://schemas.microsoft.com/office/2006/metadata/properties" ma:root="true" ma:fieldsID="58b85da5961b648019cc234b526c8ef2" ns2:_="" ns3:_="">
    <xsd:import namespace="25435354-646d-4f90-a923-d4d04749eaf7"/>
    <xsd:import namespace="5d7b95ce-97cf-4a61-8884-fde260c16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35354-646d-4f90-a923-d4d04749e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362023-a8c1-4b5e-9a31-595cfc7316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b95ce-97cf-4a61-8884-fde260c160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09ad402-32d3-4889-bd98-4915c3de7cc5}" ma:internalName="TaxCatchAll" ma:showField="CatchAllData" ma:web="5d7b95ce-97cf-4a61-8884-fde260c16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865E6-27F2-4E3D-ACA8-C103D8C77A0A}">
  <ds:schemaRefs>
    <ds:schemaRef ds:uri="http://schemas.microsoft.com/office/2006/metadata/longProperties"/>
  </ds:schemaRefs>
</ds:datastoreItem>
</file>

<file path=customXml/itemProps2.xml><?xml version="1.0" encoding="utf-8"?>
<ds:datastoreItem xmlns:ds="http://schemas.openxmlformats.org/officeDocument/2006/customXml" ds:itemID="{DF120CE1-E821-4E50-85D5-869D05A31809}">
  <ds:schemaRefs>
    <ds:schemaRef ds:uri="http://schemas.microsoft.com/office/2006/metadata/properties"/>
    <ds:schemaRef ds:uri="http://schemas.microsoft.com/office/infopath/2007/PartnerControls"/>
    <ds:schemaRef ds:uri="5d7b95ce-97cf-4a61-8884-fde260c16070"/>
    <ds:schemaRef ds:uri="25435354-646d-4f90-a923-d4d04749eaf7"/>
  </ds:schemaRefs>
</ds:datastoreItem>
</file>

<file path=customXml/itemProps3.xml><?xml version="1.0" encoding="utf-8"?>
<ds:datastoreItem xmlns:ds="http://schemas.openxmlformats.org/officeDocument/2006/customXml" ds:itemID="{804E2444-D0F4-4D0E-9519-F571725A922C}">
  <ds:schemaRefs>
    <ds:schemaRef ds:uri="http://schemas.microsoft.com/sharepoint/v3/contenttype/forms"/>
  </ds:schemaRefs>
</ds:datastoreItem>
</file>

<file path=customXml/itemProps4.xml><?xml version="1.0" encoding="utf-8"?>
<ds:datastoreItem xmlns:ds="http://schemas.openxmlformats.org/officeDocument/2006/customXml" ds:itemID="{5348CF32-674C-4B20-A341-01ECF0E17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35354-646d-4f90-a923-d4d04749eaf7"/>
    <ds:schemaRef ds:uri="5d7b95ce-97cf-4a61-8884-fde260c16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Pryse + Sensatiwiteitsanalise</vt:lpstr>
      <vt:lpstr>W-Mielie </vt:lpstr>
      <vt:lpstr>W-BT Mielies</vt:lpstr>
      <vt:lpstr>Sonneblom</vt:lpstr>
      <vt:lpstr>Sojabone</vt:lpstr>
      <vt:lpstr>Bes-mielies</vt:lpstr>
      <vt:lpstr>Crop Comparison</vt:lpstr>
      <vt:lpstr>Grafieke</vt:lpstr>
      <vt:lpstr>Obrengspeil</vt:lpstr>
      <vt:lpstr>'Bes-mielies'!Print_Area</vt:lpstr>
      <vt:lpstr>Sojabone!Print_Area</vt:lpstr>
      <vt:lpstr>Sonneblom!Print_Area</vt:lpstr>
      <vt:lpstr>'W-BT Mielies'!Print_Area</vt:lpstr>
      <vt:lpstr>'W-Mielie '!Print_Area</vt:lpstr>
      <vt:lpstr>Sojaopbrengspeil</vt:lpstr>
      <vt:lpstr>Sonopbrengspeil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Private</dc:creator>
  <cp:lastModifiedBy>Marguerite Pienaar</cp:lastModifiedBy>
  <cp:lastPrinted>2016-07-25T08:46:00Z</cp:lastPrinted>
  <dcterms:created xsi:type="dcterms:W3CDTF">2007-01-09T12:07:13Z</dcterms:created>
  <dcterms:modified xsi:type="dcterms:W3CDTF">2025-09-30T11:09:13Z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Petru Fourie</vt:lpwstr>
  </property>
  <property fmtid="{D5CDD505-2E9C-101B-9397-08002B2CF9AE}" pid="3" name="Order">
    <vt:lpwstr>16553200.0000000</vt:lpwstr>
  </property>
  <property fmtid="{D5CDD505-2E9C-101B-9397-08002B2CF9AE}" pid="4" name="display_urn:schemas-microsoft-com:office:office#Author">
    <vt:lpwstr>Petru Fourie</vt:lpwstr>
  </property>
  <property fmtid="{D5CDD505-2E9C-101B-9397-08002B2CF9AE}" pid="5" name="MediaServiceImageTags">
    <vt:lpwstr/>
  </property>
  <property fmtid="{D5CDD505-2E9C-101B-9397-08002B2CF9AE}" pid="6" name="ContentTypeId">
    <vt:lpwstr>0x010100ED8EB078C1C8474F8AAD7AD9366D8E54</vt:lpwstr>
  </property>
</Properties>
</file>