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rainsa2019.sharepoint.com/sites/Bedryfsbediening/Shared Documents/Produksie/Produksie Begrotings/Somer gewas streke/Somer begrotings/2025-26/Jul/"/>
    </mc:Choice>
  </mc:AlternateContent>
  <xr:revisionPtr revIDLastSave="560" documentId="13_ncr:1_{685C69DB-23C2-4043-95D7-17095184F214}" xr6:coauthVersionLast="47" xr6:coauthVersionMax="47" xr10:uidLastSave="{3EE62A80-A3DF-4AC4-B3D2-F58116126E3E}"/>
  <bookViews>
    <workbookView xWindow="-108" yWindow="-108" windowWidth="23256" windowHeight="12456" tabRatio="883" xr2:uid="{00000000-000D-0000-FFFF-FFFF00000000}"/>
  </bookViews>
  <sheets>
    <sheet name="Pryse + Sensatiwiteitsanali" sheetId="39" r:id="rId1"/>
    <sheet name="W-RR mielies Laer opbrengs " sheetId="2" r:id="rId2"/>
    <sheet name="W-RR mielies Hoer opbrengs  " sheetId="19" r:id="rId3"/>
    <sheet name="W-BT Mielies " sheetId="22" r:id="rId4"/>
    <sheet name="Sonneblom" sheetId="20" r:id="rId5"/>
    <sheet name="Sojabone" sheetId="30" r:id="rId6"/>
    <sheet name="Graansorghum" sheetId="16" r:id="rId7"/>
    <sheet name="Grondbone" sheetId="34" r:id="rId8"/>
    <sheet name="Crop Comparison" sheetId="40" r:id="rId9"/>
    <sheet name="Bes-mielies" sheetId="10" state="hidden" r:id="rId10"/>
    <sheet name="Grafieke" sheetId="41" r:id="rId11"/>
  </sheets>
  <externalReferences>
    <externalReference r:id="rId12"/>
    <externalReference r:id="rId13"/>
    <externalReference r:id="rId14"/>
    <externalReference r:id="rId15"/>
  </externalReferences>
  <definedNames>
    <definedName name="BTopbrengspeil" localSheetId="10">'[1]W-BT Mielies'!$K$9:$K$14</definedName>
    <definedName name="BTopbrengspeil">'W-BT Mielies '!$M$9:$M$14</definedName>
    <definedName name="Cultivar">[2]Seedprices!$A$3:$A$49</definedName>
    <definedName name="Price80DP">[2]Seedprices!$B$3:$B$49</definedName>
    <definedName name="_xlnm.Print_Area" localSheetId="9">'Bes-mielies'!$A$1:$I$47</definedName>
    <definedName name="_xlnm.Print_Area" localSheetId="6">Graansorghum!$A$1:$I$42</definedName>
    <definedName name="_xlnm.Print_Area" localSheetId="7">Grondbone!$A$1:$I$50</definedName>
    <definedName name="_xlnm.Print_Area" localSheetId="5">Sojabone!$A$1:$I$42</definedName>
    <definedName name="_xlnm.Print_Area" localSheetId="4">Sonneblom!$A$1:$I$42</definedName>
    <definedName name="_xlnm.Print_Area" localSheetId="3">'W-BT Mielies '!$A$1:$I$46</definedName>
    <definedName name="_xlnm.Print_Area" localSheetId="2">'W-RR mielies Hoer opbrengs  '!$A$1:$I$46</definedName>
    <definedName name="_xlnm.Print_Area" localSheetId="1">'W-RR mielies Laer opbrengs '!$A$1:$I$50</definedName>
    <definedName name="RRHpbrengspeil">'W-RR mielies Hoer opbrengs  '!$M$9:$M$14</definedName>
    <definedName name="RRLopbrengspeil">'W-RR mielies Laer opbrengs '!$M$9:$M$14</definedName>
    <definedName name="RRopbrengspeil">'W-RR mielies Laer opbrengs '!$M$9:$M$14</definedName>
    <definedName name="RRopbrens">'[3]W-BT Mielies'!$K$9:$K$14</definedName>
    <definedName name="Sojaopbrengspeil" localSheetId="10">[1]Sojabone!$K$9:$K$13</definedName>
    <definedName name="Sojaopbrengspeil">Sojabone!$M$9:$M$13</definedName>
    <definedName name="Sonopbrengspeil" localSheetId="10">[1]Sonneblom!$K$9:$K$13</definedName>
    <definedName name="Sonopbrengspeil">Sonneblom!$M$9:$M$14</definedName>
    <definedName name="Sorgopbrengspeil" localSheetId="10">[1]Graansorghum!$K$9:$K$13</definedName>
    <definedName name="Sorgopbrengspeil">Graansorghum!$M$9:$M$13</definedName>
    <definedName name="Verminopbrengspe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0" l="1"/>
  <c r="F16" i="40"/>
  <c r="B65" i="39"/>
  <c r="B78" i="39"/>
  <c r="D29" i="20"/>
  <c r="D31" i="20" s="1"/>
  <c r="B25" i="39"/>
  <c r="C27" i="40"/>
  <c r="C22" i="40"/>
  <c r="C20" i="40"/>
  <c r="C18" i="40"/>
  <c r="C17" i="40"/>
  <c r="C16" i="40"/>
  <c r="C15" i="40"/>
  <c r="C14" i="40"/>
  <c r="C13" i="40"/>
  <c r="C12" i="40"/>
  <c r="C11" i="40"/>
  <c r="C4" i="40"/>
  <c r="F27" i="40"/>
  <c r="F22" i="40"/>
  <c r="F20" i="40"/>
  <c r="F18" i="40"/>
  <c r="F15" i="40"/>
  <c r="F14" i="40"/>
  <c r="F13" i="40"/>
  <c r="F12" i="40"/>
  <c r="F11" i="40"/>
  <c r="F4" i="40"/>
  <c r="E27" i="40"/>
  <c r="E22" i="40"/>
  <c r="E20" i="40"/>
  <c r="E18" i="40"/>
  <c r="E17" i="40"/>
  <c r="E16" i="40"/>
  <c r="E15" i="40"/>
  <c r="E14" i="40"/>
  <c r="E13" i="40"/>
  <c r="E12" i="40"/>
  <c r="E11" i="40"/>
  <c r="E4" i="40"/>
  <c r="B74" i="41" l="1"/>
  <c r="B27" i="40" l="1"/>
  <c r="B22" i="40"/>
  <c r="B20" i="40"/>
  <c r="B18" i="40"/>
  <c r="B17" i="40"/>
  <c r="B16" i="40"/>
  <c r="B15" i="40"/>
  <c r="B14" i="40"/>
  <c r="B13" i="40"/>
  <c r="B12" i="40"/>
  <c r="B11" i="40"/>
  <c r="B4" i="40"/>
  <c r="C5" i="40" l="1"/>
  <c r="F5" i="40"/>
  <c r="C26" i="40" l="1"/>
  <c r="C24" i="40"/>
  <c r="I27" i="40"/>
  <c r="I26" i="40"/>
  <c r="I24" i="40"/>
  <c r="I22" i="40"/>
  <c r="I20" i="40"/>
  <c r="I19" i="40"/>
  <c r="I18" i="40"/>
  <c r="I17" i="40"/>
  <c r="I16" i="40"/>
  <c r="I15" i="40"/>
  <c r="I14" i="40"/>
  <c r="I13" i="40"/>
  <c r="I12" i="40"/>
  <c r="I11" i="40"/>
  <c r="I4" i="40"/>
  <c r="B85" i="39"/>
  <c r="D32" i="34" l="1"/>
  <c r="H6" i="40" l="1"/>
  <c r="D5" i="34" l="1"/>
  <c r="D6" i="34"/>
  <c r="D7" i="34"/>
  <c r="D8" i="34"/>
  <c r="D9" i="34"/>
  <c r="D33" i="30"/>
  <c r="E33" i="30" s="1"/>
  <c r="G12" i="40"/>
  <c r="G13" i="40"/>
  <c r="G14" i="40"/>
  <c r="G15" i="40"/>
  <c r="G16" i="40"/>
  <c r="G17" i="40"/>
  <c r="G18" i="40"/>
  <c r="G20" i="40"/>
  <c r="G21" i="40"/>
  <c r="G22" i="40"/>
  <c r="G23" i="40"/>
  <c r="G24" i="40"/>
  <c r="G25" i="40"/>
  <c r="G26" i="40"/>
  <c r="G11" i="40"/>
  <c r="F25" i="16"/>
  <c r="B84" i="39" s="1"/>
  <c r="G30" i="40"/>
  <c r="I21" i="40"/>
  <c r="I23" i="40"/>
  <c r="I25" i="40"/>
  <c r="I61" i="40"/>
  <c r="D12" i="40"/>
  <c r="H12" i="40"/>
  <c r="D13" i="40"/>
  <c r="H13" i="40"/>
  <c r="D14" i="40"/>
  <c r="H14" i="40"/>
  <c r="D15" i="40"/>
  <c r="H15" i="40"/>
  <c r="D16" i="40"/>
  <c r="D17" i="40"/>
  <c r="D18" i="40"/>
  <c r="H18" i="40"/>
  <c r="D20" i="40"/>
  <c r="H20" i="40"/>
  <c r="B21" i="40"/>
  <c r="C21" i="40"/>
  <c r="D21" i="40"/>
  <c r="E21" i="40"/>
  <c r="F21" i="40"/>
  <c r="H21" i="40"/>
  <c r="D22" i="40"/>
  <c r="H22" i="40"/>
  <c r="B23" i="40"/>
  <c r="C23" i="40"/>
  <c r="D23" i="40"/>
  <c r="E23" i="40"/>
  <c r="F23" i="40"/>
  <c r="H23" i="40"/>
  <c r="B24" i="40"/>
  <c r="D24" i="40"/>
  <c r="E24" i="40"/>
  <c r="F24" i="40"/>
  <c r="H24" i="40"/>
  <c r="B25" i="40"/>
  <c r="C25" i="40"/>
  <c r="D25" i="40"/>
  <c r="E25" i="40"/>
  <c r="F25" i="40"/>
  <c r="H25" i="40"/>
  <c r="B26" i="40"/>
  <c r="D26" i="40"/>
  <c r="E26" i="40"/>
  <c r="F26" i="40"/>
  <c r="H26" i="40"/>
  <c r="D27" i="40"/>
  <c r="G27" i="40"/>
  <c r="H27" i="40"/>
  <c r="H11" i="40"/>
  <c r="H4" i="40"/>
  <c r="H61" i="40" s="1"/>
  <c r="G4" i="40"/>
  <c r="F61" i="40"/>
  <c r="E61" i="40"/>
  <c r="D11" i="40"/>
  <c r="D4" i="40"/>
  <c r="D61" i="40" s="1"/>
  <c r="G6" i="40"/>
  <c r="E6" i="40"/>
  <c r="D6" i="40"/>
  <c r="I6" i="40" s="1"/>
  <c r="B61" i="40"/>
  <c r="G5" i="40"/>
  <c r="G60" i="40" s="1"/>
  <c r="F60" i="40"/>
  <c r="E5" i="40"/>
  <c r="E60" i="40" s="1"/>
  <c r="B5" i="40"/>
  <c r="B60" i="40" s="1"/>
  <c r="I59" i="40"/>
  <c r="H59" i="40"/>
  <c r="G59" i="40"/>
  <c r="F59" i="40"/>
  <c r="E59" i="40"/>
  <c r="D59" i="40"/>
  <c r="C59" i="40"/>
  <c r="B59" i="40"/>
  <c r="F27" i="16"/>
  <c r="O11" i="16" s="1"/>
  <c r="G27" i="16"/>
  <c r="E27" i="16"/>
  <c r="O10" i="16" s="1"/>
  <c r="D4" i="34"/>
  <c r="O14" i="16"/>
  <c r="N14" i="16"/>
  <c r="M14" i="16"/>
  <c r="M13" i="16"/>
  <c r="M12" i="16"/>
  <c r="M11" i="16"/>
  <c r="M10" i="16"/>
  <c r="O9" i="16"/>
  <c r="M9" i="16"/>
  <c r="N14" i="30"/>
  <c r="M14" i="30"/>
  <c r="M13" i="30"/>
  <c r="M12" i="30"/>
  <c r="M11" i="30"/>
  <c r="M10" i="30"/>
  <c r="M9" i="30"/>
  <c r="M14" i="20"/>
  <c r="M13" i="20"/>
  <c r="M12" i="20"/>
  <c r="M11" i="20"/>
  <c r="M10" i="20"/>
  <c r="M9" i="20"/>
  <c r="M14" i="22"/>
  <c r="M13" i="22"/>
  <c r="M12" i="22"/>
  <c r="M11" i="22"/>
  <c r="M10" i="22"/>
  <c r="M9" i="22"/>
  <c r="M14" i="19"/>
  <c r="M9" i="19"/>
  <c r="M13" i="19"/>
  <c r="M12" i="19"/>
  <c r="M11" i="19"/>
  <c r="M10" i="19"/>
  <c r="M14" i="2"/>
  <c r="M13" i="2"/>
  <c r="M12" i="2"/>
  <c r="M11" i="2"/>
  <c r="M10" i="2"/>
  <c r="M9" i="2"/>
  <c r="D43" i="34"/>
  <c r="D36" i="16"/>
  <c r="F36" i="16" s="1"/>
  <c r="D33" i="16"/>
  <c r="E25" i="16"/>
  <c r="G25" i="16"/>
  <c r="N12" i="16" s="1"/>
  <c r="H25" i="16"/>
  <c r="N13" i="16" s="1"/>
  <c r="D25" i="16"/>
  <c r="D29" i="16" s="1"/>
  <c r="D31" i="16" s="1"/>
  <c r="D35" i="16" s="1"/>
  <c r="D36" i="30"/>
  <c r="F36" i="30" s="1"/>
  <c r="E25" i="30"/>
  <c r="F25" i="30"/>
  <c r="N11" i="30" s="1"/>
  <c r="G25" i="30"/>
  <c r="B71" i="39" s="1"/>
  <c r="H25" i="30"/>
  <c r="N13" i="30" s="1"/>
  <c r="D25" i="30"/>
  <c r="N9" i="30" s="1"/>
  <c r="D36" i="20"/>
  <c r="F36" i="20" s="1"/>
  <c r="D33" i="20"/>
  <c r="H33" i="20" s="1"/>
  <c r="E25" i="20"/>
  <c r="F25" i="20"/>
  <c r="B58" i="39" s="1"/>
  <c r="G25" i="20"/>
  <c r="N12" i="20" s="1"/>
  <c r="H25" i="20"/>
  <c r="N13" i="20" s="1"/>
  <c r="I25" i="20"/>
  <c r="D25" i="20"/>
  <c r="N9" i="20" s="1"/>
  <c r="E25" i="22"/>
  <c r="F25" i="22"/>
  <c r="G25" i="22"/>
  <c r="N12" i="22" s="1"/>
  <c r="H25" i="22"/>
  <c r="N13" i="22" s="1"/>
  <c r="I25" i="22"/>
  <c r="D36" i="22"/>
  <c r="G36" i="22" s="1"/>
  <c r="D33" i="22"/>
  <c r="H33" i="22" s="1"/>
  <c r="D25" i="22"/>
  <c r="N9" i="22" s="1"/>
  <c r="D36" i="19"/>
  <c r="F36" i="19" s="1"/>
  <c r="E25" i="19"/>
  <c r="F25" i="19"/>
  <c r="N11" i="19" s="1"/>
  <c r="G25" i="19"/>
  <c r="H25" i="19"/>
  <c r="N14" i="19"/>
  <c r="D33" i="19"/>
  <c r="H33" i="19" s="1"/>
  <c r="D25" i="19"/>
  <c r="E25" i="2"/>
  <c r="F25" i="2"/>
  <c r="G25" i="2"/>
  <c r="N12" i="2" s="1"/>
  <c r="H25" i="2"/>
  <c r="N13" i="2" s="1"/>
  <c r="I25" i="2"/>
  <c r="N14" i="2" s="1"/>
  <c r="D25" i="2"/>
  <c r="N9" i="2" s="1"/>
  <c r="D33" i="2"/>
  <c r="F33" i="2" s="1"/>
  <c r="D36" i="2"/>
  <c r="G36" i="2" s="1"/>
  <c r="D34" i="10"/>
  <c r="I34" i="10" s="1"/>
  <c r="D37" i="10"/>
  <c r="E37" i="10" s="1"/>
  <c r="E26" i="10"/>
  <c r="F26" i="10"/>
  <c r="G26" i="10"/>
  <c r="H26" i="10"/>
  <c r="I26" i="10"/>
  <c r="D26" i="10"/>
  <c r="B91" i="39"/>
  <c r="B90" i="39"/>
  <c r="E89" i="39"/>
  <c r="B51" i="39"/>
  <c r="B48" i="39"/>
  <c r="E49" i="39"/>
  <c r="E50" i="39"/>
  <c r="E51" i="39" s="1"/>
  <c r="E23" i="39"/>
  <c r="E24" i="39" s="1"/>
  <c r="E25" i="39" s="1"/>
  <c r="Q23" i="39"/>
  <c r="Q22" i="39" s="1"/>
  <c r="Q21" i="39" s="1"/>
  <c r="B24" i="39"/>
  <c r="J19" i="39" s="1"/>
  <c r="I19" i="39" s="1"/>
  <c r="B77" i="39"/>
  <c r="B64" i="39"/>
  <c r="J59" i="39" s="1"/>
  <c r="B50" i="39"/>
  <c r="B37" i="39"/>
  <c r="E76" i="39"/>
  <c r="E77" i="39" s="1"/>
  <c r="E78" i="39" s="1"/>
  <c r="G33" i="16"/>
  <c r="E63" i="39"/>
  <c r="O14" i="30"/>
  <c r="O14" i="19"/>
  <c r="Q89" i="39"/>
  <c r="E88" i="39"/>
  <c r="E87" i="39" s="1"/>
  <c r="E90" i="39"/>
  <c r="E91" i="39" s="1"/>
  <c r="E33" i="16"/>
  <c r="F33" i="16"/>
  <c r="H33" i="16"/>
  <c r="H36" i="16"/>
  <c r="E36" i="16"/>
  <c r="Q49" i="39"/>
  <c r="E48" i="39"/>
  <c r="E47" i="39"/>
  <c r="E64" i="39"/>
  <c r="E65" i="39"/>
  <c r="E62" i="39"/>
  <c r="E61" i="39"/>
  <c r="Q63" i="39"/>
  <c r="E22" i="39"/>
  <c r="E21" i="39" s="1"/>
  <c r="Q62" i="39"/>
  <c r="Q61" i="39" s="1"/>
  <c r="Q64" i="39"/>
  <c r="Q65" i="39" s="1"/>
  <c r="N9" i="19" l="1"/>
  <c r="D29" i="19"/>
  <c r="D31" i="19" s="1"/>
  <c r="B52" i="39"/>
  <c r="Q24" i="39"/>
  <c r="Q25" i="39" s="1"/>
  <c r="N11" i="20"/>
  <c r="N11" i="22"/>
  <c r="B44" i="39"/>
  <c r="N12" i="19"/>
  <c r="N10" i="2"/>
  <c r="E36" i="22"/>
  <c r="B39" i="39"/>
  <c r="F33" i="20"/>
  <c r="I33" i="22"/>
  <c r="E75" i="39"/>
  <c r="E74" i="39" s="1"/>
  <c r="Q76" i="39"/>
  <c r="H36" i="30"/>
  <c r="G36" i="30"/>
  <c r="F36" i="2"/>
  <c r="B26" i="39"/>
  <c r="E3" i="22" s="1"/>
  <c r="D6" i="22" s="1"/>
  <c r="E28" i="40"/>
  <c r="B36" i="41" s="1"/>
  <c r="H33" i="30"/>
  <c r="H33" i="2"/>
  <c r="E33" i="20"/>
  <c r="I33" i="20"/>
  <c r="N10" i="20"/>
  <c r="H36" i="22"/>
  <c r="I36" i="22"/>
  <c r="F36" i="22"/>
  <c r="J32" i="39"/>
  <c r="I28" i="40"/>
  <c r="D10" i="34"/>
  <c r="H5" i="40" s="1"/>
  <c r="H7" i="40" s="1"/>
  <c r="H28" i="40"/>
  <c r="G36" i="16"/>
  <c r="E36" i="30"/>
  <c r="G36" i="20"/>
  <c r="I36" i="20"/>
  <c r="E36" i="20"/>
  <c r="H36" i="20"/>
  <c r="E36" i="2"/>
  <c r="N9" i="16"/>
  <c r="C28" i="40"/>
  <c r="N11" i="2"/>
  <c r="G28" i="40"/>
  <c r="B28" i="40"/>
  <c r="E33" i="2"/>
  <c r="E36" i="19"/>
  <c r="E33" i="19"/>
  <c r="H36" i="19"/>
  <c r="G33" i="2"/>
  <c r="I36" i="2"/>
  <c r="G36" i="19"/>
  <c r="F33" i="19"/>
  <c r="G33" i="20"/>
  <c r="I33" i="2"/>
  <c r="G7" i="40"/>
  <c r="G64" i="40" s="1"/>
  <c r="E33" i="22"/>
  <c r="B7" i="40"/>
  <c r="B8" i="40" s="1"/>
  <c r="B21" i="41" s="1"/>
  <c r="F33" i="22"/>
  <c r="G33" i="22"/>
  <c r="I59" i="39"/>
  <c r="V59" i="39"/>
  <c r="K59" i="39"/>
  <c r="J60" i="39"/>
  <c r="C7" i="40"/>
  <c r="C8" i="40" s="1"/>
  <c r="B5" i="41" s="1"/>
  <c r="B66" i="39"/>
  <c r="E3" i="20" s="1"/>
  <c r="H6" i="20" s="1"/>
  <c r="I5" i="40"/>
  <c r="I60" i="40" s="1"/>
  <c r="H36" i="2"/>
  <c r="Q50" i="39"/>
  <c r="Q51" i="39" s="1"/>
  <c r="Q48" i="39"/>
  <c r="Q47" i="39" s="1"/>
  <c r="E36" i="39"/>
  <c r="F7" i="40"/>
  <c r="F8" i="40" s="1"/>
  <c r="B55" i="41" s="1"/>
  <c r="N10" i="16"/>
  <c r="E29" i="16"/>
  <c r="E31" i="16" s="1"/>
  <c r="E35" i="16" s="1"/>
  <c r="I20" i="39"/>
  <c r="H19" i="39"/>
  <c r="N10" i="30"/>
  <c r="N10" i="19"/>
  <c r="J45" i="39"/>
  <c r="J72" i="39"/>
  <c r="J73" i="39" s="1"/>
  <c r="B79" i="39"/>
  <c r="E3" i="30" s="1"/>
  <c r="G33" i="19"/>
  <c r="F29" i="16"/>
  <c r="F31" i="16" s="1"/>
  <c r="F35" i="16" s="1"/>
  <c r="N11" i="16"/>
  <c r="B86" i="39" s="1"/>
  <c r="V19" i="39"/>
  <c r="K19" i="39"/>
  <c r="J20" i="39"/>
  <c r="G33" i="30"/>
  <c r="F33" i="30"/>
  <c r="Q90" i="39"/>
  <c r="Q91" i="39" s="1"/>
  <c r="Q88" i="39"/>
  <c r="Q87" i="39" s="1"/>
  <c r="Q75" i="39"/>
  <c r="Q74" i="39" s="1"/>
  <c r="Q77" i="39"/>
  <c r="Q78" i="39" s="1"/>
  <c r="N10" i="22"/>
  <c r="O12" i="16"/>
  <c r="H27" i="16"/>
  <c r="G29" i="16"/>
  <c r="G31" i="16" s="1"/>
  <c r="G35" i="16" s="1"/>
  <c r="B92" i="39"/>
  <c r="E3" i="16" s="1"/>
  <c r="J85" i="39"/>
  <c r="N13" i="19"/>
  <c r="C61" i="40"/>
  <c r="N14" i="20"/>
  <c r="N12" i="30"/>
  <c r="F28" i="40"/>
  <c r="B53" i="41" s="1"/>
  <c r="G34" i="10"/>
  <c r="F34" i="10"/>
  <c r="H34" i="10"/>
  <c r="E34" i="10"/>
  <c r="N14" i="22"/>
  <c r="E7" i="40"/>
  <c r="E8" i="40" s="1"/>
  <c r="B38" i="41" s="1"/>
  <c r="G61" i="40"/>
  <c r="D28" i="40"/>
  <c r="G68" i="40" l="1"/>
  <c r="G69" i="40" s="1"/>
  <c r="G83" i="40" s="1"/>
  <c r="B73" i="41"/>
  <c r="B18" i="39"/>
  <c r="B19" i="41"/>
  <c r="B31" i="39"/>
  <c r="B3" i="41"/>
  <c r="I32" i="39"/>
  <c r="I33" i="39" s="1"/>
  <c r="J33" i="39"/>
  <c r="I7" i="40"/>
  <c r="I8" i="40" s="1"/>
  <c r="I34" i="40" s="1"/>
  <c r="I75" i="40" s="1"/>
  <c r="I76" i="40" s="1"/>
  <c r="D38" i="22"/>
  <c r="E3" i="10"/>
  <c r="D6" i="10" s="1"/>
  <c r="D39" i="10" s="1"/>
  <c r="E3" i="2"/>
  <c r="E6" i="22"/>
  <c r="E38" i="22" s="1"/>
  <c r="I6" i="22"/>
  <c r="I38" i="22" s="1"/>
  <c r="G6" i="22"/>
  <c r="G38" i="22" s="1"/>
  <c r="H6" i="22"/>
  <c r="H38" i="22" s="1"/>
  <c r="F6" i="22"/>
  <c r="F38" i="22" s="1"/>
  <c r="E3" i="19"/>
  <c r="E6" i="19" s="1"/>
  <c r="E38" i="19" s="1"/>
  <c r="C64" i="40"/>
  <c r="C65" i="40" s="1"/>
  <c r="C34" i="40"/>
  <c r="C75" i="40" s="1"/>
  <c r="C76" i="40" s="1"/>
  <c r="I68" i="40"/>
  <c r="I69" i="40" s="1"/>
  <c r="I83" i="40" s="1"/>
  <c r="K32" i="39"/>
  <c r="K33" i="39" s="1"/>
  <c r="H32" i="39"/>
  <c r="H33" i="39" s="1"/>
  <c r="B64" i="40"/>
  <c r="B65" i="40" s="1"/>
  <c r="V32" i="39"/>
  <c r="W32" i="39" s="1"/>
  <c r="D13" i="34"/>
  <c r="D46" i="34" s="1"/>
  <c r="D44" i="34"/>
  <c r="H68" i="40"/>
  <c r="H69" i="40" s="1"/>
  <c r="H83" i="40" s="1"/>
  <c r="G65" i="40"/>
  <c r="G8" i="40"/>
  <c r="B34" i="40"/>
  <c r="B75" i="40" s="1"/>
  <c r="B76" i="40" s="1"/>
  <c r="B68" i="40"/>
  <c r="B69" i="40" s="1"/>
  <c r="B83" i="40" s="1"/>
  <c r="C68" i="40"/>
  <c r="C69" i="40" s="1"/>
  <c r="C83" i="40" s="1"/>
  <c r="H60" i="40"/>
  <c r="H8" i="40"/>
  <c r="H34" i="40" s="1"/>
  <c r="H38" i="20"/>
  <c r="G32" i="40"/>
  <c r="G71" i="40" s="1"/>
  <c r="G85" i="40" s="1"/>
  <c r="E68" i="40"/>
  <c r="E69" i="40" s="1"/>
  <c r="E83" i="40" s="1"/>
  <c r="C60" i="40"/>
  <c r="D5" i="40"/>
  <c r="K60" i="39"/>
  <c r="L59" i="39"/>
  <c r="E6" i="20"/>
  <c r="G6" i="20"/>
  <c r="D6" i="20"/>
  <c r="D38" i="20" s="1"/>
  <c r="U59" i="39"/>
  <c r="V60" i="39"/>
  <c r="V65" i="39" s="1"/>
  <c r="W59" i="39"/>
  <c r="H59" i="39"/>
  <c r="I60" i="39"/>
  <c r="I6" i="20"/>
  <c r="F6" i="20"/>
  <c r="H64" i="40"/>
  <c r="D68" i="40"/>
  <c r="D6" i="16"/>
  <c r="G6" i="16"/>
  <c r="H6" i="16"/>
  <c r="E6" i="16"/>
  <c r="F6" i="16"/>
  <c r="I6" i="16"/>
  <c r="K45" i="39"/>
  <c r="I45" i="39"/>
  <c r="V45" i="39"/>
  <c r="J46" i="39"/>
  <c r="G19" i="39"/>
  <c r="H20" i="39"/>
  <c r="E64" i="40"/>
  <c r="O13" i="16"/>
  <c r="H29" i="16"/>
  <c r="H31" i="16" s="1"/>
  <c r="H35" i="16" s="1"/>
  <c r="F68" i="40"/>
  <c r="K20" i="39"/>
  <c r="L19" i="39"/>
  <c r="F64" i="40"/>
  <c r="F65" i="40" s="1"/>
  <c r="U19" i="39"/>
  <c r="W19" i="39"/>
  <c r="V20" i="39"/>
  <c r="H6" i="30"/>
  <c r="D6" i="30"/>
  <c r="E6" i="30"/>
  <c r="G6" i="30"/>
  <c r="I6" i="30"/>
  <c r="F6" i="30"/>
  <c r="K85" i="39"/>
  <c r="I85" i="39"/>
  <c r="V85" i="39"/>
  <c r="J86" i="39"/>
  <c r="V72" i="39"/>
  <c r="I72" i="39"/>
  <c r="K72" i="39"/>
  <c r="E35" i="39"/>
  <c r="E34" i="39" s="1"/>
  <c r="Q36" i="39"/>
  <c r="E37" i="39"/>
  <c r="E38" i="39" s="1"/>
  <c r="G82" i="40" l="1"/>
  <c r="E6" i="2"/>
  <c r="E38" i="2" s="1"/>
  <c r="D6" i="2"/>
  <c r="G34" i="40"/>
  <c r="G75" i="40" s="1"/>
  <c r="G76" i="40" s="1"/>
  <c r="B75" i="41"/>
  <c r="I64" i="40"/>
  <c r="I65" i="40" s="1"/>
  <c r="U32" i="39"/>
  <c r="T32" i="39" s="1"/>
  <c r="G32" i="39"/>
  <c r="F32" i="39" s="1"/>
  <c r="F33" i="39" s="1"/>
  <c r="V33" i="39"/>
  <c r="V38" i="39" s="1"/>
  <c r="H6" i="10"/>
  <c r="H39" i="10" s="1"/>
  <c r="I6" i="10"/>
  <c r="I39" i="10" s="1"/>
  <c r="G6" i="10"/>
  <c r="E6" i="10"/>
  <c r="F6" i="10"/>
  <c r="F39" i="10" s="1"/>
  <c r="F6" i="2"/>
  <c r="F38" i="2" s="1"/>
  <c r="I6" i="2"/>
  <c r="I38" i="2" s="1"/>
  <c r="H6" i="2"/>
  <c r="H38" i="2" s="1"/>
  <c r="G6" i="2"/>
  <c r="G38" i="2" s="1"/>
  <c r="D6" i="19"/>
  <c r="F6" i="19"/>
  <c r="G6" i="19"/>
  <c r="G38" i="19" s="1"/>
  <c r="H6" i="19"/>
  <c r="H38" i="19" s="1"/>
  <c r="B82" i="40"/>
  <c r="C82" i="40"/>
  <c r="V63" i="39"/>
  <c r="L32" i="39"/>
  <c r="L33" i="39" s="1"/>
  <c r="V62" i="39"/>
  <c r="V61" i="39"/>
  <c r="V64" i="39"/>
  <c r="G35" i="40"/>
  <c r="G78" i="40" s="1"/>
  <c r="G79" i="40" s="1"/>
  <c r="G72" i="40"/>
  <c r="G86" i="40" s="1"/>
  <c r="G38" i="30"/>
  <c r="E38" i="30"/>
  <c r="E38" i="16"/>
  <c r="E39" i="16"/>
  <c r="D38" i="30"/>
  <c r="H39" i="16"/>
  <c r="H38" i="16"/>
  <c r="F38" i="20"/>
  <c r="F38" i="16"/>
  <c r="F39" i="16"/>
  <c r="H38" i="30"/>
  <c r="D38" i="16"/>
  <c r="D39" i="16"/>
  <c r="I38" i="20"/>
  <c r="G38" i="20"/>
  <c r="G38" i="16"/>
  <c r="G39" i="16"/>
  <c r="F38" i="30"/>
  <c r="E38" i="20"/>
  <c r="I39" i="16"/>
  <c r="I38" i="16"/>
  <c r="H75" i="40"/>
  <c r="H76" i="40" s="1"/>
  <c r="G59" i="39"/>
  <c r="H60" i="39"/>
  <c r="M59" i="39"/>
  <c r="L60" i="39"/>
  <c r="H65" i="40"/>
  <c r="H82" i="40"/>
  <c r="W60" i="39"/>
  <c r="X59" i="39"/>
  <c r="U60" i="39"/>
  <c r="T59" i="39"/>
  <c r="D60" i="40"/>
  <c r="D7" i="40"/>
  <c r="I86" i="39"/>
  <c r="H85" i="39"/>
  <c r="V46" i="39"/>
  <c r="W45" i="39"/>
  <c r="U45" i="39"/>
  <c r="U72" i="39"/>
  <c r="W72" i="39"/>
  <c r="V73" i="39"/>
  <c r="F82" i="40"/>
  <c r="F69" i="40"/>
  <c r="F83" i="40" s="1"/>
  <c r="J89" i="39"/>
  <c r="J88" i="39"/>
  <c r="J91" i="39"/>
  <c r="J90" i="39"/>
  <c r="J87" i="39"/>
  <c r="G20" i="39"/>
  <c r="F19" i="39"/>
  <c r="F20" i="39" s="1"/>
  <c r="V21" i="39"/>
  <c r="V22" i="39"/>
  <c r="V24" i="39"/>
  <c r="V23" i="39"/>
  <c r="V25" i="39"/>
  <c r="K86" i="39"/>
  <c r="L85" i="39"/>
  <c r="U20" i="39"/>
  <c r="T19" i="39"/>
  <c r="E65" i="40"/>
  <c r="E82" i="40"/>
  <c r="H45" i="39"/>
  <c r="I46" i="39"/>
  <c r="K73" i="39"/>
  <c r="L72" i="39"/>
  <c r="X32" i="39"/>
  <c r="W33" i="39"/>
  <c r="F34" i="40"/>
  <c r="F75" i="40" s="1"/>
  <c r="F76" i="40" s="1"/>
  <c r="E34" i="40"/>
  <c r="E75" i="40" s="1"/>
  <c r="E76" i="40" s="1"/>
  <c r="K46" i="39"/>
  <c r="L45" i="39"/>
  <c r="D69" i="40"/>
  <c r="D83" i="40" s="1"/>
  <c r="W85" i="39"/>
  <c r="V86" i="39"/>
  <c r="U85" i="39"/>
  <c r="Q37" i="39"/>
  <c r="Q38" i="39" s="1"/>
  <c r="Q35" i="39"/>
  <c r="Q34" i="39" s="1"/>
  <c r="I73" i="39"/>
  <c r="H72" i="39"/>
  <c r="M19" i="39"/>
  <c r="L20" i="39"/>
  <c r="X19" i="39"/>
  <c r="W20" i="39"/>
  <c r="F77" i="41" l="1"/>
  <c r="B77" i="41"/>
  <c r="C75" i="41" s="1"/>
  <c r="V36" i="39"/>
  <c r="V47" i="39"/>
  <c r="U33" i="39"/>
  <c r="U37" i="39" s="1"/>
  <c r="I82" i="40"/>
  <c r="V51" i="39"/>
  <c r="V48" i="39"/>
  <c r="V49" i="39"/>
  <c r="G33" i="39"/>
  <c r="M32" i="39"/>
  <c r="M33" i="39" s="1"/>
  <c r="V50" i="39"/>
  <c r="V35" i="39"/>
  <c r="V34" i="39"/>
  <c r="V37" i="39"/>
  <c r="D38" i="19"/>
  <c r="E39" i="10"/>
  <c r="G39" i="10"/>
  <c r="D38" i="2"/>
  <c r="F38" i="19"/>
  <c r="D64" i="40"/>
  <c r="D8" i="40"/>
  <c r="M60" i="39"/>
  <c r="N59" i="39"/>
  <c r="N60" i="39" s="1"/>
  <c r="U65" i="39"/>
  <c r="U63" i="39"/>
  <c r="U64" i="39"/>
  <c r="U62" i="39"/>
  <c r="U61" i="39"/>
  <c r="W64" i="39"/>
  <c r="W62" i="39"/>
  <c r="W65" i="39"/>
  <c r="W61" i="39"/>
  <c r="W63" i="39"/>
  <c r="G60" i="39"/>
  <c r="F59" i="39"/>
  <c r="F60" i="39" s="1"/>
  <c r="S59" i="39"/>
  <c r="T60" i="39"/>
  <c r="Y59" i="39"/>
  <c r="X60" i="39"/>
  <c r="G45" i="39"/>
  <c r="H46" i="39"/>
  <c r="S19" i="39"/>
  <c r="T20" i="39"/>
  <c r="T45" i="39"/>
  <c r="U46" i="39"/>
  <c r="L86" i="39"/>
  <c r="M85" i="39"/>
  <c r="W51" i="39"/>
  <c r="W48" i="39"/>
  <c r="W36" i="39"/>
  <c r="W50" i="39"/>
  <c r="W38" i="39"/>
  <c r="W47" i="39"/>
  <c r="W49" i="39"/>
  <c r="W34" i="39"/>
  <c r="W35" i="39"/>
  <c r="W37" i="39"/>
  <c r="U24" i="39"/>
  <c r="U23" i="39"/>
  <c r="U25" i="39"/>
  <c r="U21" i="39"/>
  <c r="U22" i="39"/>
  <c r="W46" i="39"/>
  <c r="X45" i="39"/>
  <c r="V89" i="39"/>
  <c r="V90" i="39"/>
  <c r="V87" i="39"/>
  <c r="V88" i="39"/>
  <c r="V91" i="39"/>
  <c r="H86" i="39"/>
  <c r="G85" i="39"/>
  <c r="W25" i="39"/>
  <c r="W23" i="39"/>
  <c r="W24" i="39"/>
  <c r="W22" i="39"/>
  <c r="W21" i="39"/>
  <c r="X85" i="39"/>
  <c r="W86" i="39"/>
  <c r="Y32" i="39"/>
  <c r="X33" i="39"/>
  <c r="I89" i="39"/>
  <c r="I88" i="39"/>
  <c r="I91" i="39"/>
  <c r="I87" i="39"/>
  <c r="I90" i="39"/>
  <c r="N19" i="39"/>
  <c r="N20" i="39" s="1"/>
  <c r="M20" i="39"/>
  <c r="T33" i="39"/>
  <c r="S32" i="39"/>
  <c r="K91" i="39"/>
  <c r="K87" i="39"/>
  <c r="K88" i="39"/>
  <c r="K89" i="39"/>
  <c r="K90" i="39"/>
  <c r="Y19" i="39"/>
  <c r="X20" i="39"/>
  <c r="M72" i="39"/>
  <c r="L73" i="39"/>
  <c r="V76" i="39"/>
  <c r="V74" i="39"/>
  <c r="V75" i="39"/>
  <c r="V77" i="39"/>
  <c r="V78" i="39"/>
  <c r="T85" i="39"/>
  <c r="U86" i="39"/>
  <c r="H73" i="39"/>
  <c r="G72" i="39"/>
  <c r="X72" i="39"/>
  <c r="W73" i="39"/>
  <c r="M45" i="39"/>
  <c r="L46" i="39"/>
  <c r="U73" i="39"/>
  <c r="T72" i="39"/>
  <c r="C74" i="41" l="1"/>
  <c r="C73" i="41"/>
  <c r="C77" i="41" s="1"/>
  <c r="F72" i="41"/>
  <c r="U47" i="39"/>
  <c r="U49" i="39"/>
  <c r="U35" i="39"/>
  <c r="U36" i="39"/>
  <c r="U38" i="39"/>
  <c r="U50" i="39"/>
  <c r="U34" i="39"/>
  <c r="U51" i="39"/>
  <c r="U48" i="39"/>
  <c r="N32" i="39"/>
  <c r="N33" i="39" s="1"/>
  <c r="T62" i="39"/>
  <c r="T61" i="39"/>
  <c r="T65" i="39"/>
  <c r="T64" i="39"/>
  <c r="T63" i="39"/>
  <c r="S60" i="39"/>
  <c r="R59" i="39"/>
  <c r="R60" i="39" s="1"/>
  <c r="D65" i="40"/>
  <c r="D82" i="40"/>
  <c r="X62" i="39"/>
  <c r="X61" i="39"/>
  <c r="X65" i="39"/>
  <c r="X63" i="39"/>
  <c r="X64" i="39"/>
  <c r="Z59" i="39"/>
  <c r="Z60" i="39" s="1"/>
  <c r="Y60" i="39"/>
  <c r="D34" i="40"/>
  <c r="D75" i="40" s="1"/>
  <c r="D76" i="40" s="1"/>
  <c r="W88" i="39"/>
  <c r="W91" i="39"/>
  <c r="W89" i="39"/>
  <c r="W87" i="39"/>
  <c r="W90" i="39"/>
  <c r="H90" i="39"/>
  <c r="H89" i="39"/>
  <c r="H87" i="39"/>
  <c r="H91" i="39"/>
  <c r="H88" i="39"/>
  <c r="R19" i="39"/>
  <c r="R20" i="39" s="1"/>
  <c r="S20" i="39"/>
  <c r="G73" i="39"/>
  <c r="F72" i="39"/>
  <c r="F73" i="39" s="1"/>
  <c r="Y85" i="39"/>
  <c r="X86" i="39"/>
  <c r="G46" i="39"/>
  <c r="F45" i="39"/>
  <c r="F46" i="39" s="1"/>
  <c r="M86" i="39"/>
  <c r="N85" i="39"/>
  <c r="N86" i="39" s="1"/>
  <c r="W74" i="39"/>
  <c r="W76" i="39"/>
  <c r="W75" i="39"/>
  <c r="W77" i="39"/>
  <c r="W78" i="39"/>
  <c r="T73" i="39"/>
  <c r="S72" i="39"/>
  <c r="Y72" i="39"/>
  <c r="X73" i="39"/>
  <c r="L90" i="39"/>
  <c r="L87" i="39"/>
  <c r="L91" i="39"/>
  <c r="L88" i="39"/>
  <c r="L89" i="39"/>
  <c r="U90" i="39"/>
  <c r="U88" i="39"/>
  <c r="U91" i="39"/>
  <c r="U87" i="39"/>
  <c r="U89" i="39"/>
  <c r="M73" i="39"/>
  <c r="N72" i="39"/>
  <c r="N73" i="39" s="1"/>
  <c r="R32" i="39"/>
  <c r="R33" i="39" s="1"/>
  <c r="S33" i="39"/>
  <c r="T86" i="39"/>
  <c r="S85" i="39"/>
  <c r="T51" i="39"/>
  <c r="T37" i="39"/>
  <c r="T36" i="39"/>
  <c r="T49" i="39"/>
  <c r="T34" i="39"/>
  <c r="T35" i="39"/>
  <c r="T50" i="39"/>
  <c r="T47" i="39"/>
  <c r="T38" i="39"/>
  <c r="T48" i="39"/>
  <c r="X48" i="39"/>
  <c r="X47" i="39"/>
  <c r="X37" i="39"/>
  <c r="X38" i="39"/>
  <c r="X49" i="39"/>
  <c r="X50" i="39"/>
  <c r="X35" i="39"/>
  <c r="X34" i="39"/>
  <c r="X36" i="39"/>
  <c r="X51" i="39"/>
  <c r="X46" i="39"/>
  <c r="Y45" i="39"/>
  <c r="S45" i="39"/>
  <c r="T46" i="39"/>
  <c r="U76" i="39"/>
  <c r="U78" i="39"/>
  <c r="U77" i="39"/>
  <c r="U75" i="39"/>
  <c r="U74" i="39"/>
  <c r="M46" i="39"/>
  <c r="N45" i="39"/>
  <c r="N46" i="39" s="1"/>
  <c r="X21" i="39"/>
  <c r="X22" i="39"/>
  <c r="X24" i="39"/>
  <c r="X25" i="39"/>
  <c r="X23" i="39"/>
  <c r="Z19" i="39"/>
  <c r="Z20" i="39" s="1"/>
  <c r="Y20" i="39"/>
  <c r="Y33" i="39"/>
  <c r="Z32" i="39"/>
  <c r="Z33" i="39" s="1"/>
  <c r="F85" i="39"/>
  <c r="F86" i="39" s="1"/>
  <c r="G86" i="39"/>
  <c r="T24" i="39"/>
  <c r="T23" i="39"/>
  <c r="T21" i="39"/>
  <c r="T25" i="39"/>
  <c r="T22" i="39"/>
  <c r="F74" i="41" l="1"/>
  <c r="Y61" i="39"/>
  <c r="Y63" i="39"/>
  <c r="Y65" i="39"/>
  <c r="Y62" i="39"/>
  <c r="Y64" i="39"/>
  <c r="Z62" i="39"/>
  <c r="Z63" i="39"/>
  <c r="Z65" i="39"/>
  <c r="Z64" i="39"/>
  <c r="Z61" i="39"/>
  <c r="S64" i="39"/>
  <c r="S65" i="39"/>
  <c r="S61" i="39"/>
  <c r="S63" i="39"/>
  <c r="S62" i="39"/>
  <c r="R63" i="39"/>
  <c r="R64" i="39"/>
  <c r="R62" i="39"/>
  <c r="R65" i="39"/>
  <c r="R61" i="39"/>
  <c r="S47" i="39"/>
  <c r="S36" i="39"/>
  <c r="S50" i="39"/>
  <c r="S37" i="39"/>
  <c r="S35" i="39"/>
  <c r="S38" i="39"/>
  <c r="S48" i="39"/>
  <c r="S51" i="39"/>
  <c r="S49" i="39"/>
  <c r="S34" i="39"/>
  <c r="Y36" i="39"/>
  <c r="Y34" i="39"/>
  <c r="Y38" i="39"/>
  <c r="Y50" i="39"/>
  <c r="Y48" i="39"/>
  <c r="Y51" i="39"/>
  <c r="Y47" i="39"/>
  <c r="Y37" i="39"/>
  <c r="Y35" i="39"/>
  <c r="Y49" i="39"/>
  <c r="S73" i="39"/>
  <c r="R72" i="39"/>
  <c r="R73" i="39" s="1"/>
  <c r="M88" i="39"/>
  <c r="M91" i="39"/>
  <c r="M89" i="39"/>
  <c r="M87" i="39"/>
  <c r="M90" i="39"/>
  <c r="R23" i="39"/>
  <c r="R24" i="39"/>
  <c r="R25" i="39"/>
  <c r="R22" i="39"/>
  <c r="R21" i="39"/>
  <c r="S86" i="39"/>
  <c r="R85" i="39"/>
  <c r="R86" i="39" s="1"/>
  <c r="T77" i="39"/>
  <c r="T78" i="39"/>
  <c r="T75" i="39"/>
  <c r="T76" i="39"/>
  <c r="T74" i="39"/>
  <c r="T90" i="39"/>
  <c r="T87" i="39"/>
  <c r="T88" i="39"/>
  <c r="T89" i="39"/>
  <c r="T91" i="39"/>
  <c r="Y46" i="39"/>
  <c r="Z45" i="39"/>
  <c r="Z46" i="39" s="1"/>
  <c r="R38" i="39"/>
  <c r="R36" i="39"/>
  <c r="R47" i="39"/>
  <c r="R51" i="39"/>
  <c r="R49" i="39"/>
  <c r="R48" i="39"/>
  <c r="R34" i="39"/>
  <c r="R50" i="39"/>
  <c r="R37" i="39"/>
  <c r="R35" i="39"/>
  <c r="Y86" i="39"/>
  <c r="Z85" i="39"/>
  <c r="Z86" i="39" s="1"/>
  <c r="G88" i="39"/>
  <c r="G90" i="39"/>
  <c r="G91" i="39"/>
  <c r="G87" i="39"/>
  <c r="G89" i="39"/>
  <c r="F90" i="39"/>
  <c r="F87" i="39"/>
  <c r="F89" i="39"/>
  <c r="F91" i="39"/>
  <c r="F88" i="39"/>
  <c r="Y21" i="39"/>
  <c r="Y23" i="39"/>
  <c r="Y22" i="39"/>
  <c r="Y25" i="39"/>
  <c r="Y24" i="39"/>
  <c r="X77" i="39"/>
  <c r="X76" i="39"/>
  <c r="X74" i="39"/>
  <c r="X78" i="39"/>
  <c r="X75" i="39"/>
  <c r="S46" i="39"/>
  <c r="R45" i="39"/>
  <c r="R46" i="39" s="1"/>
  <c r="X87" i="39"/>
  <c r="X88" i="39"/>
  <c r="X89" i="39"/>
  <c r="X90" i="39"/>
  <c r="X91" i="39"/>
  <c r="Z49" i="39"/>
  <c r="Z47" i="39"/>
  <c r="Z50" i="39"/>
  <c r="Z38" i="39"/>
  <c r="Z36" i="39"/>
  <c r="Z48" i="39"/>
  <c r="Z37" i="39"/>
  <c r="Z35" i="39"/>
  <c r="Z51" i="39"/>
  <c r="Z34" i="39"/>
  <c r="Z25" i="39"/>
  <c r="Z23" i="39"/>
  <c r="Z24" i="39"/>
  <c r="Z22" i="39"/>
  <c r="Z21" i="39"/>
  <c r="Z72" i="39"/>
  <c r="Z73" i="39" s="1"/>
  <c r="Y73" i="39"/>
  <c r="N87" i="39"/>
  <c r="N90" i="39"/>
  <c r="N91" i="39"/>
  <c r="N88" i="39"/>
  <c r="N89" i="39"/>
  <c r="S25" i="39"/>
  <c r="S23" i="39"/>
  <c r="S21" i="39"/>
  <c r="S22" i="39"/>
  <c r="S24" i="39"/>
  <c r="S77" i="39" l="1"/>
  <c r="S74" i="39"/>
  <c r="S76" i="39"/>
  <c r="S75" i="39"/>
  <c r="S78" i="39"/>
  <c r="R77" i="39"/>
  <c r="R76" i="39"/>
  <c r="R75" i="39"/>
  <c r="R74" i="39"/>
  <c r="R78" i="39"/>
  <c r="R90" i="39"/>
  <c r="R89" i="39"/>
  <c r="R91" i="39"/>
  <c r="R88" i="39"/>
  <c r="R87" i="39"/>
  <c r="Y75" i="39"/>
  <c r="Y74" i="39"/>
  <c r="Y77" i="39"/>
  <c r="Y78" i="39"/>
  <c r="Y76" i="39"/>
  <c r="Z87" i="39"/>
  <c r="Z91" i="39"/>
  <c r="Z89" i="39"/>
  <c r="Z90" i="39"/>
  <c r="Z88" i="39"/>
  <c r="Z75" i="39"/>
  <c r="Z74" i="39"/>
  <c r="Z77" i="39"/>
  <c r="Z76" i="39"/>
  <c r="Z78" i="39"/>
  <c r="Y89" i="39"/>
  <c r="Y91" i="39"/>
  <c r="Y88" i="39"/>
  <c r="Y87" i="39"/>
  <c r="Y90" i="39"/>
  <c r="S87" i="39"/>
  <c r="S89" i="39"/>
  <c r="S88" i="39"/>
  <c r="S91" i="39"/>
  <c r="S90" i="39"/>
  <c r="B30" i="40" l="1"/>
  <c r="D29" i="2"/>
  <c r="O9" i="2"/>
  <c r="D34" i="34"/>
  <c r="B32" i="40" l="1"/>
  <c r="B35" i="40" s="1"/>
  <c r="B78" i="40" s="1"/>
  <c r="B79" i="40" s="1"/>
  <c r="B20" i="41"/>
  <c r="E30" i="40"/>
  <c r="O9" i="20"/>
  <c r="C30" i="40"/>
  <c r="O9" i="19"/>
  <c r="O10" i="2"/>
  <c r="E29" i="2"/>
  <c r="B19" i="39"/>
  <c r="B20" i="39" s="1"/>
  <c r="O9" i="30"/>
  <c r="F30" i="40"/>
  <c r="B72" i="39" s="1"/>
  <c r="D29" i="30"/>
  <c r="D30" i="40"/>
  <c r="D32" i="40" s="1"/>
  <c r="O9" i="22"/>
  <c r="D29" i="22"/>
  <c r="D31" i="2"/>
  <c r="D35" i="2" s="1"/>
  <c r="D39" i="2"/>
  <c r="H30" i="40"/>
  <c r="H32" i="40" s="1"/>
  <c r="D36" i="34"/>
  <c r="D47" i="34" s="1"/>
  <c r="D28" i="10"/>
  <c r="B71" i="40" l="1"/>
  <c r="B72" i="40" s="1"/>
  <c r="B86" i="40" s="1"/>
  <c r="F23" i="41"/>
  <c r="B23" i="41"/>
  <c r="C32" i="40"/>
  <c r="C35" i="40" s="1"/>
  <c r="C78" i="40" s="1"/>
  <c r="C79" i="40" s="1"/>
  <c r="B4" i="41"/>
  <c r="E32" i="40"/>
  <c r="E71" i="40" s="1"/>
  <c r="B37" i="41"/>
  <c r="F32" i="40"/>
  <c r="F35" i="40" s="1"/>
  <c r="F78" i="40" s="1"/>
  <c r="F79" i="40" s="1"/>
  <c r="B54" i="41"/>
  <c r="D35" i="40"/>
  <c r="D78" i="40" s="1"/>
  <c r="D79" i="40" s="1"/>
  <c r="D71" i="40"/>
  <c r="D39" i="19"/>
  <c r="D35" i="19"/>
  <c r="D38" i="34"/>
  <c r="D42" i="34" s="1"/>
  <c r="O11" i="2"/>
  <c r="F29" i="2"/>
  <c r="E29" i="22"/>
  <c r="O10" i="22"/>
  <c r="E29" i="30"/>
  <c r="O10" i="30"/>
  <c r="E31" i="2"/>
  <c r="E35" i="2" s="1"/>
  <c r="E39" i="2"/>
  <c r="D39" i="30"/>
  <c r="D31" i="30"/>
  <c r="D35" i="30" s="1"/>
  <c r="O10" i="20"/>
  <c r="E29" i="20"/>
  <c r="J25" i="39"/>
  <c r="L23" i="39"/>
  <c r="N24" i="39"/>
  <c r="N22" i="39"/>
  <c r="M23" i="39"/>
  <c r="F21" i="39"/>
  <c r="H22" i="39"/>
  <c r="M22" i="39"/>
  <c r="G23" i="39"/>
  <c r="F24" i="39"/>
  <c r="N21" i="39"/>
  <c r="H23" i="39"/>
  <c r="G22" i="39"/>
  <c r="N25" i="39"/>
  <c r="L22" i="39"/>
  <c r="I23" i="39"/>
  <c r="J21" i="39"/>
  <c r="K21" i="39"/>
  <c r="F25" i="39"/>
  <c r="K23" i="39"/>
  <c r="M21" i="39"/>
  <c r="M25" i="39"/>
  <c r="K22" i="39"/>
  <c r="J22" i="39"/>
  <c r="L24" i="39"/>
  <c r="J23" i="39"/>
  <c r="G25" i="39"/>
  <c r="L21" i="39"/>
  <c r="L25" i="39"/>
  <c r="M24" i="39"/>
  <c r="F22" i="39"/>
  <c r="H25" i="39"/>
  <c r="F23" i="39"/>
  <c r="I24" i="39"/>
  <c r="J24" i="39"/>
  <c r="H24" i="39"/>
  <c r="K24" i="39"/>
  <c r="G21" i="39"/>
  <c r="G24" i="39"/>
  <c r="I21" i="39"/>
  <c r="I25" i="39"/>
  <c r="N23" i="39"/>
  <c r="H21" i="39"/>
  <c r="K25" i="39"/>
  <c r="I22" i="39"/>
  <c r="H71" i="40"/>
  <c r="H35" i="40"/>
  <c r="H78" i="40" s="1"/>
  <c r="H79" i="40" s="1"/>
  <c r="D39" i="20"/>
  <c r="D35" i="20"/>
  <c r="D30" i="10"/>
  <c r="E28" i="10"/>
  <c r="I30" i="40"/>
  <c r="I32" i="40" s="1"/>
  <c r="D31" i="22"/>
  <c r="D35" i="22" s="1"/>
  <c r="D39" i="22"/>
  <c r="O10" i="19"/>
  <c r="E29" i="19"/>
  <c r="B85" i="40" l="1"/>
  <c r="C71" i="40"/>
  <c r="C72" i="40" s="1"/>
  <c r="C86" i="40" s="1"/>
  <c r="F71" i="40"/>
  <c r="F72" i="40" s="1"/>
  <c r="F86" i="40" s="1"/>
  <c r="E35" i="40"/>
  <c r="E78" i="40" s="1"/>
  <c r="E79" i="40" s="1"/>
  <c r="F18" i="41"/>
  <c r="B40" i="41"/>
  <c r="F40" i="41"/>
  <c r="F57" i="41"/>
  <c r="B57" i="41"/>
  <c r="C20" i="41"/>
  <c r="F7" i="41"/>
  <c r="B7" i="41"/>
  <c r="C4" i="41" s="1"/>
  <c r="C19" i="41"/>
  <c r="C21" i="41"/>
  <c r="F29" i="19"/>
  <c r="O11" i="19"/>
  <c r="B45" i="39"/>
  <c r="B46" i="39" s="1"/>
  <c r="F29" i="22"/>
  <c r="O11" i="22"/>
  <c r="E39" i="19"/>
  <c r="E31" i="19"/>
  <c r="E35" i="19" s="1"/>
  <c r="H72" i="40"/>
  <c r="H86" i="40" s="1"/>
  <c r="H85" i="40"/>
  <c r="O11" i="20"/>
  <c r="B59" i="39"/>
  <c r="B60" i="39" s="1"/>
  <c r="F29" i="20"/>
  <c r="F39" i="20" s="1"/>
  <c r="F31" i="2"/>
  <c r="F35" i="2" s="1"/>
  <c r="F39" i="2"/>
  <c r="O12" i="2"/>
  <c r="G29" i="2"/>
  <c r="E30" i="10"/>
  <c r="F28" i="10"/>
  <c r="O11" i="30"/>
  <c r="B73" i="39" s="1"/>
  <c r="J76" i="39" s="1"/>
  <c r="F29" i="30"/>
  <c r="D85" i="40"/>
  <c r="D72" i="40"/>
  <c r="D86" i="40" s="1"/>
  <c r="E72" i="40"/>
  <c r="E86" i="40" s="1"/>
  <c r="E85" i="40"/>
  <c r="E31" i="30"/>
  <c r="E35" i="30" s="1"/>
  <c r="E39" i="30"/>
  <c r="I71" i="40"/>
  <c r="I35" i="40"/>
  <c r="I78" i="40" s="1"/>
  <c r="I79" i="40" s="1"/>
  <c r="D32" i="10"/>
  <c r="D36" i="10" s="1"/>
  <c r="D40" i="10"/>
  <c r="E39" i="20"/>
  <c r="E31" i="20"/>
  <c r="E35" i="20" s="1"/>
  <c r="E31" i="22"/>
  <c r="E35" i="22" s="1"/>
  <c r="E39" i="22"/>
  <c r="F52" i="41" l="1"/>
  <c r="F85" i="40"/>
  <c r="C23" i="41"/>
  <c r="F20" i="41" s="1"/>
  <c r="C85" i="40"/>
  <c r="F2" i="41"/>
  <c r="F35" i="41"/>
  <c r="C54" i="41"/>
  <c r="C55" i="41"/>
  <c r="C53" i="41"/>
  <c r="C37" i="41"/>
  <c r="C36" i="41"/>
  <c r="C38" i="41"/>
  <c r="C5" i="41"/>
  <c r="C3" i="41"/>
  <c r="I72" i="40"/>
  <c r="I86" i="40" s="1"/>
  <c r="I85" i="40"/>
  <c r="J75" i="39"/>
  <c r="N74" i="39"/>
  <c r="L74" i="39"/>
  <c r="F77" i="39"/>
  <c r="H77" i="39"/>
  <c r="L77" i="39"/>
  <c r="G78" i="39"/>
  <c r="K77" i="39"/>
  <c r="H76" i="39"/>
  <c r="N76" i="39"/>
  <c r="I75" i="39"/>
  <c r="H78" i="39"/>
  <c r="F78" i="39"/>
  <c r="F76" i="39"/>
  <c r="J78" i="39"/>
  <c r="M75" i="39"/>
  <c r="G74" i="39"/>
  <c r="I74" i="39"/>
  <c r="H74" i="39"/>
  <c r="I77" i="39"/>
  <c r="I78" i="39"/>
  <c r="F75" i="39"/>
  <c r="M74" i="39"/>
  <c r="G77" i="39"/>
  <c r="G76" i="39"/>
  <c r="L75" i="39"/>
  <c r="L78" i="39"/>
  <c r="K76" i="39"/>
  <c r="N75" i="39"/>
  <c r="F74" i="39"/>
  <c r="N77" i="39"/>
  <c r="K74" i="39"/>
  <c r="J77" i="39"/>
  <c r="L76" i="39"/>
  <c r="N78" i="39"/>
  <c r="M76" i="39"/>
  <c r="M78" i="39"/>
  <c r="J74" i="39"/>
  <c r="M77" i="39"/>
  <c r="I76" i="39"/>
  <c r="H75" i="39"/>
  <c r="G75" i="39"/>
  <c r="K75" i="39"/>
  <c r="K78" i="39"/>
  <c r="G28" i="10"/>
  <c r="F30" i="10"/>
  <c r="E32" i="10"/>
  <c r="E36" i="10" s="1"/>
  <c r="E40" i="10"/>
  <c r="F39" i="22"/>
  <c r="F31" i="22"/>
  <c r="F35" i="22" s="1"/>
  <c r="H51" i="39"/>
  <c r="J48" i="39"/>
  <c r="F47" i="39"/>
  <c r="N49" i="39"/>
  <c r="K47" i="39"/>
  <c r="M48" i="39"/>
  <c r="J49" i="39"/>
  <c r="G50" i="39"/>
  <c r="G48" i="39"/>
  <c r="M50" i="39"/>
  <c r="I48" i="39"/>
  <c r="K51" i="39"/>
  <c r="N50" i="39"/>
  <c r="H49" i="39"/>
  <c r="F49" i="39"/>
  <c r="I50" i="39"/>
  <c r="J50" i="39"/>
  <c r="I51" i="39"/>
  <c r="G47" i="39"/>
  <c r="L51" i="39"/>
  <c r="G51" i="39"/>
  <c r="N48" i="39"/>
  <c r="H48" i="39"/>
  <c r="H50" i="39"/>
  <c r="G49" i="39"/>
  <c r="L47" i="39"/>
  <c r="J47" i="39"/>
  <c r="F48" i="39"/>
  <c r="K50" i="39"/>
  <c r="K49" i="39"/>
  <c r="L49" i="39"/>
  <c r="I49" i="39"/>
  <c r="L50" i="39"/>
  <c r="M51" i="39"/>
  <c r="N51" i="39"/>
  <c r="F50" i="39"/>
  <c r="K48" i="39"/>
  <c r="M49" i="39"/>
  <c r="F51" i="39"/>
  <c r="N47" i="39"/>
  <c r="I47" i="39"/>
  <c r="H47" i="39"/>
  <c r="M47" i="39"/>
  <c r="J51" i="39"/>
  <c r="L48" i="39"/>
  <c r="G29" i="22"/>
  <c r="O12" i="22"/>
  <c r="F31" i="20"/>
  <c r="F35" i="20" s="1"/>
  <c r="G29" i="19"/>
  <c r="O12" i="19"/>
  <c r="H29" i="19"/>
  <c r="H31" i="19" s="1"/>
  <c r="B32" i="39"/>
  <c r="B33" i="39" s="1"/>
  <c r="F31" i="30"/>
  <c r="F35" i="30" s="1"/>
  <c r="F39" i="30"/>
  <c r="G31" i="2"/>
  <c r="G35" i="2" s="1"/>
  <c r="G39" i="2"/>
  <c r="O13" i="2"/>
  <c r="H29" i="2"/>
  <c r="O12" i="20"/>
  <c r="G29" i="20"/>
  <c r="O12" i="30"/>
  <c r="G29" i="30"/>
  <c r="G64" i="39"/>
  <c r="K65" i="39"/>
  <c r="M64" i="39"/>
  <c r="M61" i="39"/>
  <c r="F61" i="39"/>
  <c r="F62" i="39"/>
  <c r="H63" i="39"/>
  <c r="L61" i="39"/>
  <c r="N63" i="39"/>
  <c r="M62" i="39"/>
  <c r="K61" i="39"/>
  <c r="I61" i="39"/>
  <c r="N62" i="39"/>
  <c r="G62" i="39"/>
  <c r="I64" i="39"/>
  <c r="K64" i="39"/>
  <c r="J62" i="39"/>
  <c r="I62" i="39"/>
  <c r="J65" i="39"/>
  <c r="H65" i="39"/>
  <c r="L63" i="39"/>
  <c r="J63" i="39"/>
  <c r="H61" i="39"/>
  <c r="J64" i="39"/>
  <c r="I65" i="39"/>
  <c r="N64" i="39"/>
  <c r="G65" i="39"/>
  <c r="L65" i="39"/>
  <c r="K63" i="39"/>
  <c r="H62" i="39"/>
  <c r="F65" i="39"/>
  <c r="I63" i="39"/>
  <c r="F64" i="39"/>
  <c r="N61" i="39"/>
  <c r="L64" i="39"/>
  <c r="M63" i="39"/>
  <c r="M65" i="39"/>
  <c r="G61" i="39"/>
  <c r="F63" i="39"/>
  <c r="G63" i="39"/>
  <c r="J61" i="39"/>
  <c r="N65" i="39"/>
  <c r="L62" i="39"/>
  <c r="H64" i="39"/>
  <c r="K62" i="39"/>
  <c r="F31" i="19"/>
  <c r="F35" i="19" s="1"/>
  <c r="F39" i="19"/>
  <c r="C7" i="41" l="1"/>
  <c r="F4" i="41" s="1"/>
  <c r="C57" i="41"/>
  <c r="F54" i="41" s="1"/>
  <c r="C40" i="41"/>
  <c r="F37" i="41" s="1"/>
  <c r="O13" i="30"/>
  <c r="H29" i="30"/>
  <c r="H29" i="20"/>
  <c r="O13" i="20"/>
  <c r="G31" i="30"/>
  <c r="G35" i="30" s="1"/>
  <c r="G39" i="30"/>
  <c r="G31" i="20"/>
  <c r="G35" i="20" s="1"/>
  <c r="G39" i="20"/>
  <c r="H39" i="2"/>
  <c r="H31" i="2"/>
  <c r="H35" i="2" s="1"/>
  <c r="I29" i="2"/>
  <c r="O14" i="2"/>
  <c r="O13" i="22"/>
  <c r="H29" i="22"/>
  <c r="G30" i="10"/>
  <c r="H28" i="10"/>
  <c r="J34" i="39"/>
  <c r="N34" i="39"/>
  <c r="H36" i="39"/>
  <c r="M35" i="39"/>
  <c r="G34" i="39"/>
  <c r="F36" i="39"/>
  <c r="M38" i="39"/>
  <c r="N35" i="39"/>
  <c r="K38" i="39"/>
  <c r="L36" i="39"/>
  <c r="N37" i="39"/>
  <c r="I35" i="39"/>
  <c r="J37" i="39"/>
  <c r="N38" i="39"/>
  <c r="L37" i="39"/>
  <c r="H37" i="39"/>
  <c r="N36" i="39"/>
  <c r="F37" i="39"/>
  <c r="H38" i="39"/>
  <c r="I34" i="39"/>
  <c r="G38" i="39"/>
  <c r="K34" i="39"/>
  <c r="M36" i="39"/>
  <c r="G35" i="39"/>
  <c r="J36" i="39"/>
  <c r="K35" i="39"/>
  <c r="I36" i="39"/>
  <c r="I37" i="39"/>
  <c r="K36" i="39"/>
  <c r="I38" i="39"/>
  <c r="L38" i="39"/>
  <c r="G37" i="39"/>
  <c r="J38" i="39"/>
  <c r="K37" i="39"/>
  <c r="H34" i="39"/>
  <c r="M37" i="39"/>
  <c r="L34" i="39"/>
  <c r="G36" i="39"/>
  <c r="F34" i="39"/>
  <c r="M34" i="39"/>
  <c r="J35" i="39"/>
  <c r="L35" i="39"/>
  <c r="H35" i="39"/>
  <c r="F35" i="39"/>
  <c r="F38" i="39"/>
  <c r="O13" i="19"/>
  <c r="G31" i="19"/>
  <c r="G35" i="19" s="1"/>
  <c r="G39" i="19"/>
  <c r="G31" i="22"/>
  <c r="G35" i="22" s="1"/>
  <c r="G39" i="22"/>
  <c r="F40" i="10"/>
  <c r="F32" i="10"/>
  <c r="F36" i="10" s="1"/>
  <c r="O14" i="22" l="1"/>
  <c r="I29" i="22"/>
  <c r="H39" i="20"/>
  <c r="H31" i="20"/>
  <c r="H35" i="20" s="1"/>
  <c r="H39" i="19"/>
  <c r="H35" i="19"/>
  <c r="H39" i="22"/>
  <c r="H31" i="22"/>
  <c r="H35" i="22" s="1"/>
  <c r="O14" i="20"/>
  <c r="I29" i="20"/>
  <c r="I31" i="2"/>
  <c r="I35" i="2" s="1"/>
  <c r="I39" i="2"/>
  <c r="H30" i="10"/>
  <c r="I28" i="10"/>
  <c r="I30" i="10" s="1"/>
  <c r="G32" i="10"/>
  <c r="G36" i="10" s="1"/>
  <c r="G40" i="10"/>
  <c r="H31" i="30"/>
  <c r="H35" i="30" s="1"/>
  <c r="H39" i="30"/>
  <c r="I39" i="20" l="1"/>
  <c r="I31" i="20"/>
  <c r="I35" i="20" s="1"/>
  <c r="I40" i="10"/>
  <c r="I32" i="10"/>
  <c r="I36" i="10" s="1"/>
  <c r="I39" i="22"/>
  <c r="I31" i="22"/>
  <c r="I35" i="22" s="1"/>
  <c r="H32" i="10"/>
  <c r="H36" i="10" s="1"/>
  <c r="H40" i="10"/>
</calcChain>
</file>

<file path=xl/sharedStrings.xml><?xml version="1.0" encoding="utf-8"?>
<sst xmlns="http://schemas.openxmlformats.org/spreadsheetml/2006/main" count="565" uniqueCount="170">
  <si>
    <t xml:space="preserve">NWFS </t>
  </si>
  <si>
    <t>Datum opgedateer / Date updated</t>
  </si>
  <si>
    <t>Gewas</t>
  </si>
  <si>
    <t>SAFEX pryse (R/ton)</t>
  </si>
  <si>
    <t>Total deductions (R/ton)</t>
  </si>
  <si>
    <t>Graansorghum / Grain sorghum</t>
  </si>
  <si>
    <t>Grondbone/ Groundnuts:  Keur/ Choice 1</t>
  </si>
  <si>
    <t xml:space="preserve">                    Keur/ Choice 2</t>
  </si>
  <si>
    <t xml:space="preserve">                    Diverse</t>
  </si>
  <si>
    <t xml:space="preserve">                    Pers (eet) / Crush (eat)</t>
  </si>
  <si>
    <t xml:space="preserve">                    Pers (olie) / Crush (oil)</t>
  </si>
  <si>
    <t xml:space="preserve">                    Hooi verkope / sales</t>
  </si>
  <si>
    <t>ROUNDUP READY MIELIES (Laer potensiaal) / ROUNDUP READY MAIZE (Lower potential)</t>
  </si>
  <si>
    <t>MIELIES: SENSITIWITEITSANALISE - TOTALE KOSTES ( DIREKTE KOSTE + VASTE KOSTE) R/ton</t>
  </si>
  <si>
    <t>MIELIES: SENSITIWITEITSANALISE - DIREKTE KOSTE R/ton</t>
  </si>
  <si>
    <t>Lopendekoste / Variable cost (R/ha)</t>
  </si>
  <si>
    <t>Huidig</t>
  </si>
  <si>
    <t>Oorhoofse koste / Overhead cost (R/ha)</t>
  </si>
  <si>
    <t>SAFEX prys / price(R/ton)</t>
  </si>
  <si>
    <t>Totale Koste / Total cost (R/ha)</t>
  </si>
  <si>
    <t>Produsenteprys/ Producer price</t>
  </si>
  <si>
    <t>Opbrengs / Yield (t/ha)</t>
  </si>
  <si>
    <t>Gemid Opbrengs / Average Yield (t/ha)</t>
  </si>
  <si>
    <t>SAFEX Jul'21 WM 1 prys/price  (R/ton)</t>
  </si>
  <si>
    <t xml:space="preserve">Aftrekkings / Deductions </t>
  </si>
  <si>
    <t>Produsenteprys/ Producer price (R/ton)</t>
  </si>
  <si>
    <r>
      <t>ROUNDUP READY MIELIES (Ho</t>
    </r>
    <r>
      <rPr>
        <b/>
        <sz val="10"/>
        <rFont val="Calibri"/>
        <family val="2"/>
      </rPr>
      <t>ё</t>
    </r>
    <r>
      <rPr>
        <b/>
        <sz val="10"/>
        <rFont val="Arial"/>
        <family val="2"/>
      </rPr>
      <t>r potensiaal) / ROUNDUP READY MAIZE (Higher potential)</t>
    </r>
  </si>
  <si>
    <t>BT MIELIES / BT MAIZE</t>
  </si>
  <si>
    <t>SONNEBLOM / SUNFLOWER</t>
  </si>
  <si>
    <t>SONNEBLOM: SENSITIWITEITSANALISE - TOTALE KOSTES ( DIREKTE KOSTE + VASTE KOSTE) R/ton</t>
  </si>
  <si>
    <t>SONNEBLOM: SENSITIWITEITSANALISE - DIREKTE KOSTE R/ton</t>
  </si>
  <si>
    <t>SAFEX May'21 prys/price  (R/ton)</t>
  </si>
  <si>
    <t>SOJABONE / SOYBEANS</t>
  </si>
  <si>
    <t>SOJABONE: SENSITIWITEITSANALISE - TOTALE KOSTES ( DIREKTE KOSTE + VASTE KOSTE) R/ton</t>
  </si>
  <si>
    <t>SOJABONE: SENSITIWITEITSANALISE - DIREKTE KOSTE R/ton</t>
  </si>
  <si>
    <t>Huidige</t>
  </si>
  <si>
    <t>SAFEX Mei'21 Soy prys/price  (R/ton)</t>
  </si>
  <si>
    <t>GRAANSORGHUM / GRAIN SORGHUM</t>
  </si>
  <si>
    <t>SORGHUM: SENSITIWITEITSANALISE - TOTALE KOSTES ( DIREKTE KOSTE + VASTE KOSTE) R/ton</t>
  </si>
  <si>
    <t>SORGHUM: SENSATIWITIETSANALISE - DIREKTE KOSTE R/ton</t>
  </si>
  <si>
    <t>SAFEX Jul'21 prys/price  (R/ton)</t>
  </si>
  <si>
    <t>Produsent prys raming vir droëland ROUND-UP READY MIELIES (lae potensiaal)  /               Producer price framework for dry land ROUND-UP READY MAIZE (low potential)</t>
  </si>
  <si>
    <t>PRODUKSIEJAAR   2024-25                     PRODUCTION YEAR 2024-25</t>
  </si>
  <si>
    <t>Huidige Produkprys op plaas vir beste graad / Current product price for the best grade (R/TON) (Safex min bemarkingskoste/marketing cost)</t>
  </si>
  <si>
    <t>Rand/ton</t>
  </si>
  <si>
    <t>Beplanningsopbrengs / Estimated yields (ton/ha)</t>
  </si>
  <si>
    <t>Bruto produksiewaarde / Gross production value (R/ha)</t>
  </si>
  <si>
    <t>RRLMielies</t>
  </si>
  <si>
    <t>Direk Toedeelbare veranderlike koste / Direct Allocated Variable costs (R/ha)</t>
  </si>
  <si>
    <t>Opbrengspeil</t>
  </si>
  <si>
    <t>Lopende koste</t>
  </si>
  <si>
    <t>Oorhoofse koste</t>
  </si>
  <si>
    <t>Saad / Seed</t>
  </si>
  <si>
    <t>Kunsmis / Fertiliser</t>
  </si>
  <si>
    <t>Kalk / Lime</t>
  </si>
  <si>
    <t>Brandstof / Fuel</t>
  </si>
  <si>
    <t>Reparasie / Reparation</t>
  </si>
  <si>
    <t>Onkruiddoders / Herbicide</t>
  </si>
  <si>
    <t>Plaagdoder / Pest control</t>
  </si>
  <si>
    <t>Insetversekering / Input insurance</t>
  </si>
  <si>
    <t>Graanprysverskansing / Grain hedging</t>
  </si>
  <si>
    <t>Kontrakstroop / Contract Harvesting</t>
  </si>
  <si>
    <t>Oesversekering / Harvest insurance</t>
  </si>
  <si>
    <t>Lugspuit / Aerial spray</t>
  </si>
  <si>
    <t>Losarbeid / Casual labour</t>
  </si>
  <si>
    <t>Droogkoste / Drying cost</t>
  </si>
  <si>
    <t>Verpakking en Pakmateriaal / Packaging and packaging material</t>
  </si>
  <si>
    <t>Produksiekrediet rente / Interest on production R/ha</t>
  </si>
  <si>
    <t>Totale Direk Toedeelbare veranderlike koste / Total Direct Allocated Variable Cost  (R/ha)</t>
  </si>
  <si>
    <t>Totale Oorhoofse koste / Total overhead cost R/ha</t>
  </si>
  <si>
    <t>Totale Koste per ha voor fisiese bemarking R/ha / Total cost per ha before marketing cost R/ha</t>
  </si>
  <si>
    <t>Totale koste per ton voor fisiese bemarking R/Ton / Total cost per ton before marketing cost R/Ton</t>
  </si>
  <si>
    <t>Totale bemarkingskoste / Total marketing cost R/ton</t>
  </si>
  <si>
    <t>Verwagte minimum Safex prys SONDER wins/ Expected minimum Safex price, WITHOUT profit</t>
  </si>
  <si>
    <t>Huidige Safex prys / Current Safex price</t>
  </si>
  <si>
    <t>BRUTO MARGE / GROSS MARGIN  (R/ha)</t>
  </si>
  <si>
    <t>NETTO MARGE / NETT MARGIN  (R/ha)</t>
  </si>
  <si>
    <r>
      <t>Disclaimer:</t>
    </r>
    <r>
      <rPr>
        <sz val="11"/>
        <rFont val="Calibri"/>
        <family val="2"/>
      </rPr>
      <t xml:space="preserve"> The information herein has been obtained from various sources, the accuracy and/or completeness of which Grain SA does not</t>
    </r>
  </si>
  <si>
    <t>guarantee and for which Grain SA accepts no liability. Any prices or levels contained herein are preliminary and indicative only and do not</t>
  </si>
  <si>
    <t>represent bids or offers. These indications are provided solely for your information and consideration.</t>
  </si>
  <si>
    <t xml:space="preserve">                                        Thank you to the Maize Trust for partially funding this project</t>
  </si>
  <si>
    <t>Produsent prys raming vir droëland ROUND-UP READY MIELIES (hoe potensiaal)  / Producer price framework for dry land ROUND-UP READY MAIZE (high potential)</t>
  </si>
  <si>
    <t>RRHMielies</t>
  </si>
  <si>
    <t>Produsent prys raming vir droëland Bt MIELIES  /                                                                               Producer price framework for dry land BT MAIZE</t>
  </si>
  <si>
    <t>BTMielies</t>
  </si>
  <si>
    <t>Produsent prys raming vir droëland SONNEBLOM vir die                                                    Producer price framework for dry land SUNFLOWER for the</t>
  </si>
  <si>
    <t>Sonneblom</t>
  </si>
  <si>
    <t>Produsent prys raming vir droëland SOJABONE vir die                                                                              Producer price framework for dry land SOYBEANS for the</t>
  </si>
  <si>
    <t>Sojabone</t>
  </si>
  <si>
    <t>Produsent prys raming vir droëland GRAANSORGHUM vir die                                                                 Producer price framework for dry land GRAIN SORGHUM for the</t>
  </si>
  <si>
    <t>Sorghum</t>
  </si>
  <si>
    <t>Produsent prys raming vir droëland GRONDBONE vir die /                                                               Producer price framework for dry land GROUNDNUTS for the</t>
  </si>
  <si>
    <t>Graadverdeling / Grade distribution</t>
  </si>
  <si>
    <t>Prys per graad / Price per grade (R/ton)</t>
  </si>
  <si>
    <t>%</t>
  </si>
  <si>
    <t>Keur / Choice 1</t>
  </si>
  <si>
    <t>Keur / Choice 2</t>
  </si>
  <si>
    <t>Diverse / Diverse</t>
  </si>
  <si>
    <t xml:space="preserve">Pers (eet) / Crusch </t>
  </si>
  <si>
    <t>Pers (olie)</t>
  </si>
  <si>
    <t>Hooi verkope / sales</t>
  </si>
  <si>
    <t>Gemiddelde prys vir al die grade / Average price for all grades</t>
  </si>
  <si>
    <t>Verwagte minimum prys SONDER wins/ Expected minimum price, WITHOUT profit</t>
  </si>
  <si>
    <t>Huidige prys / Current price (keur)</t>
  </si>
  <si>
    <t>Gemiddelde prys vir al die grade / Average price for all the grades</t>
  </si>
  <si>
    <t xml:space="preserve">Crop </t>
  </si>
  <si>
    <t>Maize (lower yield)</t>
  </si>
  <si>
    <t>Maize (higher yield)</t>
  </si>
  <si>
    <t>Maize (Bt)</t>
  </si>
  <si>
    <t>Sunflower</t>
  </si>
  <si>
    <t>Soybean</t>
  </si>
  <si>
    <t>Grain Sorghum</t>
  </si>
  <si>
    <t>Groundnuts</t>
  </si>
  <si>
    <t>Irr-Maize</t>
  </si>
  <si>
    <t xml:space="preserve">1) INCOME </t>
  </si>
  <si>
    <t>Yield target (ton/ha)</t>
  </si>
  <si>
    <t xml:space="preserve">SAFEX: Estimated Price </t>
  </si>
  <si>
    <t xml:space="preserve">Deductions </t>
  </si>
  <si>
    <t>Net Farm Gate Price</t>
  </si>
  <si>
    <t>GROSS INCOME (R/ha)</t>
  </si>
  <si>
    <t xml:space="preserve">2) VARIABLE EXPENDITURES </t>
  </si>
  <si>
    <t>Besproeiingskoste / Irrigation cost</t>
  </si>
  <si>
    <t>TOTAL VARIABLE EXPENDITURE (R/ha)</t>
  </si>
  <si>
    <t>TOTAL FIXED COST (R/ha)</t>
  </si>
  <si>
    <t>TOTAL COST (R/ha)</t>
  </si>
  <si>
    <t>3) GROSS MARGIN  (R/ha)</t>
  </si>
  <si>
    <t>4) NETT MARGIN  (R/ha)</t>
  </si>
  <si>
    <r>
      <rPr>
        <b/>
        <sz val="11"/>
        <color indexed="8"/>
        <rFont val="Calibri"/>
        <family val="2"/>
      </rPr>
      <t>Disclaimer:</t>
    </r>
    <r>
      <rPr>
        <sz val="10"/>
        <rFont val="Arial"/>
        <family val="2"/>
      </rPr>
      <t xml:space="preserve"> The information herein has been obtained from various sources, the accuracy and/or completeness of which Grain SA does not guarantee and for which Grain SA accepts no liability. Any prices or levels contained herein are preliminary and indicative only and do not represent bids or offers. These indications are provided solely for your information and consideration.</t>
    </r>
  </si>
  <si>
    <t xml:space="preserve">SUMMARY </t>
  </si>
  <si>
    <t>LGO (ton/ha)</t>
  </si>
  <si>
    <t>Net Farm Gate Price (R/ha)</t>
  </si>
  <si>
    <t>Net Farm Gate Price (R/ton)</t>
  </si>
  <si>
    <t xml:space="preserve">2) EXPENDITURES </t>
  </si>
  <si>
    <t>Total variable cost (R/ha)</t>
  </si>
  <si>
    <t>Total variable cost (R/ton)</t>
  </si>
  <si>
    <t>Total variable &amp; fixed expenditure (R/ha)</t>
  </si>
  <si>
    <t>Total variable &amp; fixed expenditure (R/ton)</t>
  </si>
  <si>
    <t>3) MARGIN</t>
  </si>
  <si>
    <t>Gross margin (R/ha)</t>
  </si>
  <si>
    <t>Gross margin (R/ton)</t>
  </si>
  <si>
    <t>Nett margin (R/ha)</t>
  </si>
  <si>
    <t>Net margin (R/ton)</t>
  </si>
  <si>
    <t>BREAK-EVEN &amp; PROFITABILITY (ONLY variable cost)</t>
  </si>
  <si>
    <t>Break-even yields (t/ha)</t>
  </si>
  <si>
    <t>Break-even Safex price (t/ha)</t>
  </si>
  <si>
    <t>BREAK-EVEN &amp; PROFITABILITY (variable &amp; fixed cost)</t>
  </si>
  <si>
    <t>Produsent prys raming vir BESPROEIING MIELIES vir die                                                                Producer price framework for IRRIGATION MAIZE for the</t>
  </si>
  <si>
    <t>Winsgewendheid: Mielies (Hoer opbrengs)</t>
  </si>
  <si>
    <t>Pointer</t>
  </si>
  <si>
    <t>Start</t>
  </si>
  <si>
    <t>% NM van tot</t>
  </si>
  <si>
    <t>Veranderlike koste</t>
  </si>
  <si>
    <t>Vaste koste</t>
  </si>
  <si>
    <t>End</t>
  </si>
  <si>
    <t>Totale inkomste</t>
  </si>
  <si>
    <t>Max</t>
  </si>
  <si>
    <t>Totaal</t>
  </si>
  <si>
    <t>Netto Marge</t>
  </si>
  <si>
    <t>Winsgewendheid: Mielies (Gemid opbrengs)</t>
  </si>
  <si>
    <t>Winsgewendheid: Sonneblom</t>
  </si>
  <si>
    <t>Winsgewendheid: Sojabone</t>
  </si>
  <si>
    <t>Winsgewendheid: Sorghum</t>
  </si>
  <si>
    <t>2025/26 season</t>
  </si>
  <si>
    <t>Mielies / Maize- Jul 26</t>
  </si>
  <si>
    <t>Sonneblom / Sunflower- Mei 26</t>
  </si>
  <si>
    <t>Sojabone / Soybeans- Mei 26</t>
  </si>
  <si>
    <t>PRODUKSIEJAAR   2025-26                     PRODUCTION YEAR 2025-26</t>
  </si>
  <si>
    <t>PRODUKSIEJAAR   2025-26   PRODUCTION YEAR 2025-26</t>
  </si>
  <si>
    <t>Gewasbeskerming/ Crop protection</t>
  </si>
  <si>
    <r>
      <rPr>
        <b/>
        <sz val="11"/>
        <color indexed="30"/>
        <rFont val="Calibri"/>
        <family val="2"/>
      </rPr>
      <t>NORTH WEST FREE STATE</t>
    </r>
    <r>
      <rPr>
        <b/>
        <sz val="11"/>
        <color indexed="8"/>
        <rFont val="Calibri"/>
        <family val="2"/>
      </rPr>
      <t xml:space="preserve"> INCOME &amp; COST BUDGETS - SUMMER CROPS 2025/26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</si>
</sst>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_ * #,##0.00_ ;_ * \-#,##0.00_ ;_ * &quot;-&quot;??_ ;_ @_ "/>
    <numFmt numFmtId="168" formatCode="0.00_)"/>
    <numFmt numFmtId="169" formatCode="0_)"/>
    <numFmt numFmtId="170" formatCode="0.0"/>
    <numFmt numFmtId="171" formatCode="_ * #,##0.0_ ;_ * \-#,##0.0_ ;_ * &quot;-&quot;?_ ;_ @_ "/>
    <numFmt numFmtId="172" formatCode="_ * #,##0_ ;_ * \-#,##0_ ;_ * &quot;-&quot;??_ ;_ @_ "/>
    <numFmt numFmtId="173" formatCode="_ * #,##0.00_ ;_ * \-#,##0.00_ ;_ * &quot;-&quot;?_ ;_ @_ "/>
    <numFmt numFmtId="174" formatCode="&quot;R&quot;\ #,##0.00"/>
    <numFmt numFmtId="175" formatCode="&quot;R&quot;\ #,##0"/>
    <numFmt numFmtId="176" formatCode="_ [$R-1C09]\ * #,##0.00_ ;_ [$R-1C09]\ * \-#,##0.00_ ;_ [$R-1C09]\ * &quot;-&quot;??_ ;_ @_ "/>
    <numFmt numFmtId="177" formatCode="&quot;R&quot;\ #,##0.0"/>
  </numFmts>
  <fonts count="37" x14ac:knownFonts="1">
    <font>
      <sz val="10"/>
      <name val="Arial"/>
    </font>
    <font>
      <sz val="11"/>
      <color theme="1"/>
      <name val="Calibri"/>
      <family val="2"/>
      <scheme val="minor"/>
    </font>
    <font>
      <b/>
      <sz val="10"/>
      <name val="Arial"/>
      <family val="2"/>
    </font>
    <font>
      <sz val="10"/>
      <name val="Arial"/>
      <family val="2"/>
    </font>
    <font>
      <b/>
      <sz val="10"/>
      <color indexed="10"/>
      <name val="Arial"/>
      <family val="2"/>
    </font>
    <font>
      <u/>
      <sz val="10"/>
      <color indexed="12"/>
      <name val="Courier"/>
      <family val="3"/>
    </font>
    <font>
      <b/>
      <sz val="12"/>
      <name val="Arial"/>
      <family val="2"/>
    </font>
    <font>
      <sz val="12"/>
      <name val="Arial"/>
      <family val="2"/>
    </font>
    <font>
      <b/>
      <sz val="11"/>
      <name val="Arial"/>
      <family val="2"/>
    </font>
    <font>
      <sz val="10"/>
      <name val="Arial"/>
      <family val="2"/>
    </font>
    <font>
      <sz val="10"/>
      <name val="Arial"/>
      <family val="2"/>
    </font>
    <font>
      <sz val="8"/>
      <name val="Arial"/>
      <family val="2"/>
    </font>
    <font>
      <sz val="10"/>
      <name val="Segoe UI"/>
      <family val="2"/>
    </font>
    <font>
      <sz val="11"/>
      <color indexed="8"/>
      <name val="Calibri"/>
      <family val="2"/>
    </font>
    <font>
      <b/>
      <sz val="10"/>
      <color indexed="30"/>
      <name val="Arial"/>
      <family val="2"/>
    </font>
    <font>
      <sz val="10"/>
      <name val="Arial"/>
      <family val="2"/>
    </font>
    <font>
      <b/>
      <sz val="11"/>
      <name val="Calibri"/>
      <family val="2"/>
    </font>
    <font>
      <sz val="11"/>
      <name val="Calibri"/>
      <family val="2"/>
    </font>
    <font>
      <sz val="10"/>
      <name val="Arial Black"/>
      <family val="2"/>
    </font>
    <font>
      <u/>
      <sz val="7.5"/>
      <color indexed="12"/>
      <name val="Arial"/>
      <family val="2"/>
    </font>
    <font>
      <b/>
      <sz val="10"/>
      <name val="Calibri"/>
      <family val="2"/>
    </font>
    <font>
      <sz val="11"/>
      <color indexed="8"/>
      <name val="Calibri"/>
      <family val="2"/>
    </font>
    <font>
      <b/>
      <sz val="11"/>
      <color indexed="8"/>
      <name val="Calibri"/>
      <family val="2"/>
    </font>
    <font>
      <sz val="11"/>
      <color indexed="10"/>
      <name val="Calibri"/>
      <family val="2"/>
    </font>
    <font>
      <b/>
      <sz val="18"/>
      <color indexed="17"/>
      <name val="Arial"/>
      <family val="2"/>
    </font>
    <font>
      <b/>
      <sz val="10"/>
      <color indexed="8"/>
      <name val="Arial"/>
      <family val="2"/>
    </font>
    <font>
      <b/>
      <sz val="11"/>
      <color indexed="10"/>
      <name val="Calibri"/>
      <family val="2"/>
    </font>
    <font>
      <sz val="11"/>
      <name val="Times New Roman"/>
      <family val="1"/>
    </font>
    <font>
      <b/>
      <sz val="11"/>
      <color indexed="30"/>
      <name val="Calibri"/>
      <family val="2"/>
    </font>
    <font>
      <sz val="11"/>
      <color theme="1"/>
      <name val="Calibri"/>
      <family val="2"/>
      <scheme val="minor"/>
    </font>
    <font>
      <sz val="10"/>
      <color theme="1"/>
      <name val="Arial"/>
      <family val="2"/>
    </font>
    <font>
      <b/>
      <sz val="11"/>
      <color theme="0"/>
      <name val="Arial"/>
      <family val="2"/>
    </font>
    <font>
      <sz val="10"/>
      <color theme="0"/>
      <name val="Arial"/>
      <family val="2"/>
    </font>
    <font>
      <b/>
      <sz val="10"/>
      <color theme="0"/>
      <name val="Arial"/>
      <family val="2"/>
    </font>
    <font>
      <b/>
      <sz val="11"/>
      <color theme="0"/>
      <name val="Calibri"/>
      <family val="2"/>
    </font>
    <font>
      <sz val="10"/>
      <color rgb="FFFF0000"/>
      <name val="Arial"/>
      <family val="2"/>
    </font>
    <font>
      <sz val="10"/>
      <name val="Arial"/>
      <family val="2"/>
    </font>
  </fonts>
  <fills count="11">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0"/>
        <bgColor indexed="64"/>
      </patternFill>
    </fill>
    <fill>
      <patternFill patternType="solid">
        <fgColor indexed="9"/>
        <bgColor indexed="9"/>
      </patternFill>
    </fill>
    <fill>
      <patternFill patternType="solid">
        <fgColor indexed="22"/>
        <bgColor indexed="9"/>
      </patternFill>
    </fill>
    <fill>
      <patternFill patternType="solid">
        <fgColor theme="0"/>
        <bgColor indexed="64"/>
      </patternFill>
    </fill>
    <fill>
      <patternFill patternType="solid">
        <fgColor rgb="FF3A6367"/>
        <bgColor indexed="64"/>
      </patternFill>
    </fill>
    <fill>
      <patternFill patternType="solid">
        <fgColor rgb="FFAD9244"/>
        <bgColor indexed="64"/>
      </patternFill>
    </fill>
    <fill>
      <patternFill patternType="solid">
        <fgColor theme="4" tint="-0.249977111117893"/>
        <bgColor indexed="64"/>
      </patternFill>
    </fill>
  </fills>
  <borders count="48">
    <border>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bottom style="double">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16">
    <xf numFmtId="0" fontId="0" fillId="0" borderId="0"/>
    <xf numFmtId="167" fontId="3" fillId="0" borderId="0" applyFont="0" applyFill="0" applyBorder="0" applyAlignment="0" applyProtection="0"/>
    <xf numFmtId="167"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21" fillId="0" borderId="0" applyFont="0" applyFill="0" applyBorder="0" applyAlignment="0" applyProtection="0"/>
    <xf numFmtId="167" fontId="13"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164" fontId="3" fillId="0" borderId="0" applyFont="0" applyFill="0" applyBorder="0" applyAlignment="0" applyProtection="0"/>
    <xf numFmtId="166" fontId="21" fillId="0" borderId="0" applyFont="0" applyFill="0" applyBorder="0" applyAlignment="0" applyProtection="0"/>
    <xf numFmtId="166" fontId="13" fillId="0" borderId="0" applyFon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 fillId="0" borderId="0"/>
    <xf numFmtId="0" fontId="11" fillId="0" borderId="0"/>
    <xf numFmtId="0" fontId="11" fillId="0" borderId="0"/>
    <xf numFmtId="0" fontId="11" fillId="0" borderId="0"/>
    <xf numFmtId="0" fontId="3" fillId="0" borderId="0"/>
    <xf numFmtId="0" fontId="3" fillId="0" borderId="0"/>
    <xf numFmtId="0" fontId="12" fillId="0" borderId="0"/>
    <xf numFmtId="0" fontId="11" fillId="0" borderId="0"/>
    <xf numFmtId="0" fontId="30" fillId="0" borderId="0"/>
    <xf numFmtId="0" fontId="30" fillId="0" borderId="0"/>
    <xf numFmtId="0" fontId="3" fillId="0" borderId="0"/>
    <xf numFmtId="0" fontId="30" fillId="0" borderId="0"/>
    <xf numFmtId="0" fontId="30" fillId="0" borderId="0"/>
    <xf numFmtId="0" fontId="27" fillId="0" borderId="0"/>
    <xf numFmtId="0" fontId="3" fillId="0" borderId="0"/>
    <xf numFmtId="0" fontId="3" fillId="0" borderId="0"/>
    <xf numFmtId="0" fontId="29" fillId="0" borderId="0"/>
    <xf numFmtId="0" fontId="30" fillId="0" borderId="0"/>
    <xf numFmtId="0" fontId="30" fillId="0" borderId="0"/>
    <xf numFmtId="0" fontId="3" fillId="0" borderId="0"/>
    <xf numFmtId="0" fontId="30" fillId="0" borderId="0"/>
    <xf numFmtId="0" fontId="30" fillId="0" borderId="0"/>
    <xf numFmtId="0" fontId="3" fillId="0" borderId="0"/>
    <xf numFmtId="0" fontId="30" fillId="0" borderId="0"/>
    <xf numFmtId="0" fontId="30" fillId="0" borderId="0"/>
    <xf numFmtId="0" fontId="29" fillId="0" borderId="0"/>
    <xf numFmtId="0" fontId="11" fillId="0" borderId="0"/>
    <xf numFmtId="0" fontId="11" fillId="0" borderId="0"/>
    <xf numFmtId="0" fontId="29" fillId="0" borderId="0"/>
    <xf numFmtId="0" fontId="3" fillId="0" borderId="0"/>
    <xf numFmtId="0" fontId="11" fillId="0" borderId="0"/>
    <xf numFmtId="0" fontId="11" fillId="0" borderId="0"/>
    <xf numFmtId="0" fontId="12"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xf numFmtId="9" fontId="36" fillId="0" borderId="0" applyFont="0" applyFill="0" applyBorder="0" applyAlignment="0" applyProtection="0"/>
  </cellStyleXfs>
  <cellXfs count="320">
    <xf numFmtId="0" fontId="0" fillId="0" borderId="0" xfId="0"/>
    <xf numFmtId="0" fontId="3" fillId="0" borderId="0" xfId="0" applyFont="1" applyProtection="1">
      <protection hidden="1"/>
    </xf>
    <xf numFmtId="0" fontId="3" fillId="0" borderId="2" xfId="0" applyFont="1" applyBorder="1" applyProtection="1">
      <protection hidden="1"/>
    </xf>
    <xf numFmtId="0" fontId="2" fillId="0" borderId="1" xfId="0" applyFont="1" applyBorder="1" applyAlignment="1" applyProtection="1">
      <alignment horizontal="centerContinuous"/>
      <protection hidden="1"/>
    </xf>
    <xf numFmtId="0" fontId="2" fillId="0" borderId="1" xfId="0" applyFont="1" applyBorder="1" applyAlignment="1" applyProtection="1">
      <alignment horizontal="left"/>
      <protection hidden="1"/>
    </xf>
    <xf numFmtId="0" fontId="3" fillId="0" borderId="1" xfId="0" applyFont="1" applyBorder="1" applyAlignment="1" applyProtection="1">
      <alignment horizontal="centerContinuous"/>
      <protection hidden="1"/>
    </xf>
    <xf numFmtId="0" fontId="3" fillId="0" borderId="5" xfId="0" applyFont="1" applyBorder="1" applyProtection="1">
      <protection hidden="1"/>
    </xf>
    <xf numFmtId="2" fontId="2" fillId="0" borderId="6" xfId="0" applyNumberFormat="1" applyFont="1" applyBorder="1" applyProtection="1">
      <protection hidden="1"/>
    </xf>
    <xf numFmtId="165" fontId="3" fillId="0" borderId="0" xfId="0" applyNumberFormat="1" applyFont="1" applyProtection="1">
      <protection hidden="1"/>
    </xf>
    <xf numFmtId="0" fontId="6" fillId="0" borderId="7" xfId="0" applyFont="1" applyBorder="1" applyAlignment="1" applyProtection="1">
      <alignment horizontal="left"/>
      <protection hidden="1"/>
    </xf>
    <xf numFmtId="0" fontId="6" fillId="0" borderId="5" xfId="0" applyFont="1" applyBorder="1" applyAlignment="1" applyProtection="1">
      <alignment horizontal="left"/>
      <protection hidden="1"/>
    </xf>
    <xf numFmtId="0" fontId="7" fillId="0" borderId="5" xfId="0" applyFont="1" applyBorder="1" applyProtection="1">
      <protection hidden="1"/>
    </xf>
    <xf numFmtId="0" fontId="4" fillId="0" borderId="1" xfId="0" applyFont="1" applyBorder="1" applyProtection="1">
      <protection hidden="1"/>
    </xf>
    <xf numFmtId="0" fontId="3" fillId="0" borderId="3" xfId="0" applyFont="1" applyBorder="1" applyProtection="1">
      <protection hidden="1"/>
    </xf>
    <xf numFmtId="168" fontId="2" fillId="2" borderId="4" xfId="0" applyNumberFormat="1" applyFont="1" applyFill="1" applyBorder="1" applyProtection="1">
      <protection hidden="1"/>
    </xf>
    <xf numFmtId="169" fontId="2" fillId="2" borderId="4" xfId="0" applyNumberFormat="1" applyFont="1" applyFill="1" applyBorder="1" applyAlignment="1" applyProtection="1">
      <alignment horizontal="right"/>
      <protection hidden="1"/>
    </xf>
    <xf numFmtId="2" fontId="2" fillId="2" borderId="6" xfId="0" applyNumberFormat="1" applyFont="1" applyFill="1" applyBorder="1" applyProtection="1">
      <protection hidden="1"/>
    </xf>
    <xf numFmtId="165" fontId="2" fillId="0" borderId="0" xfId="0" applyNumberFormat="1" applyFont="1" applyProtection="1">
      <protection hidden="1"/>
    </xf>
    <xf numFmtId="167" fontId="3" fillId="0" borderId="0" xfId="0" applyNumberFormat="1" applyFont="1" applyProtection="1">
      <protection hidden="1"/>
    </xf>
    <xf numFmtId="167" fontId="2" fillId="0" borderId="8" xfId="0" applyNumberFormat="1" applyFont="1" applyBorder="1" applyProtection="1">
      <protection hidden="1"/>
    </xf>
    <xf numFmtId="167" fontId="2" fillId="0" borderId="9" xfId="0" applyNumberFormat="1" applyFont="1" applyBorder="1" applyProtection="1">
      <protection hidden="1"/>
    </xf>
    <xf numFmtId="167" fontId="2" fillId="2" borderId="6" xfId="0" applyNumberFormat="1" applyFont="1" applyFill="1" applyBorder="1" applyProtection="1">
      <protection hidden="1"/>
    </xf>
    <xf numFmtId="167" fontId="2" fillId="0" borderId="6" xfId="0" applyNumberFormat="1" applyFont="1" applyBorder="1" applyProtection="1">
      <protection hidden="1"/>
    </xf>
    <xf numFmtId="167" fontId="2" fillId="0" borderId="0" xfId="0" applyNumberFormat="1" applyFont="1" applyProtection="1">
      <protection hidden="1"/>
    </xf>
    <xf numFmtId="167" fontId="2" fillId="2" borderId="4" xfId="0" applyNumberFormat="1" applyFont="1" applyFill="1" applyBorder="1" applyProtection="1">
      <protection hidden="1"/>
    </xf>
    <xf numFmtId="167" fontId="2" fillId="2" borderId="4" xfId="0" applyNumberFormat="1" applyFont="1" applyFill="1" applyBorder="1" applyAlignment="1" applyProtection="1">
      <alignment horizontal="right"/>
      <protection hidden="1"/>
    </xf>
    <xf numFmtId="171" fontId="2" fillId="2" borderId="4" xfId="0" applyNumberFormat="1" applyFont="1" applyFill="1" applyBorder="1" applyProtection="1">
      <protection hidden="1"/>
    </xf>
    <xf numFmtId="173" fontId="2" fillId="2" borderId="4" xfId="0" applyNumberFormat="1" applyFont="1" applyFill="1" applyBorder="1" applyProtection="1">
      <protection hidden="1"/>
    </xf>
    <xf numFmtId="171" fontId="2" fillId="0" borderId="0" xfId="0" applyNumberFormat="1" applyFont="1" applyProtection="1">
      <protection hidden="1"/>
    </xf>
    <xf numFmtId="167" fontId="2" fillId="0" borderId="0" xfId="0" applyNumberFormat="1" applyFont="1" applyAlignment="1" applyProtection="1">
      <alignment horizontal="right"/>
      <protection hidden="1"/>
    </xf>
    <xf numFmtId="169" fontId="2" fillId="0" borderId="0" xfId="0" applyNumberFormat="1" applyFont="1" applyAlignment="1" applyProtection="1">
      <alignment horizontal="right"/>
      <protection hidden="1"/>
    </xf>
    <xf numFmtId="0" fontId="2" fillId="0" borderId="11" xfId="0" applyFont="1" applyBorder="1" applyAlignment="1" applyProtection="1">
      <alignment horizontal="left"/>
      <protection hidden="1"/>
    </xf>
    <xf numFmtId="0" fontId="2" fillId="0" borderId="0" xfId="0" applyFont="1" applyAlignment="1" applyProtection="1">
      <alignment horizontal="left"/>
      <protection hidden="1"/>
    </xf>
    <xf numFmtId="0" fontId="2" fillId="0" borderId="10" xfId="0" applyFont="1" applyBorder="1" applyAlignment="1" applyProtection="1">
      <alignment horizontal="left"/>
      <protection hidden="1"/>
    </xf>
    <xf numFmtId="0" fontId="2" fillId="0" borderId="10" xfId="30" applyFont="1" applyBorder="1" applyAlignment="1" applyProtection="1">
      <alignment horizontal="left"/>
      <protection hidden="1"/>
    </xf>
    <xf numFmtId="0" fontId="2" fillId="0" borderId="12" xfId="30" applyFont="1" applyBorder="1" applyAlignment="1" applyProtection="1">
      <alignment horizontal="left"/>
      <protection hidden="1"/>
    </xf>
    <xf numFmtId="0" fontId="2" fillId="0" borderId="11" xfId="30" applyFont="1" applyBorder="1" applyAlignment="1" applyProtection="1">
      <alignment horizontal="left"/>
      <protection hidden="1"/>
    </xf>
    <xf numFmtId="0" fontId="2" fillId="0" borderId="0" xfId="30" applyFont="1" applyAlignment="1" applyProtection="1">
      <alignment horizontal="left"/>
      <protection hidden="1"/>
    </xf>
    <xf numFmtId="0" fontId="2" fillId="0" borderId="13" xfId="30" applyFont="1" applyBorder="1" applyAlignment="1" applyProtection="1">
      <alignment horizontal="left"/>
      <protection hidden="1"/>
    </xf>
    <xf numFmtId="0" fontId="2" fillId="0" borderId="14" xfId="30" applyFont="1" applyBorder="1" applyAlignment="1" applyProtection="1">
      <alignment horizontal="left"/>
      <protection hidden="1"/>
    </xf>
    <xf numFmtId="0" fontId="2" fillId="0" borderId="15" xfId="30" applyFont="1" applyBorder="1" applyAlignment="1" applyProtection="1">
      <alignment horizontal="left"/>
      <protection hidden="1"/>
    </xf>
    <xf numFmtId="0" fontId="2" fillId="2" borderId="11" xfId="30" applyFont="1" applyFill="1" applyBorder="1" applyAlignment="1" applyProtection="1">
      <alignment horizontal="left"/>
      <protection hidden="1"/>
    </xf>
    <xf numFmtId="0" fontId="2" fillId="2" borderId="0" xfId="30" applyFont="1" applyFill="1" applyAlignment="1" applyProtection="1">
      <alignment horizontal="left"/>
      <protection hidden="1"/>
    </xf>
    <xf numFmtId="0" fontId="2" fillId="0" borderId="1" xfId="30" applyFont="1" applyBorder="1" applyAlignment="1" applyProtection="1">
      <alignment horizontal="left"/>
      <protection hidden="1"/>
    </xf>
    <xf numFmtId="0" fontId="3" fillId="0" borderId="0" xfId="30"/>
    <xf numFmtId="0" fontId="16" fillId="2" borderId="16" xfId="30" applyFont="1" applyFill="1" applyBorder="1" applyAlignment="1">
      <alignment vertical="center"/>
    </xf>
    <xf numFmtId="0" fontId="3" fillId="2" borderId="17" xfId="30" applyFill="1" applyBorder="1" applyProtection="1">
      <protection hidden="1"/>
    </xf>
    <xf numFmtId="0" fontId="3" fillId="2" borderId="18" xfId="30" applyFill="1" applyBorder="1" applyProtection="1">
      <protection hidden="1"/>
    </xf>
    <xf numFmtId="0" fontId="17" fillId="2" borderId="11" xfId="30" applyFont="1" applyFill="1" applyBorder="1" applyAlignment="1">
      <alignment vertical="center"/>
    </xf>
    <xf numFmtId="0" fontId="3" fillId="2" borderId="0" xfId="30" applyFill="1" applyProtection="1">
      <protection hidden="1"/>
    </xf>
    <xf numFmtId="0" fontId="3" fillId="2" borderId="19" xfId="30" applyFill="1" applyBorder="1" applyProtection="1">
      <protection hidden="1"/>
    </xf>
    <xf numFmtId="0" fontId="17" fillId="2" borderId="7" xfId="30" applyFont="1" applyFill="1" applyBorder="1" applyAlignment="1">
      <alignment vertical="center"/>
    </xf>
    <xf numFmtId="0" fontId="3" fillId="2" borderId="5" xfId="30" applyFill="1" applyBorder="1" applyProtection="1">
      <protection hidden="1"/>
    </xf>
    <xf numFmtId="0" fontId="3" fillId="2" borderId="2" xfId="30" applyFill="1" applyBorder="1" applyProtection="1">
      <protection hidden="1"/>
    </xf>
    <xf numFmtId="0" fontId="3" fillId="0" borderId="0" xfId="64"/>
    <xf numFmtId="0" fontId="6" fillId="0" borderId="0" xfId="64" applyFont="1"/>
    <xf numFmtId="0" fontId="3" fillId="0" borderId="10" xfId="64" applyBorder="1" applyAlignment="1">
      <alignment horizontal="center" vertical="center" wrapText="1"/>
    </xf>
    <xf numFmtId="0" fontId="3" fillId="0" borderId="1" xfId="64" applyBorder="1" applyAlignment="1">
      <alignment horizontal="center" vertical="center" wrapText="1"/>
    </xf>
    <xf numFmtId="0" fontId="25" fillId="2" borderId="4" xfId="64" applyFont="1" applyFill="1" applyBorder="1" applyAlignment="1">
      <alignment horizontal="center" vertical="center"/>
    </xf>
    <xf numFmtId="0" fontId="2" fillId="2" borderId="4" xfId="64" applyFont="1" applyFill="1" applyBorder="1" applyAlignment="1">
      <alignment horizontal="center" vertical="center"/>
    </xf>
    <xf numFmtId="0" fontId="2" fillId="0" borderId="20" xfId="64" applyFont="1" applyBorder="1" applyAlignment="1">
      <alignment horizontal="center" vertical="center"/>
    </xf>
    <xf numFmtId="170" fontId="2" fillId="0" borderId="10" xfId="64" applyNumberFormat="1" applyFont="1" applyBorder="1" applyAlignment="1">
      <alignment horizontal="center" vertical="center"/>
    </xf>
    <xf numFmtId="1" fontId="2" fillId="3" borderId="21" xfId="64" applyNumberFormat="1" applyFont="1" applyFill="1" applyBorder="1" applyAlignment="1">
      <alignment horizontal="center" vertical="center"/>
    </xf>
    <xf numFmtId="1" fontId="2" fillId="3" borderId="22" xfId="64" applyNumberFormat="1" applyFont="1" applyFill="1" applyBorder="1" applyAlignment="1">
      <alignment horizontal="center" vertical="center"/>
    </xf>
    <xf numFmtId="1" fontId="2" fillId="4" borderId="22" xfId="64" applyNumberFormat="1" applyFont="1" applyFill="1" applyBorder="1" applyAlignment="1">
      <alignment horizontal="center" vertical="center"/>
    </xf>
    <xf numFmtId="1" fontId="2" fillId="4" borderId="23" xfId="64" applyNumberFormat="1" applyFont="1" applyFill="1" applyBorder="1" applyAlignment="1">
      <alignment horizontal="center" vertical="center"/>
    </xf>
    <xf numFmtId="1" fontId="2" fillId="3" borderId="24" xfId="64" applyNumberFormat="1" applyFont="1" applyFill="1" applyBorder="1" applyAlignment="1">
      <alignment horizontal="center" vertical="center"/>
    </xf>
    <xf numFmtId="1" fontId="2" fillId="3" borderId="25" xfId="64" applyNumberFormat="1" applyFont="1" applyFill="1" applyBorder="1" applyAlignment="1">
      <alignment horizontal="center" vertical="center"/>
    </xf>
    <xf numFmtId="1" fontId="2" fillId="4" borderId="25" xfId="64" applyNumberFormat="1" applyFont="1" applyFill="1" applyBorder="1" applyAlignment="1">
      <alignment horizontal="center" vertical="center"/>
    </xf>
    <xf numFmtId="1" fontId="2" fillId="4" borderId="26" xfId="64" applyNumberFormat="1" applyFont="1" applyFill="1" applyBorder="1" applyAlignment="1">
      <alignment horizontal="center" vertical="center"/>
    </xf>
    <xf numFmtId="1" fontId="2" fillId="3" borderId="27" xfId="64" applyNumberFormat="1" applyFont="1" applyFill="1" applyBorder="1" applyAlignment="1">
      <alignment horizontal="center" vertical="center"/>
    </xf>
    <xf numFmtId="1" fontId="2" fillId="3" borderId="28" xfId="64" applyNumberFormat="1" applyFont="1" applyFill="1" applyBorder="1" applyAlignment="1">
      <alignment horizontal="center" vertical="center"/>
    </xf>
    <xf numFmtId="1" fontId="2" fillId="4" borderId="28" xfId="64" applyNumberFormat="1" applyFont="1" applyFill="1" applyBorder="1" applyAlignment="1">
      <alignment horizontal="center" vertical="center"/>
    </xf>
    <xf numFmtId="1" fontId="2" fillId="4" borderId="29" xfId="64" applyNumberFormat="1" applyFont="1" applyFill="1" applyBorder="1" applyAlignment="1">
      <alignment horizontal="center" vertical="center"/>
    </xf>
    <xf numFmtId="0" fontId="18" fillId="0" borderId="0" xfId="64" applyFont="1" applyAlignment="1">
      <alignment horizontal="center" vertical="center" textRotation="90" wrapText="1"/>
    </xf>
    <xf numFmtId="170" fontId="18" fillId="0" borderId="0" xfId="64" applyNumberFormat="1" applyFont="1" applyAlignment="1">
      <alignment horizontal="center" vertical="center"/>
    </xf>
    <xf numFmtId="1" fontId="18" fillId="0" borderId="0" xfId="64" applyNumberFormat="1" applyFont="1" applyAlignment="1">
      <alignment horizontal="center" vertical="center"/>
    </xf>
    <xf numFmtId="172" fontId="2" fillId="2" borderId="4" xfId="64" applyNumberFormat="1" applyFont="1" applyFill="1" applyBorder="1" applyAlignment="1">
      <alignment horizontal="center" vertical="center"/>
    </xf>
    <xf numFmtId="172" fontId="25" fillId="2" borderId="4" xfId="64" applyNumberFormat="1" applyFont="1" applyFill="1" applyBorder="1" applyAlignment="1">
      <alignment horizontal="center" vertical="center"/>
    </xf>
    <xf numFmtId="172" fontId="25" fillId="0" borderId="20" xfId="64" applyNumberFormat="1" applyFont="1" applyBorder="1" applyAlignment="1">
      <alignment horizontal="center" vertical="center"/>
    </xf>
    <xf numFmtId="172" fontId="2" fillId="0" borderId="20" xfId="64" applyNumberFormat="1" applyFont="1" applyBorder="1" applyAlignment="1">
      <alignment horizontal="center" vertical="center"/>
    </xf>
    <xf numFmtId="0" fontId="3" fillId="0" borderId="0" xfId="30" applyProtection="1">
      <protection hidden="1"/>
    </xf>
    <xf numFmtId="0" fontId="2" fillId="0" borderId="24" xfId="30" applyFont="1" applyBorder="1" applyAlignment="1" applyProtection="1">
      <alignment horizontal="left"/>
      <protection locked="0"/>
    </xf>
    <xf numFmtId="0" fontId="2" fillId="0" borderId="25" xfId="30" applyFont="1" applyBorder="1" applyAlignment="1" applyProtection="1">
      <alignment horizontal="left"/>
      <protection hidden="1"/>
    </xf>
    <xf numFmtId="167" fontId="2" fillId="0" borderId="25" xfId="30" applyNumberFormat="1" applyFont="1" applyBorder="1" applyProtection="1">
      <protection hidden="1"/>
    </xf>
    <xf numFmtId="10" fontId="4" fillId="0" borderId="25" xfId="30" applyNumberFormat="1" applyFont="1" applyBorder="1" applyAlignment="1" applyProtection="1">
      <alignment horizontal="center"/>
      <protection locked="0"/>
    </xf>
    <xf numFmtId="167" fontId="2" fillId="0" borderId="26" xfId="30" applyNumberFormat="1" applyFont="1" applyBorder="1" applyProtection="1">
      <protection hidden="1"/>
    </xf>
    <xf numFmtId="0" fontId="2" fillId="0" borderId="24"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31" xfId="30" applyFont="1" applyBorder="1" applyAlignment="1" applyProtection="1">
      <alignment horizontal="left"/>
      <protection hidden="1"/>
    </xf>
    <xf numFmtId="167" fontId="2" fillId="0" borderId="31" xfId="30" applyNumberFormat="1" applyFont="1" applyBorder="1" applyProtection="1">
      <protection hidden="1"/>
    </xf>
    <xf numFmtId="10" fontId="4" fillId="0" borderId="31" xfId="30" applyNumberFormat="1" applyFont="1" applyBorder="1" applyAlignment="1" applyProtection="1">
      <alignment horizontal="center"/>
      <protection locked="0"/>
    </xf>
    <xf numFmtId="167" fontId="2" fillId="0" borderId="32" xfId="30" applyNumberFormat="1" applyFont="1" applyBorder="1" applyProtection="1">
      <protection hidden="1"/>
    </xf>
    <xf numFmtId="0" fontId="23" fillId="0" borderId="0" xfId="46" applyFont="1"/>
    <xf numFmtId="167" fontId="23" fillId="0" borderId="0" xfId="46" applyNumberFormat="1" applyFont="1"/>
    <xf numFmtId="167" fontId="2" fillId="0" borderId="8" xfId="30" applyNumberFormat="1" applyFont="1" applyBorder="1" applyProtection="1">
      <protection hidden="1"/>
    </xf>
    <xf numFmtId="167" fontId="2" fillId="0" borderId="9" xfId="30" applyNumberFormat="1" applyFont="1" applyBorder="1" applyProtection="1">
      <protection hidden="1"/>
    </xf>
    <xf numFmtId="175" fontId="22" fillId="2" borderId="33" xfId="0" applyNumberFormat="1" applyFont="1" applyFill="1" applyBorder="1"/>
    <xf numFmtId="0" fontId="22" fillId="2" borderId="34" xfId="0" applyFont="1" applyFill="1" applyBorder="1"/>
    <xf numFmtId="2" fontId="0" fillId="5" borderId="35" xfId="0" applyNumberFormat="1" applyFill="1" applyBorder="1"/>
    <xf numFmtId="176" fontId="0" fillId="6" borderId="0" xfId="0" applyNumberFormat="1" applyFill="1"/>
    <xf numFmtId="0" fontId="22" fillId="2" borderId="36" xfId="0" applyFont="1" applyFill="1" applyBorder="1"/>
    <xf numFmtId="0" fontId="22" fillId="5" borderId="37" xfId="0" applyFont="1" applyFill="1" applyBorder="1"/>
    <xf numFmtId="0" fontId="0" fillId="2" borderId="38" xfId="0" applyFill="1" applyBorder="1"/>
    <xf numFmtId="167" fontId="2" fillId="0" borderId="9" xfId="34" applyNumberFormat="1" applyFont="1" applyBorder="1" applyProtection="1">
      <protection hidden="1"/>
    </xf>
    <xf numFmtId="167" fontId="2" fillId="0" borderId="8" xfId="34" applyNumberFormat="1" applyFont="1" applyBorder="1" applyProtection="1">
      <protection hidden="1"/>
    </xf>
    <xf numFmtId="0" fontId="23" fillId="0" borderId="0" xfId="0" applyFont="1"/>
    <xf numFmtId="171" fontId="2" fillId="2" borderId="4" xfId="34" applyNumberFormat="1" applyFont="1" applyFill="1" applyBorder="1" applyProtection="1">
      <protection hidden="1"/>
    </xf>
    <xf numFmtId="0" fontId="0" fillId="2" borderId="0" xfId="0" applyFill="1"/>
    <xf numFmtId="0" fontId="22" fillId="5" borderId="34" xfId="0" applyFont="1" applyFill="1" applyBorder="1"/>
    <xf numFmtId="176" fontId="0" fillId="5" borderId="0" xfId="0" applyNumberFormat="1" applyFill="1"/>
    <xf numFmtId="0" fontId="0" fillId="5" borderId="37" xfId="0" applyFill="1" applyBorder="1"/>
    <xf numFmtId="2" fontId="0" fillId="5" borderId="40" xfId="0" applyNumberFormat="1" applyFill="1" applyBorder="1"/>
    <xf numFmtId="0" fontId="0" fillId="5" borderId="0" xfId="0" applyFill="1" applyAlignment="1">
      <alignment wrapText="1"/>
    </xf>
    <xf numFmtId="0" fontId="22" fillId="2" borderId="37" xfId="0" applyFont="1" applyFill="1" applyBorder="1"/>
    <xf numFmtId="0" fontId="0" fillId="5" borderId="0" xfId="0" applyFill="1" applyAlignment="1">
      <alignment vertical="center" wrapText="1"/>
    </xf>
    <xf numFmtId="0" fontId="0" fillId="5" borderId="0" xfId="0" applyFill="1"/>
    <xf numFmtId="0" fontId="0" fillId="5" borderId="38" xfId="0" applyFill="1" applyBorder="1"/>
    <xf numFmtId="0" fontId="23" fillId="2" borderId="0" xfId="0" applyFont="1" applyFill="1"/>
    <xf numFmtId="167" fontId="0" fillId="5" borderId="0" xfId="0" applyNumberFormat="1" applyFill="1"/>
    <xf numFmtId="0" fontId="22" fillId="5" borderId="5" xfId="0" applyFont="1" applyFill="1" applyBorder="1" applyAlignment="1">
      <alignment horizontal="center" wrapText="1"/>
    </xf>
    <xf numFmtId="167" fontId="0" fillId="6" borderId="0" xfId="0" applyNumberFormat="1" applyFill="1"/>
    <xf numFmtId="176" fontId="0" fillId="0" borderId="0" xfId="0" applyNumberFormat="1"/>
    <xf numFmtId="176" fontId="2" fillId="6" borderId="0" xfId="0" applyNumberFormat="1" applyFont="1" applyFill="1"/>
    <xf numFmtId="0" fontId="3" fillId="5" borderId="37" xfId="30" applyFill="1" applyBorder="1"/>
    <xf numFmtId="0" fontId="16" fillId="6" borderId="37" xfId="30" applyFont="1" applyFill="1" applyBorder="1"/>
    <xf numFmtId="167" fontId="16" fillId="6" borderId="37" xfId="16" applyFont="1" applyFill="1" applyBorder="1" applyAlignment="1"/>
    <xf numFmtId="0" fontId="3" fillId="7" borderId="0" xfId="64" applyFill="1"/>
    <xf numFmtId="0" fontId="6" fillId="7" borderId="0" xfId="64" applyFont="1" applyFill="1"/>
    <xf numFmtId="0" fontId="22" fillId="7" borderId="0" xfId="0" applyFont="1" applyFill="1"/>
    <xf numFmtId="175" fontId="22" fillId="7" borderId="0" xfId="0" applyNumberFormat="1" applyFont="1" applyFill="1" applyAlignment="1">
      <alignment horizontal="center"/>
    </xf>
    <xf numFmtId="0" fontId="24" fillId="7" borderId="0" xfId="64" applyFont="1" applyFill="1"/>
    <xf numFmtId="0" fontId="2" fillId="7" borderId="0" xfId="64" applyFont="1" applyFill="1" applyAlignment="1">
      <alignment horizontal="center" vertical="center"/>
    </xf>
    <xf numFmtId="0" fontId="3" fillId="7" borderId="0" xfId="35" applyFill="1"/>
    <xf numFmtId="15" fontId="3" fillId="7" borderId="0" xfId="35" applyNumberFormat="1" applyFill="1"/>
    <xf numFmtId="175" fontId="26" fillId="7" borderId="0" xfId="30" applyNumberFormat="1" applyFont="1" applyFill="1" applyAlignment="1" applyProtection="1">
      <alignment horizontal="center"/>
      <protection locked="0"/>
    </xf>
    <xf numFmtId="0" fontId="3" fillId="7" borderId="0" xfId="64" applyFill="1" applyProtection="1">
      <protection locked="0"/>
    </xf>
    <xf numFmtId="175" fontId="26" fillId="7" borderId="0" xfId="35" applyNumberFormat="1" applyFont="1" applyFill="1" applyAlignment="1" applyProtection="1">
      <alignment horizontal="center"/>
      <protection locked="0"/>
    </xf>
    <xf numFmtId="0" fontId="13" fillId="7" borderId="0" xfId="0" applyFont="1" applyFill="1"/>
    <xf numFmtId="14" fontId="2" fillId="7" borderId="0" xfId="64" applyNumberFormat="1" applyFont="1" applyFill="1"/>
    <xf numFmtId="167" fontId="3" fillId="7" borderId="0" xfId="64" applyNumberFormat="1" applyFill="1" applyAlignment="1">
      <alignment horizontal="center"/>
    </xf>
    <xf numFmtId="167" fontId="2" fillId="7" borderId="0" xfId="64" applyNumberFormat="1" applyFont="1" applyFill="1" applyAlignment="1">
      <alignment horizontal="center"/>
    </xf>
    <xf numFmtId="0" fontId="2" fillId="7" borderId="0" xfId="64" applyFont="1" applyFill="1" applyAlignment="1">
      <alignment horizontal="left" vertical="center" wrapText="1"/>
    </xf>
    <xf numFmtId="167" fontId="3" fillId="7" borderId="0" xfId="64" applyNumberFormat="1" applyFill="1" applyAlignment="1">
      <alignment horizontal="center" vertical="center"/>
    </xf>
    <xf numFmtId="0" fontId="3" fillId="7" borderId="0" xfId="64" applyFill="1" applyAlignment="1">
      <alignment horizontal="center" vertical="center"/>
    </xf>
    <xf numFmtId="2" fontId="3" fillId="7" borderId="0" xfId="64" applyNumberFormat="1" applyFill="1" applyAlignment="1">
      <alignment horizontal="center" vertical="center"/>
    </xf>
    <xf numFmtId="167" fontId="3" fillId="7" borderId="0" xfId="64" applyNumberFormat="1" applyFill="1" applyAlignment="1">
      <alignment horizontal="center" vertical="center" wrapText="1"/>
    </xf>
    <xf numFmtId="0" fontId="3" fillId="7" borderId="0" xfId="64" applyFill="1" applyAlignment="1">
      <alignment horizontal="left" vertical="center"/>
    </xf>
    <xf numFmtId="0" fontId="2" fillId="7" borderId="0" xfId="64" applyFont="1" applyFill="1" applyAlignment="1">
      <alignment horizontal="left" vertical="center"/>
    </xf>
    <xf numFmtId="0" fontId="3" fillId="7" borderId="0" xfId="64" applyFill="1" applyAlignment="1">
      <alignment horizontal="left" vertical="center" wrapText="1"/>
    </xf>
    <xf numFmtId="0" fontId="22" fillId="7" borderId="33" xfId="0" applyFont="1" applyFill="1" applyBorder="1"/>
    <xf numFmtId="0" fontId="22" fillId="7" borderId="33" xfId="0" applyFont="1" applyFill="1" applyBorder="1" applyAlignment="1">
      <alignment horizontal="center" wrapText="1"/>
    </xf>
    <xf numFmtId="0" fontId="22" fillId="7" borderId="33" xfId="35" applyFont="1" applyFill="1" applyBorder="1" applyAlignment="1">
      <alignment horizontal="center" wrapText="1"/>
    </xf>
    <xf numFmtId="174" fontId="3" fillId="7" borderId="0" xfId="64" applyNumberFormat="1" applyFill="1" applyAlignment="1">
      <alignment horizontal="right"/>
    </xf>
    <xf numFmtId="175" fontId="3" fillId="7" borderId="0" xfId="64" applyNumberFormat="1" applyFill="1" applyAlignment="1">
      <alignment horizontal="right"/>
    </xf>
    <xf numFmtId="174" fontId="2" fillId="7" borderId="15" xfId="64" applyNumberFormat="1" applyFont="1" applyFill="1" applyBorder="1" applyAlignment="1">
      <alignment horizontal="right"/>
    </xf>
    <xf numFmtId="0" fontId="2" fillId="0" borderId="1" xfId="0" applyFont="1" applyBorder="1" applyAlignment="1" applyProtection="1">
      <alignment horizontal="center"/>
      <protection hidden="1"/>
    </xf>
    <xf numFmtId="0" fontId="3" fillId="0" borderId="3" xfId="0" applyFont="1" applyBorder="1" applyAlignment="1" applyProtection="1">
      <alignment horizontal="center"/>
      <protection hidden="1"/>
    </xf>
    <xf numFmtId="175" fontId="22" fillId="2" borderId="44" xfId="0" applyNumberFormat="1" applyFont="1" applyFill="1" applyBorder="1"/>
    <xf numFmtId="175" fontId="22" fillId="2" borderId="14" xfId="0" applyNumberFormat="1" applyFont="1" applyFill="1" applyBorder="1"/>
    <xf numFmtId="175" fontId="22" fillId="2" borderId="45" xfId="0" applyNumberFormat="1" applyFont="1" applyFill="1" applyBorder="1"/>
    <xf numFmtId="175" fontId="22" fillId="2" borderId="43" xfId="0" applyNumberFormat="1" applyFont="1" applyFill="1" applyBorder="1"/>
    <xf numFmtId="175" fontId="22" fillId="2" borderId="5" xfId="0" applyNumberFormat="1" applyFont="1" applyFill="1" applyBorder="1"/>
    <xf numFmtId="175" fontId="22" fillId="2" borderId="2" xfId="0" applyNumberFormat="1" applyFont="1" applyFill="1" applyBorder="1"/>
    <xf numFmtId="0" fontId="2" fillId="8" borderId="1" xfId="0" applyFont="1" applyFill="1" applyBorder="1" applyProtection="1">
      <protection hidden="1"/>
    </xf>
    <xf numFmtId="0" fontId="2" fillId="8" borderId="3" xfId="0" applyFont="1" applyFill="1" applyBorder="1" applyProtection="1">
      <protection hidden="1"/>
    </xf>
    <xf numFmtId="0" fontId="3" fillId="8" borderId="4" xfId="0" applyFont="1" applyFill="1" applyBorder="1" applyProtection="1">
      <protection hidden="1"/>
    </xf>
    <xf numFmtId="167" fontId="2" fillId="8" borderId="4" xfId="0" applyNumberFormat="1" applyFont="1" applyFill="1" applyBorder="1" applyProtection="1">
      <protection hidden="1"/>
    </xf>
    <xf numFmtId="0" fontId="2" fillId="8" borderId="10" xfId="0" applyFont="1" applyFill="1" applyBorder="1" applyAlignment="1" applyProtection="1">
      <alignment horizontal="left"/>
      <protection hidden="1"/>
    </xf>
    <xf numFmtId="0" fontId="2" fillId="9" borderId="1" xfId="0" applyFont="1" applyFill="1" applyBorder="1" applyProtection="1">
      <protection hidden="1"/>
    </xf>
    <xf numFmtId="167" fontId="2" fillId="9" borderId="1" xfId="0" applyNumberFormat="1" applyFont="1" applyFill="1" applyBorder="1" applyAlignment="1" applyProtection="1">
      <alignment horizontal="left"/>
      <protection hidden="1"/>
    </xf>
    <xf numFmtId="0" fontId="3" fillId="9" borderId="1" xfId="0" applyFont="1" applyFill="1" applyBorder="1" applyProtection="1">
      <protection hidden="1"/>
    </xf>
    <xf numFmtId="0" fontId="3" fillId="9" borderId="3" xfId="0" applyFont="1" applyFill="1" applyBorder="1" applyProtection="1">
      <protection hidden="1"/>
    </xf>
    <xf numFmtId="0" fontId="2" fillId="9" borderId="10" xfId="30" applyFont="1" applyFill="1" applyBorder="1" applyAlignment="1" applyProtection="1">
      <alignment horizontal="left"/>
      <protection hidden="1"/>
    </xf>
    <xf numFmtId="0" fontId="2" fillId="9" borderId="1" xfId="0" applyFont="1" applyFill="1" applyBorder="1" applyAlignment="1" applyProtection="1">
      <alignment horizontal="left"/>
      <protection hidden="1"/>
    </xf>
    <xf numFmtId="168" fontId="2" fillId="9" borderId="3" xfId="0" applyNumberFormat="1" applyFont="1" applyFill="1" applyBorder="1" applyAlignment="1" applyProtection="1">
      <alignment horizontal="left"/>
      <protection hidden="1"/>
    </xf>
    <xf numFmtId="167" fontId="2" fillId="9" borderId="4" xfId="0" applyNumberFormat="1" applyFont="1" applyFill="1" applyBorder="1" applyAlignment="1" applyProtection="1">
      <alignment horizontal="right"/>
      <protection hidden="1"/>
    </xf>
    <xf numFmtId="167" fontId="2" fillId="9" borderId="4" xfId="0" applyNumberFormat="1" applyFont="1" applyFill="1" applyBorder="1" applyProtection="1">
      <protection hidden="1"/>
    </xf>
    <xf numFmtId="167" fontId="2" fillId="9" borderId="4" xfId="34" applyNumberFormat="1" applyFont="1" applyFill="1" applyBorder="1" applyProtection="1">
      <protection hidden="1"/>
    </xf>
    <xf numFmtId="167" fontId="2" fillId="9" borderId="4" xfId="30" applyNumberFormat="1" applyFont="1" applyFill="1" applyBorder="1" applyProtection="1">
      <protection hidden="1"/>
    </xf>
    <xf numFmtId="0" fontId="2" fillId="9" borderId="10" xfId="0" applyFont="1" applyFill="1" applyBorder="1" applyAlignment="1" applyProtection="1">
      <alignment horizontal="left"/>
      <protection hidden="1"/>
    </xf>
    <xf numFmtId="0" fontId="2" fillId="8" borderId="10" xfId="30" applyFont="1" applyFill="1" applyBorder="1" applyAlignment="1" applyProtection="1">
      <alignment horizontal="left"/>
      <protection hidden="1"/>
    </xf>
    <xf numFmtId="0" fontId="2" fillId="8" borderId="1" xfId="30" applyFont="1" applyFill="1" applyBorder="1" applyAlignment="1" applyProtection="1">
      <alignment horizontal="left"/>
      <protection hidden="1"/>
    </xf>
    <xf numFmtId="0" fontId="3" fillId="8" borderId="3" xfId="30" applyFill="1" applyBorder="1" applyProtection="1">
      <protection hidden="1"/>
    </xf>
    <xf numFmtId="0" fontId="2" fillId="9" borderId="1" xfId="30" applyFont="1" applyFill="1" applyBorder="1" applyAlignment="1" applyProtection="1">
      <alignment horizontal="left"/>
      <protection hidden="1"/>
    </xf>
    <xf numFmtId="168" fontId="2" fillId="9" borderId="3" xfId="30" applyNumberFormat="1" applyFont="1" applyFill="1" applyBorder="1" applyAlignment="1" applyProtection="1">
      <alignment horizontal="left"/>
      <protection hidden="1"/>
    </xf>
    <xf numFmtId="167" fontId="3" fillId="8" borderId="4" xfId="0" applyNumberFormat="1" applyFont="1" applyFill="1" applyBorder="1" applyProtection="1">
      <protection hidden="1"/>
    </xf>
    <xf numFmtId="2" fontId="2" fillId="8" borderId="4" xfId="0" applyNumberFormat="1" applyFont="1" applyFill="1" applyBorder="1" applyProtection="1">
      <protection hidden="1"/>
    </xf>
    <xf numFmtId="2" fontId="2" fillId="9" borderId="4" xfId="0" applyNumberFormat="1" applyFont="1" applyFill="1" applyBorder="1" applyProtection="1">
      <protection hidden="1"/>
    </xf>
    <xf numFmtId="165" fontId="2" fillId="9" borderId="4" xfId="0" applyNumberFormat="1" applyFont="1" applyFill="1" applyBorder="1" applyProtection="1">
      <protection hidden="1"/>
    </xf>
    <xf numFmtId="0" fontId="2" fillId="9" borderId="3" xfId="30" applyFont="1" applyFill="1" applyBorder="1" applyAlignment="1" applyProtection="1">
      <alignment horizontal="left" vertical="center"/>
      <protection hidden="1"/>
    </xf>
    <xf numFmtId="0" fontId="3" fillId="9" borderId="3" xfId="30" applyFill="1" applyBorder="1" applyProtection="1">
      <protection hidden="1"/>
    </xf>
    <xf numFmtId="0" fontId="2" fillId="9" borderId="3" xfId="30" applyFont="1" applyFill="1" applyBorder="1" applyAlignment="1" applyProtection="1">
      <alignment vertical="center" wrapText="1"/>
      <protection hidden="1"/>
    </xf>
    <xf numFmtId="0" fontId="3" fillId="9" borderId="3" xfId="30" applyFill="1" applyBorder="1" applyAlignment="1" applyProtection="1">
      <alignment vertical="center"/>
      <protection hidden="1"/>
    </xf>
    <xf numFmtId="167" fontId="2" fillId="9" borderId="1" xfId="30" applyNumberFormat="1" applyFont="1" applyFill="1" applyBorder="1" applyProtection="1">
      <protection hidden="1"/>
    </xf>
    <xf numFmtId="0" fontId="2" fillId="9" borderId="1" xfId="30" applyFont="1" applyFill="1" applyBorder="1" applyProtection="1">
      <protection hidden="1"/>
    </xf>
    <xf numFmtId="0" fontId="3" fillId="9" borderId="1" xfId="30" applyFill="1" applyBorder="1" applyProtection="1">
      <protection hidden="1"/>
    </xf>
    <xf numFmtId="167" fontId="14" fillId="9" borderId="4" xfId="0" applyNumberFormat="1" applyFont="1" applyFill="1" applyBorder="1" applyProtection="1">
      <protection hidden="1"/>
    </xf>
    <xf numFmtId="0" fontId="22" fillId="9" borderId="0" xfId="0" applyFont="1" applyFill="1"/>
    <xf numFmtId="0" fontId="22" fillId="9" borderId="37" xfId="0" applyFont="1" applyFill="1" applyBorder="1"/>
    <xf numFmtId="0" fontId="1" fillId="0" borderId="0" xfId="114"/>
    <xf numFmtId="0" fontId="1" fillId="0" borderId="11" xfId="114" applyBorder="1"/>
    <xf numFmtId="0" fontId="1" fillId="0" borderId="19" xfId="114" applyBorder="1"/>
    <xf numFmtId="1" fontId="1" fillId="0" borderId="19" xfId="114" applyNumberFormat="1" applyBorder="1"/>
    <xf numFmtId="1" fontId="1" fillId="0" borderId="0" xfId="114" applyNumberFormat="1"/>
    <xf numFmtId="0" fontId="1" fillId="0" borderId="7" xfId="114" applyBorder="1"/>
    <xf numFmtId="1" fontId="1" fillId="0" borderId="5" xfId="114" applyNumberFormat="1" applyBorder="1"/>
    <xf numFmtId="0" fontId="1" fillId="0" borderId="2" xfId="114" applyBorder="1"/>
    <xf numFmtId="0" fontId="1" fillId="0" borderId="5" xfId="114" applyBorder="1"/>
    <xf numFmtId="1" fontId="1" fillId="0" borderId="2" xfId="114" applyNumberFormat="1" applyBorder="1"/>
    <xf numFmtId="177" fontId="22" fillId="2" borderId="33" xfId="0" applyNumberFormat="1" applyFont="1" applyFill="1" applyBorder="1"/>
    <xf numFmtId="170" fontId="2" fillId="4" borderId="25" xfId="64" applyNumberFormat="1" applyFont="1" applyFill="1" applyBorder="1" applyAlignment="1">
      <alignment horizontal="center" vertical="center"/>
    </xf>
    <xf numFmtId="170" fontId="2" fillId="3" borderId="21" xfId="64" applyNumberFormat="1" applyFont="1" applyFill="1" applyBorder="1" applyAlignment="1">
      <alignment horizontal="center" vertical="center"/>
    </xf>
    <xf numFmtId="0" fontId="4" fillId="2" borderId="4" xfId="64" applyFont="1" applyFill="1" applyBorder="1" applyAlignment="1">
      <alignment horizontal="center" vertical="center"/>
    </xf>
    <xf numFmtId="0" fontId="4" fillId="2" borderId="1" xfId="64" applyFont="1" applyFill="1" applyBorder="1" applyAlignment="1">
      <alignment horizontal="center" vertical="center"/>
    </xf>
    <xf numFmtId="175" fontId="4" fillId="2" borderId="4" xfId="64" applyNumberFormat="1" applyFont="1" applyFill="1" applyBorder="1" applyAlignment="1">
      <alignment horizontal="center" vertical="center"/>
    </xf>
    <xf numFmtId="175" fontId="4" fillId="0" borderId="20" xfId="64" applyNumberFormat="1" applyFont="1" applyBorder="1" applyAlignment="1">
      <alignment horizontal="center" vertical="center"/>
    </xf>
    <xf numFmtId="0" fontId="4" fillId="0" borderId="20" xfId="64" applyFont="1" applyBorder="1" applyAlignment="1">
      <alignment horizontal="center" vertical="center"/>
    </xf>
    <xf numFmtId="167" fontId="4" fillId="7" borderId="0" xfId="64" applyNumberFormat="1" applyFont="1" applyFill="1" applyAlignment="1" applyProtection="1">
      <alignment horizontal="center"/>
      <protection locked="0"/>
    </xf>
    <xf numFmtId="170" fontId="4" fillId="0" borderId="10" xfId="64" applyNumberFormat="1" applyFont="1" applyBorder="1" applyAlignment="1">
      <alignment horizontal="center" vertical="center"/>
    </xf>
    <xf numFmtId="172" fontId="4" fillId="2" borderId="4" xfId="64" applyNumberFormat="1" applyFont="1" applyFill="1" applyBorder="1" applyAlignment="1">
      <alignment horizontal="center" vertical="center"/>
    </xf>
    <xf numFmtId="172" fontId="4" fillId="0" borderId="20" xfId="64" applyNumberFormat="1" applyFont="1" applyBorder="1" applyAlignment="1">
      <alignment horizontal="center" vertical="center"/>
    </xf>
    <xf numFmtId="167" fontId="16" fillId="9" borderId="37" xfId="18" applyFont="1" applyFill="1" applyBorder="1" applyAlignment="1"/>
    <xf numFmtId="167" fontId="17" fillId="2" borderId="37" xfId="18" applyFont="1" applyFill="1" applyBorder="1" applyAlignment="1"/>
    <xf numFmtId="167" fontId="17" fillId="2" borderId="0" xfId="18" applyFont="1" applyFill="1" applyBorder="1" applyAlignment="1">
      <alignment horizontal="center" vertical="center" wrapText="1"/>
    </xf>
    <xf numFmtId="175" fontId="17" fillId="2" borderId="0" xfId="0" applyNumberFormat="1" applyFont="1" applyFill="1"/>
    <xf numFmtId="175" fontId="17" fillId="2" borderId="35" xfId="0" applyNumberFormat="1" applyFont="1" applyFill="1" applyBorder="1"/>
    <xf numFmtId="175" fontId="16" fillId="2" borderId="0" xfId="18" applyNumberFormat="1" applyFont="1" applyFill="1" applyBorder="1" applyAlignment="1">
      <alignment horizontal="center" vertical="center" wrapText="1"/>
    </xf>
    <xf numFmtId="167" fontId="16" fillId="2" borderId="0" xfId="18" applyFont="1" applyFill="1" applyBorder="1" applyAlignment="1">
      <alignment horizontal="center" vertical="center" wrapText="1"/>
    </xf>
    <xf numFmtId="167" fontId="16" fillId="9" borderId="0" xfId="18" applyFont="1" applyFill="1" applyBorder="1" applyAlignment="1">
      <alignment horizontal="center" vertical="center" wrapText="1"/>
    </xf>
    <xf numFmtId="176" fontId="17" fillId="2" borderId="0" xfId="18" applyNumberFormat="1" applyFont="1" applyFill="1" applyBorder="1" applyAlignment="1"/>
    <xf numFmtId="176" fontId="17" fillId="2" borderId="35" xfId="18" applyNumberFormat="1" applyFont="1" applyFill="1" applyBorder="1" applyAlignment="1"/>
    <xf numFmtId="176" fontId="16" fillId="9" borderId="0" xfId="18" applyNumberFormat="1" applyFont="1" applyFill="1" applyBorder="1" applyAlignment="1"/>
    <xf numFmtId="176" fontId="16" fillId="2" borderId="35" xfId="18" applyNumberFormat="1" applyFont="1" applyFill="1" applyBorder="1" applyAlignment="1"/>
    <xf numFmtId="176" fontId="16" fillId="2" borderId="0" xfId="18" applyNumberFormat="1" applyFont="1" applyFill="1" applyBorder="1" applyAlignment="1"/>
    <xf numFmtId="176" fontId="16" fillId="9" borderId="41" xfId="18" applyNumberFormat="1" applyFont="1" applyFill="1" applyBorder="1" applyAlignment="1"/>
    <xf numFmtId="167" fontId="16" fillId="2" borderId="37" xfId="18" applyFont="1" applyFill="1" applyBorder="1" applyAlignment="1"/>
    <xf numFmtId="167" fontId="17" fillId="5" borderId="37" xfId="18" applyFont="1" applyFill="1" applyBorder="1" applyAlignment="1">
      <alignment horizontal="left"/>
    </xf>
    <xf numFmtId="167" fontId="16" fillId="6" borderId="37" xfId="18" applyFont="1" applyFill="1" applyBorder="1" applyAlignment="1"/>
    <xf numFmtId="167" fontId="33" fillId="8" borderId="4" xfId="0" applyNumberFormat="1" applyFont="1" applyFill="1" applyBorder="1" applyProtection="1">
      <protection hidden="1"/>
    </xf>
    <xf numFmtId="0" fontId="33" fillId="8" borderId="1" xfId="0" applyFont="1" applyFill="1" applyBorder="1" applyAlignment="1" applyProtection="1">
      <alignment horizontal="left"/>
      <protection hidden="1"/>
    </xf>
    <xf numFmtId="0" fontId="32" fillId="8" borderId="3" xfId="0" applyFont="1" applyFill="1" applyBorder="1" applyProtection="1">
      <protection hidden="1"/>
    </xf>
    <xf numFmtId="0" fontId="33" fillId="8" borderId="1" xfId="0" applyFont="1" applyFill="1" applyBorder="1" applyProtection="1">
      <protection hidden="1"/>
    </xf>
    <xf numFmtId="0" fontId="33" fillId="8" borderId="10" xfId="0" applyFont="1" applyFill="1" applyBorder="1" applyAlignment="1" applyProtection="1">
      <alignment horizontal="left"/>
      <protection hidden="1"/>
    </xf>
    <xf numFmtId="0" fontId="33" fillId="8" borderId="10" xfId="30" applyFont="1" applyFill="1" applyBorder="1" applyAlignment="1" applyProtection="1">
      <alignment horizontal="left"/>
      <protection hidden="1"/>
    </xf>
    <xf numFmtId="0" fontId="33" fillId="8" borderId="1" xfId="30" applyFont="1" applyFill="1" applyBorder="1" applyAlignment="1" applyProtection="1">
      <alignment horizontal="left"/>
      <protection hidden="1"/>
    </xf>
    <xf numFmtId="0" fontId="32" fillId="8" borderId="3" xfId="30" applyFont="1" applyFill="1" applyBorder="1" applyProtection="1">
      <protection hidden="1"/>
    </xf>
    <xf numFmtId="0" fontId="34" fillId="8" borderId="39" xfId="0" applyFont="1" applyFill="1" applyBorder="1"/>
    <xf numFmtId="0" fontId="34" fillId="8" borderId="15" xfId="0" applyFont="1" applyFill="1" applyBorder="1" applyAlignment="1">
      <alignment horizontal="center" wrapText="1"/>
    </xf>
    <xf numFmtId="0" fontId="35" fillId="0" borderId="0" xfId="0" applyFont="1"/>
    <xf numFmtId="0" fontId="3" fillId="2" borderId="0" xfId="0" applyFont="1" applyFill="1"/>
    <xf numFmtId="9" fontId="0" fillId="0" borderId="0" xfId="115" applyFont="1"/>
    <xf numFmtId="0" fontId="2" fillId="7" borderId="42" xfId="0" applyFont="1" applyFill="1" applyBorder="1" applyAlignment="1" applyProtection="1">
      <alignment horizontal="left" wrapText="1"/>
      <protection hidden="1"/>
    </xf>
    <xf numFmtId="0" fontId="2" fillId="0" borderId="10" xfId="64" applyFont="1" applyBorder="1" applyAlignment="1">
      <alignment horizontal="center" vertical="center"/>
    </xf>
    <xf numFmtId="0" fontId="2" fillId="0" borderId="1" xfId="64" applyFont="1" applyBorder="1" applyAlignment="1">
      <alignment horizontal="center" vertical="center"/>
    </xf>
    <xf numFmtId="0" fontId="2" fillId="0" borderId="3" xfId="64" applyFont="1" applyBorder="1" applyAlignment="1">
      <alignment horizontal="center" vertical="center"/>
    </xf>
    <xf numFmtId="0" fontId="2" fillId="0" borderId="10" xfId="64" applyFont="1" applyBorder="1" applyAlignment="1">
      <alignment vertical="center" wrapText="1"/>
    </xf>
    <xf numFmtId="0" fontId="2" fillId="0" borderId="3" xfId="64" applyFont="1" applyBorder="1" applyAlignment="1">
      <alignment vertical="center" wrapText="1"/>
    </xf>
    <xf numFmtId="0" fontId="2" fillId="0" borderId="20" xfId="64" applyFont="1" applyBorder="1" applyAlignment="1">
      <alignment horizontal="center" vertical="center" textRotation="90" wrapText="1"/>
    </xf>
    <xf numFmtId="0" fontId="2" fillId="0" borderId="6" xfId="64" applyFont="1" applyBorder="1" applyAlignment="1">
      <alignment horizontal="center" vertical="center" textRotation="90" wrapText="1"/>
    </xf>
    <xf numFmtId="0" fontId="2" fillId="0" borderId="43" xfId="64" applyFont="1" applyBorder="1" applyAlignment="1">
      <alignment horizontal="center" vertical="center" textRotation="90" wrapText="1"/>
    </xf>
    <xf numFmtId="0" fontId="2" fillId="7" borderId="0" xfId="0" applyFont="1" applyFill="1" applyAlignment="1" applyProtection="1">
      <alignment horizontal="center" wrapText="1"/>
      <protection hidden="1"/>
    </xf>
    <xf numFmtId="165" fontId="2" fillId="9" borderId="10" xfId="30" applyNumberFormat="1" applyFont="1" applyFill="1" applyBorder="1" applyAlignment="1" applyProtection="1">
      <alignment horizontal="left" wrapText="1"/>
      <protection hidden="1"/>
    </xf>
    <xf numFmtId="165" fontId="2" fillId="9" borderId="1" xfId="30" applyNumberFormat="1" applyFont="1" applyFill="1" applyBorder="1" applyAlignment="1" applyProtection="1">
      <alignment horizontal="left" wrapText="1"/>
      <protection hidden="1"/>
    </xf>
    <xf numFmtId="165" fontId="2" fillId="9" borderId="3" xfId="30" applyNumberFormat="1" applyFont="1" applyFill="1" applyBorder="1" applyAlignment="1" applyProtection="1">
      <alignment horizontal="left" wrapText="1"/>
      <protection hidden="1"/>
    </xf>
    <xf numFmtId="0" fontId="2" fillId="9" borderId="10" xfId="30" applyFont="1" applyFill="1" applyBorder="1" applyAlignment="1" applyProtection="1">
      <alignment horizontal="left" wrapText="1"/>
      <protection hidden="1"/>
    </xf>
    <xf numFmtId="0" fontId="2" fillId="9" borderId="1" xfId="30" applyFont="1" applyFill="1" applyBorder="1" applyAlignment="1" applyProtection="1">
      <alignment horizontal="left" wrapText="1"/>
      <protection hidden="1"/>
    </xf>
    <xf numFmtId="0" fontId="2" fillId="9" borderId="3" xfId="30" applyFont="1" applyFill="1" applyBorder="1" applyAlignment="1" applyProtection="1">
      <alignment horizontal="left" wrapText="1"/>
      <protection hidden="1"/>
    </xf>
    <xf numFmtId="0" fontId="23" fillId="0" borderId="0" xfId="46" applyFont="1" applyAlignment="1">
      <alignment horizontal="center"/>
    </xf>
    <xf numFmtId="0" fontId="3" fillId="0" borderId="16" xfId="0" applyFont="1" applyBorder="1" applyAlignment="1" applyProtection="1">
      <alignment horizontal="left" vertical="center"/>
      <protection hidden="1"/>
    </xf>
    <xf numFmtId="0" fontId="3" fillId="0" borderId="17" xfId="0" applyFont="1" applyBorder="1" applyAlignment="1" applyProtection="1">
      <alignment horizontal="left" vertical="center"/>
      <protection hidden="1"/>
    </xf>
    <xf numFmtId="0" fontId="3" fillId="0" borderId="18" xfId="0" applyFont="1" applyBorder="1" applyAlignment="1" applyProtection="1">
      <alignment horizontal="left" vertical="center"/>
      <protection hidden="1"/>
    </xf>
    <xf numFmtId="0" fontId="3" fillId="0" borderId="11"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3" fillId="0" borderId="19" xfId="0" applyFont="1" applyBorder="1" applyAlignment="1" applyProtection="1">
      <alignment horizontal="left" vertical="center"/>
      <protection hidden="1"/>
    </xf>
    <xf numFmtId="0" fontId="3" fillId="0" borderId="7" xfId="0" applyFont="1" applyBorder="1" applyAlignment="1" applyProtection="1">
      <alignment horizontal="left" vertical="center"/>
      <protection hidden="1"/>
    </xf>
    <xf numFmtId="0" fontId="3" fillId="0" borderId="5" xfId="0" applyFont="1" applyBorder="1" applyAlignment="1" applyProtection="1">
      <alignment horizontal="left" vertical="center"/>
      <protection hidden="1"/>
    </xf>
    <xf numFmtId="0" fontId="3" fillId="0" borderId="2" xfId="0" applyFont="1" applyBorder="1" applyAlignment="1" applyProtection="1">
      <alignment horizontal="left" vertical="center"/>
      <protection hidden="1"/>
    </xf>
    <xf numFmtId="0" fontId="31" fillId="8" borderId="10" xfId="30" applyFont="1" applyFill="1" applyBorder="1" applyAlignment="1" applyProtection="1">
      <alignment horizontal="left" wrapText="1"/>
      <protection hidden="1"/>
    </xf>
    <xf numFmtId="0" fontId="32" fillId="8" borderId="1" xfId="30" applyFont="1" applyFill="1" applyBorder="1" applyAlignment="1">
      <alignment wrapText="1"/>
    </xf>
    <xf numFmtId="0" fontId="31" fillId="8" borderId="1" xfId="30" applyFont="1" applyFill="1" applyBorder="1" applyAlignment="1" applyProtection="1">
      <alignment wrapText="1"/>
      <protection hidden="1"/>
    </xf>
    <xf numFmtId="0" fontId="3" fillId="9" borderId="1" xfId="30" applyFill="1" applyBorder="1" applyAlignment="1">
      <alignment horizontal="left" wrapText="1"/>
    </xf>
    <xf numFmtId="0" fontId="3" fillId="9" borderId="3" xfId="30" applyFill="1" applyBorder="1" applyAlignment="1">
      <alignment horizontal="left" wrapText="1"/>
    </xf>
    <xf numFmtId="0" fontId="33" fillId="8" borderId="10" xfId="0" applyFont="1" applyFill="1" applyBorder="1" applyAlignment="1" applyProtection="1">
      <alignment horizontal="left" wrapText="1"/>
      <protection hidden="1"/>
    </xf>
    <xf numFmtId="0" fontId="32" fillId="8" borderId="1" xfId="0" applyFont="1" applyFill="1" applyBorder="1" applyAlignment="1">
      <alignment horizontal="left" wrapText="1"/>
    </xf>
    <xf numFmtId="0" fontId="32" fillId="8" borderId="3" xfId="0" applyFont="1" applyFill="1" applyBorder="1" applyAlignment="1">
      <alignment horizontal="left" wrapText="1"/>
    </xf>
    <xf numFmtId="0" fontId="2" fillId="9" borderId="10" xfId="0" applyFont="1" applyFill="1" applyBorder="1" applyAlignment="1" applyProtection="1">
      <alignment horizontal="left" wrapText="1"/>
      <protection hidden="1"/>
    </xf>
    <xf numFmtId="0" fontId="0" fillId="9" borderId="1" xfId="0" applyFill="1" applyBorder="1" applyAlignment="1">
      <alignment horizontal="left" wrapText="1"/>
    </xf>
    <xf numFmtId="0" fontId="33" fillId="8" borderId="10" xfId="30" applyFont="1" applyFill="1" applyBorder="1" applyAlignment="1" applyProtection="1">
      <alignment horizontal="left" wrapText="1" readingOrder="1"/>
      <protection hidden="1"/>
    </xf>
    <xf numFmtId="0" fontId="33" fillId="8" borderId="1" xfId="30" applyFont="1" applyFill="1" applyBorder="1" applyAlignment="1" applyProtection="1">
      <alignment horizontal="left" wrapText="1" readingOrder="1"/>
      <protection hidden="1"/>
    </xf>
    <xf numFmtId="0" fontId="33" fillId="8" borderId="3" xfId="30" applyFont="1" applyFill="1" applyBorder="1" applyAlignment="1" applyProtection="1">
      <alignment horizontal="left" wrapText="1" readingOrder="1"/>
      <protection hidden="1"/>
    </xf>
    <xf numFmtId="0" fontId="22" fillId="2" borderId="13" xfId="0" applyFont="1" applyFill="1" applyBorder="1" applyAlignment="1">
      <alignment wrapText="1"/>
    </xf>
    <xf numFmtId="0" fontId="0" fillId="0" borderId="14" xfId="0" applyBorder="1" applyAlignment="1">
      <alignment wrapText="1"/>
    </xf>
    <xf numFmtId="0" fontId="22" fillId="2" borderId="46" xfId="0" applyFont="1" applyFill="1" applyBorder="1" applyAlignment="1">
      <alignment wrapText="1"/>
    </xf>
    <xf numFmtId="0" fontId="0" fillId="0" borderId="42" xfId="0" applyBorder="1" applyAlignment="1">
      <alignment wrapText="1"/>
    </xf>
    <xf numFmtId="0" fontId="33" fillId="8" borderId="10" xfId="30" applyFont="1" applyFill="1" applyBorder="1" applyAlignment="1" applyProtection="1">
      <alignment horizontal="left" wrapText="1"/>
      <protection hidden="1"/>
    </xf>
    <xf numFmtId="0" fontId="32" fillId="8" borderId="1" xfId="30" applyFont="1" applyFill="1" applyBorder="1" applyAlignment="1">
      <alignment horizontal="left" wrapText="1"/>
    </xf>
    <xf numFmtId="0" fontId="32" fillId="8" borderId="3" xfId="30" applyFont="1" applyFill="1" applyBorder="1" applyAlignment="1">
      <alignment horizontal="left" wrapText="1"/>
    </xf>
    <xf numFmtId="0" fontId="2" fillId="8" borderId="10" xfId="30" applyFont="1" applyFill="1" applyBorder="1" applyAlignment="1" applyProtection="1">
      <alignment horizontal="left" wrapText="1"/>
      <protection hidden="1"/>
    </xf>
    <xf numFmtId="0" fontId="3" fillId="8" borderId="1" xfId="30" applyFill="1" applyBorder="1" applyAlignment="1">
      <alignment horizontal="left" wrapText="1"/>
    </xf>
    <xf numFmtId="0" fontId="3" fillId="8" borderId="3" xfId="30" applyFill="1" applyBorder="1" applyAlignment="1">
      <alignment horizontal="left" wrapText="1"/>
    </xf>
    <xf numFmtId="0" fontId="22" fillId="2" borderId="14" xfId="0" applyFont="1" applyFill="1" applyBorder="1" applyAlignment="1">
      <alignment wrapText="1"/>
    </xf>
    <xf numFmtId="0" fontId="22" fillId="2" borderId="45" xfId="0" applyFont="1" applyFill="1" applyBorder="1" applyAlignment="1">
      <alignment wrapText="1"/>
    </xf>
    <xf numFmtId="0" fontId="22" fillId="2" borderId="42" xfId="0" applyFont="1" applyFill="1" applyBorder="1" applyAlignment="1">
      <alignment wrapText="1"/>
    </xf>
    <xf numFmtId="0" fontId="22" fillId="2" borderId="47" xfId="0" applyFont="1" applyFill="1" applyBorder="1" applyAlignment="1">
      <alignment wrapText="1"/>
    </xf>
    <xf numFmtId="0" fontId="2" fillId="8" borderId="1" xfId="30" applyFont="1" applyFill="1" applyBorder="1" applyAlignment="1" applyProtection="1">
      <alignment horizontal="left" wrapText="1"/>
      <protection hidden="1"/>
    </xf>
    <xf numFmtId="0" fontId="2" fillId="8" borderId="3" xfId="30" applyFont="1" applyFill="1" applyBorder="1" applyAlignment="1" applyProtection="1">
      <alignment horizontal="left" wrapText="1"/>
      <protection hidden="1"/>
    </xf>
    <xf numFmtId="0" fontId="2" fillId="8" borderId="10" xfId="30" applyFont="1" applyFill="1" applyBorder="1" applyAlignment="1" applyProtection="1">
      <alignment horizontal="left" wrapText="1" readingOrder="1"/>
      <protection hidden="1"/>
    </xf>
    <xf numFmtId="0" fontId="2" fillId="8" borderId="1" xfId="30" applyFont="1" applyFill="1" applyBorder="1" applyAlignment="1" applyProtection="1">
      <alignment horizontal="left" wrapText="1" readingOrder="1"/>
      <protection hidden="1"/>
    </xf>
    <xf numFmtId="0" fontId="2" fillId="8" borderId="3" xfId="30" applyFont="1" applyFill="1" applyBorder="1" applyAlignment="1" applyProtection="1">
      <alignment horizontal="left" wrapText="1" readingOrder="1"/>
      <protection hidden="1"/>
    </xf>
    <xf numFmtId="0" fontId="2" fillId="9" borderId="1" xfId="0" applyFont="1" applyFill="1" applyBorder="1" applyAlignment="1" applyProtection="1">
      <alignment horizontal="left" wrapText="1"/>
      <protection hidden="1"/>
    </xf>
    <xf numFmtId="0" fontId="0" fillId="2" borderId="39" xfId="0" applyFill="1" applyBorder="1" applyAlignment="1">
      <alignment vertical="center" wrapText="1"/>
    </xf>
    <xf numFmtId="0" fontId="0" fillId="2" borderId="15" xfId="0" applyFill="1" applyBorder="1" applyAlignment="1">
      <alignment vertical="center" wrapText="1"/>
    </xf>
    <xf numFmtId="0" fontId="0" fillId="2" borderId="15" xfId="0" applyFill="1" applyBorder="1" applyAlignment="1">
      <alignment wrapText="1"/>
    </xf>
    <xf numFmtId="0" fontId="8" fillId="8" borderId="10" xfId="30" applyFont="1" applyFill="1" applyBorder="1" applyAlignment="1" applyProtection="1">
      <alignment horizontal="left" wrapText="1"/>
      <protection hidden="1"/>
    </xf>
    <xf numFmtId="0" fontId="3" fillId="8" borderId="1" xfId="30" applyFill="1" applyBorder="1" applyAlignment="1">
      <alignment wrapText="1"/>
    </xf>
    <xf numFmtId="0" fontId="8" fillId="8" borderId="1" xfId="30" applyFont="1" applyFill="1" applyBorder="1" applyAlignment="1" applyProtection="1">
      <alignment wrapText="1"/>
      <protection hidden="1"/>
    </xf>
    <xf numFmtId="0" fontId="1" fillId="10" borderId="16" xfId="114" applyFill="1" applyBorder="1" applyAlignment="1">
      <alignment horizontal="center"/>
    </xf>
    <xf numFmtId="0" fontId="1" fillId="10" borderId="17" xfId="114" applyFill="1" applyBorder="1" applyAlignment="1">
      <alignment horizontal="center"/>
    </xf>
    <xf numFmtId="0" fontId="1" fillId="10" borderId="18" xfId="114" applyFill="1" applyBorder="1" applyAlignment="1">
      <alignment horizontal="center"/>
    </xf>
  </cellXfs>
  <cellStyles count="116">
    <cellStyle name="Comma 2" xfId="1" xr:uid="{00000000-0005-0000-0000-000000000000}"/>
    <cellStyle name="Comma 2 2" xfId="2" xr:uid="{00000000-0005-0000-0000-000001000000}"/>
    <cellStyle name="Comma 2 3" xfId="3" xr:uid="{00000000-0005-0000-0000-000002000000}"/>
    <cellStyle name="Comma 2 4" xfId="4" xr:uid="{00000000-0005-0000-0000-000003000000}"/>
    <cellStyle name="Comma 3" xfId="5" xr:uid="{00000000-0005-0000-0000-000004000000}"/>
    <cellStyle name="Comma 3 2" xfId="6" xr:uid="{00000000-0005-0000-0000-000005000000}"/>
    <cellStyle name="Comma 3 3" xfId="7" xr:uid="{00000000-0005-0000-0000-000006000000}"/>
    <cellStyle name="Comma 3 3 2" xfId="8" xr:uid="{00000000-0005-0000-0000-000007000000}"/>
    <cellStyle name="Comma 3 4" xfId="9" xr:uid="{00000000-0005-0000-0000-000008000000}"/>
    <cellStyle name="Comma 4" xfId="10" xr:uid="{00000000-0005-0000-0000-000009000000}"/>
    <cellStyle name="Comma 4 2" xfId="11" xr:uid="{00000000-0005-0000-0000-00000A000000}"/>
    <cellStyle name="Comma 5" xfId="12" xr:uid="{00000000-0005-0000-0000-00000B000000}"/>
    <cellStyle name="Comma 5 2" xfId="13" xr:uid="{00000000-0005-0000-0000-00000C000000}"/>
    <cellStyle name="Comma 5 3" xfId="14" xr:uid="{00000000-0005-0000-0000-00000D000000}"/>
    <cellStyle name="Comma 5 3 2" xfId="15" xr:uid="{00000000-0005-0000-0000-00000E000000}"/>
    <cellStyle name="Comma 6" xfId="16" xr:uid="{00000000-0005-0000-0000-00000F000000}"/>
    <cellStyle name="Comma 6 2" xfId="17" xr:uid="{00000000-0005-0000-0000-000010000000}"/>
    <cellStyle name="Comma 6 3" xfId="18" xr:uid="{00000000-0005-0000-0000-000011000000}"/>
    <cellStyle name="Comma 6 3 2" xfId="19" xr:uid="{00000000-0005-0000-0000-000012000000}"/>
    <cellStyle name="Comma 7" xfId="20" xr:uid="{00000000-0005-0000-0000-000013000000}"/>
    <cellStyle name="Comma 7 2" xfId="21" xr:uid="{00000000-0005-0000-0000-000014000000}"/>
    <cellStyle name="Currency 2" xfId="22" xr:uid="{00000000-0005-0000-0000-000015000000}"/>
    <cellStyle name="Currency 3" xfId="23" xr:uid="{00000000-0005-0000-0000-000016000000}"/>
    <cellStyle name="Currency 3 2" xfId="24" xr:uid="{00000000-0005-0000-0000-000017000000}"/>
    <cellStyle name="Hyperlink 2" xfId="25" xr:uid="{00000000-0005-0000-0000-000018000000}"/>
    <cellStyle name="Hyperlink 2 2" xfId="26" xr:uid="{00000000-0005-0000-0000-000019000000}"/>
    <cellStyle name="Hyperlink 2 3" xfId="27" xr:uid="{00000000-0005-0000-0000-00001A000000}"/>
    <cellStyle name="Hyperlink 3" xfId="28" xr:uid="{00000000-0005-0000-0000-00001B000000}"/>
    <cellStyle name="Hyperlink 3 2" xfId="29" xr:uid="{00000000-0005-0000-0000-00001C000000}"/>
    <cellStyle name="Normal" xfId="0" builtinId="0"/>
    <cellStyle name="Normal 10" xfId="114" xr:uid="{2DEE6BA0-D024-437A-8C00-D199E6E65569}"/>
    <cellStyle name="Normal 2" xfId="30" xr:uid="{00000000-0005-0000-0000-00001E000000}"/>
    <cellStyle name="Normal 2 2" xfId="31" xr:uid="{00000000-0005-0000-0000-00001F000000}"/>
    <cellStyle name="Normal 2 2 2" xfId="32" xr:uid="{00000000-0005-0000-0000-000020000000}"/>
    <cellStyle name="Normal 2 2 2 2" xfId="33" xr:uid="{00000000-0005-0000-0000-000021000000}"/>
    <cellStyle name="Normal 2 2 2 3" xfId="34" xr:uid="{00000000-0005-0000-0000-000022000000}"/>
    <cellStyle name="Normal 2 2 3" xfId="35" xr:uid="{00000000-0005-0000-0000-000023000000}"/>
    <cellStyle name="Normal 2 2 4" xfId="36" xr:uid="{00000000-0005-0000-0000-000024000000}"/>
    <cellStyle name="Normal 2 2 5" xfId="37" xr:uid="{00000000-0005-0000-0000-000025000000}"/>
    <cellStyle name="Normal 2 3" xfId="38" xr:uid="{00000000-0005-0000-0000-000026000000}"/>
    <cellStyle name="Normal 2 3 2" xfId="39" xr:uid="{00000000-0005-0000-0000-000027000000}"/>
    <cellStyle name="Normal 2 3 3" xfId="40" xr:uid="{00000000-0005-0000-0000-000028000000}"/>
    <cellStyle name="Normal 2 4" xfId="41" xr:uid="{00000000-0005-0000-0000-000029000000}"/>
    <cellStyle name="Normal 2 5" xfId="42" xr:uid="{00000000-0005-0000-0000-00002A000000}"/>
    <cellStyle name="Normal 2 6" xfId="43" xr:uid="{00000000-0005-0000-0000-00002B000000}"/>
    <cellStyle name="Normal 3" xfId="44" xr:uid="{00000000-0005-0000-0000-00002C000000}"/>
    <cellStyle name="Normal 3 2" xfId="45" xr:uid="{00000000-0005-0000-0000-00002D000000}"/>
    <cellStyle name="Normal 3 2 2" xfId="46" xr:uid="{00000000-0005-0000-0000-00002E000000}"/>
    <cellStyle name="Normal 3 2 3" xfId="47" xr:uid="{00000000-0005-0000-0000-00002F000000}"/>
    <cellStyle name="Normal 3 2 4" xfId="48" xr:uid="{00000000-0005-0000-0000-000030000000}"/>
    <cellStyle name="Normal 3 2 4 2" xfId="49" xr:uid="{00000000-0005-0000-0000-000031000000}"/>
    <cellStyle name="Normal 3 2 4 3" xfId="50" xr:uid="{00000000-0005-0000-0000-000032000000}"/>
    <cellStyle name="Normal 3 2 5" xfId="51" xr:uid="{00000000-0005-0000-0000-000033000000}"/>
    <cellStyle name="Normal 3 3" xfId="52" xr:uid="{00000000-0005-0000-0000-000034000000}"/>
    <cellStyle name="Normal 3 4" xfId="53" xr:uid="{00000000-0005-0000-0000-000035000000}"/>
    <cellStyle name="Normal 3 5" xfId="54" xr:uid="{00000000-0005-0000-0000-000036000000}"/>
    <cellStyle name="Normal 4" xfId="55" xr:uid="{00000000-0005-0000-0000-000037000000}"/>
    <cellStyle name="Normal 4 2" xfId="56" xr:uid="{00000000-0005-0000-0000-000038000000}"/>
    <cellStyle name="Normal 4 2 2" xfId="57" xr:uid="{00000000-0005-0000-0000-000039000000}"/>
    <cellStyle name="Normal 4 2 3" xfId="58" xr:uid="{00000000-0005-0000-0000-00003A000000}"/>
    <cellStyle name="Normal 4 3" xfId="59" xr:uid="{00000000-0005-0000-0000-00003B000000}"/>
    <cellStyle name="Normal 5" xfId="60" xr:uid="{00000000-0005-0000-0000-00003C000000}"/>
    <cellStyle name="Normal 5 2" xfId="61" xr:uid="{00000000-0005-0000-0000-00003D000000}"/>
    <cellStyle name="Normal 5 3" xfId="62" xr:uid="{00000000-0005-0000-0000-00003E000000}"/>
    <cellStyle name="Normal 5 4" xfId="63" xr:uid="{00000000-0005-0000-0000-00003F000000}"/>
    <cellStyle name="Normal 6" xfId="64" xr:uid="{00000000-0005-0000-0000-000040000000}"/>
    <cellStyle name="Normal 6 2" xfId="65" xr:uid="{00000000-0005-0000-0000-000041000000}"/>
    <cellStyle name="Normal 6 3" xfId="66" xr:uid="{00000000-0005-0000-0000-000042000000}"/>
    <cellStyle name="Normal 6 3 2" xfId="67" xr:uid="{00000000-0005-0000-0000-000043000000}"/>
    <cellStyle name="Normal 6 3 3" xfId="68" xr:uid="{00000000-0005-0000-0000-000044000000}"/>
    <cellStyle name="Normal 7" xfId="69" xr:uid="{00000000-0005-0000-0000-000045000000}"/>
    <cellStyle name="Normal 7 2" xfId="70" xr:uid="{00000000-0005-0000-0000-000046000000}"/>
    <cellStyle name="Normal 8" xfId="71" xr:uid="{00000000-0005-0000-0000-000047000000}"/>
    <cellStyle name="Normal 9" xfId="72" xr:uid="{00000000-0005-0000-0000-000048000000}"/>
    <cellStyle name="Normal 9 2" xfId="73" xr:uid="{00000000-0005-0000-0000-000049000000}"/>
    <cellStyle name="Percent" xfId="115" builtinId="5"/>
    <cellStyle name="Percent 10" xfId="74" xr:uid="{00000000-0005-0000-0000-00004A000000}"/>
    <cellStyle name="Percent 10 2" xfId="75" xr:uid="{00000000-0005-0000-0000-00004B000000}"/>
    <cellStyle name="Percent 10 3" xfId="76" xr:uid="{00000000-0005-0000-0000-00004C000000}"/>
    <cellStyle name="Percent 10 4" xfId="77" xr:uid="{00000000-0005-0000-0000-00004D000000}"/>
    <cellStyle name="Percent 2" xfId="78" xr:uid="{00000000-0005-0000-0000-00004E000000}"/>
    <cellStyle name="Percent 2 2" xfId="79" xr:uid="{00000000-0005-0000-0000-00004F000000}"/>
    <cellStyle name="Percent 2 3" xfId="80" xr:uid="{00000000-0005-0000-0000-000050000000}"/>
    <cellStyle name="Percent 2 3 2" xfId="81" xr:uid="{00000000-0005-0000-0000-000051000000}"/>
    <cellStyle name="Percent 2 3 3" xfId="82" xr:uid="{00000000-0005-0000-0000-000052000000}"/>
    <cellStyle name="Percent 2 3 4" xfId="83" xr:uid="{00000000-0005-0000-0000-000053000000}"/>
    <cellStyle name="Percent 2 4" xfId="84" xr:uid="{00000000-0005-0000-0000-000054000000}"/>
    <cellStyle name="Percent 2 5" xfId="85" xr:uid="{00000000-0005-0000-0000-000055000000}"/>
    <cellStyle name="Percent 2 5 2" xfId="86" xr:uid="{00000000-0005-0000-0000-000056000000}"/>
    <cellStyle name="Percent 3" xfId="87" xr:uid="{00000000-0005-0000-0000-000057000000}"/>
    <cellStyle name="Percent 3 2" xfId="88" xr:uid="{00000000-0005-0000-0000-000058000000}"/>
    <cellStyle name="Percent 4" xfId="89" xr:uid="{00000000-0005-0000-0000-000059000000}"/>
    <cellStyle name="Percent 4 2" xfId="90" xr:uid="{00000000-0005-0000-0000-00005A000000}"/>
    <cellStyle name="Percent 5" xfId="91" xr:uid="{00000000-0005-0000-0000-00005B000000}"/>
    <cellStyle name="Percent 5 2" xfId="92" xr:uid="{00000000-0005-0000-0000-00005C000000}"/>
    <cellStyle name="Percent 5 2 2" xfId="93" xr:uid="{00000000-0005-0000-0000-00005D000000}"/>
    <cellStyle name="Percent 5 2 3" xfId="94" xr:uid="{00000000-0005-0000-0000-00005E000000}"/>
    <cellStyle name="Percent 5 2 3 2" xfId="95" xr:uid="{00000000-0005-0000-0000-00005F000000}"/>
    <cellStyle name="Percent 5 3" xfId="96" xr:uid="{00000000-0005-0000-0000-000060000000}"/>
    <cellStyle name="Percent 5 3 2" xfId="97" xr:uid="{00000000-0005-0000-0000-000061000000}"/>
    <cellStyle name="Percent 6" xfId="98" xr:uid="{00000000-0005-0000-0000-000062000000}"/>
    <cellStyle name="Percent 6 2" xfId="99" xr:uid="{00000000-0005-0000-0000-000063000000}"/>
    <cellStyle name="Percent 6 3" xfId="100" xr:uid="{00000000-0005-0000-0000-000064000000}"/>
    <cellStyle name="Percent 6 3 2" xfId="101" xr:uid="{00000000-0005-0000-0000-000065000000}"/>
    <cellStyle name="Percent 7" xfId="102" xr:uid="{00000000-0005-0000-0000-000066000000}"/>
    <cellStyle name="Percent 7 2" xfId="103" xr:uid="{00000000-0005-0000-0000-000067000000}"/>
    <cellStyle name="Percent 7 3" xfId="104" xr:uid="{00000000-0005-0000-0000-000068000000}"/>
    <cellStyle name="Percent 7 4" xfId="105" xr:uid="{00000000-0005-0000-0000-000069000000}"/>
    <cellStyle name="Percent 7 4 2" xfId="106" xr:uid="{00000000-0005-0000-0000-00006A000000}"/>
    <cellStyle name="Percent 7 5" xfId="107" xr:uid="{00000000-0005-0000-0000-00006B000000}"/>
    <cellStyle name="Percent 7 5 2" xfId="108" xr:uid="{00000000-0005-0000-0000-00006C000000}"/>
    <cellStyle name="Percent 8" xfId="109" xr:uid="{00000000-0005-0000-0000-00006D000000}"/>
    <cellStyle name="Percent 8 2" xfId="110" xr:uid="{00000000-0005-0000-0000-00006E000000}"/>
    <cellStyle name="Percent 8 3" xfId="111" xr:uid="{00000000-0005-0000-0000-00006F000000}"/>
    <cellStyle name="Percent 8 3 2" xfId="112" xr:uid="{00000000-0005-0000-0000-000070000000}"/>
    <cellStyle name="Percent 9" xfId="113" xr:uid="{00000000-0005-0000-0000-000071000000}"/>
  </cellStyles>
  <dxfs count="4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EFDA0692-24F8-4D34-9E64-83E58002D9BE}"/>
  </tableStyles>
  <colors>
    <mruColors>
      <color rgb="FFAD9244"/>
      <color rgb="FF3A63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333333"/>
                </a:solidFill>
                <a:latin typeface="Calibri"/>
                <a:ea typeface="Calibri"/>
                <a:cs typeface="Calibri"/>
              </a:defRPr>
            </a:pPr>
            <a:r>
              <a:rPr lang="en-ZA"/>
              <a:t>Margin Comparison / Marge Vergelyking: Northwest Free State  R/ha)</a:t>
            </a:r>
          </a:p>
        </c:rich>
      </c:tx>
      <c:overlay val="0"/>
      <c:spPr>
        <a:noFill/>
        <a:ln w="25400">
          <a:noFill/>
        </a:ln>
      </c:spPr>
    </c:title>
    <c:autoTitleDeleted val="0"/>
    <c:plotArea>
      <c:layout>
        <c:manualLayout>
          <c:layoutTarget val="inner"/>
          <c:xMode val="edge"/>
          <c:yMode val="edge"/>
          <c:x val="8.9216600560370604E-2"/>
          <c:y val="0.11367393648578078"/>
          <c:w val="0.89034990337495268"/>
          <c:h val="0.69319330876508889"/>
        </c:manualLayout>
      </c:layout>
      <c:barChart>
        <c:barDir val="col"/>
        <c:grouping val="clustered"/>
        <c:varyColors val="0"/>
        <c:ser>
          <c:idx val="0"/>
          <c:order val="0"/>
          <c:tx>
            <c:strRef>
              <c:f>'Crop Comparison'!$A$34</c:f>
              <c:strCache>
                <c:ptCount val="1"/>
                <c:pt idx="0">
                  <c:v>3) GROSS MARGIN  (R/ha)</c:v>
                </c:pt>
              </c:strCache>
            </c:strRef>
          </c:tx>
          <c:spPr>
            <a:solidFill>
              <a:schemeClr val="bg1"/>
            </a:solidFill>
            <a:ln w="25400">
              <a:solidFill>
                <a:schemeClr val="accent1"/>
              </a:solidFill>
            </a:ln>
            <a:effectLst/>
          </c:spPr>
          <c:invertIfNegative val="0"/>
          <c:dLbls>
            <c:spPr>
              <a:no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'Crop Comparison'!$B$2:$I$2</c:f>
              <c:strCache>
                <c:ptCount val="5"/>
                <c:pt idx="0">
                  <c:v>Maize (Bt)</c:v>
                </c:pt>
                <c:pt idx="1">
                  <c:v>Sunflower</c:v>
                </c:pt>
                <c:pt idx="2">
                  <c:v>Soybean</c:v>
                </c:pt>
                <c:pt idx="3">
                  <c:v>Grain Sorghum</c:v>
                </c:pt>
                <c:pt idx="4">
                  <c:v>Groundnuts</c:v>
                </c:pt>
              </c:strCache>
            </c:strRef>
          </c:cat>
          <c:val>
            <c:numRef>
              <c:f>'Crop Comparison'!$B$34:$I$34</c:f>
              <c:numCache>
                <c:formatCode>"R"\ #\ ##0</c:formatCode>
                <c:ptCount val="5"/>
                <c:pt idx="0">
                  <c:v>3179.1488813296601</c:v>
                </c:pt>
                <c:pt idx="1">
                  <c:v>4599.5718495674228</c:v>
                </c:pt>
                <c:pt idx="2">
                  <c:v>2458.8013405792681</c:v>
                </c:pt>
                <c:pt idx="3">
                  <c:v>4736.8081120336992</c:v>
                </c:pt>
                <c:pt idx="4">
                  <c:v>9855.6999883975423</c:v>
                </c:pt>
              </c:numCache>
            </c:numRef>
          </c:val>
          <c:extLst>
            <c:ext xmlns:c16="http://schemas.microsoft.com/office/drawing/2014/chart" uri="{C3380CC4-5D6E-409C-BE32-E72D297353CC}">
              <c16:uniqueId val="{00000000-AD9F-4852-B5E8-1AF301A39B84}"/>
            </c:ext>
          </c:extLst>
        </c:ser>
        <c:ser>
          <c:idx val="1"/>
          <c:order val="1"/>
          <c:tx>
            <c:strRef>
              <c:f>'Crop Comparison'!$A$35</c:f>
              <c:strCache>
                <c:ptCount val="1"/>
                <c:pt idx="0">
                  <c:v>4) NETT MARGIN  (R/ha)</c:v>
                </c:pt>
              </c:strCache>
            </c:strRef>
          </c:tx>
          <c:spPr>
            <a:noFill/>
            <a:ln w="31750">
              <a:solidFill>
                <a:srgbClr val="FF0000"/>
              </a:solidFill>
            </a:ln>
          </c:spPr>
          <c:invertIfNegative val="0"/>
          <c:dLbls>
            <c:dLbl>
              <c:idx val="3"/>
              <c:layout>
                <c:manualLayout>
                  <c:x val="0"/>
                  <c:y val="-4.4523004370265927E-2"/>
                </c:manualLayout>
              </c:layout>
              <c:spPr>
                <a:ln>
                  <a:solidFill>
                    <a:srgbClr val="FF0000"/>
                  </a:solidFill>
                </a:ln>
              </c:spPr>
              <c:txPr>
                <a:bodyPr/>
                <a:lstStyle/>
                <a:p>
                  <a:pPr>
                    <a:defRPr sz="11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69-4A34-8642-A202D49FD694}"/>
                </c:ext>
              </c:extLst>
            </c:dLbl>
            <c:dLbl>
              <c:idx val="5"/>
              <c:layout>
                <c:manualLayout>
                  <c:x val="2.2576360985702526E-3"/>
                  <c:y val="-8.0141407866478581E-2"/>
                </c:manualLayout>
              </c:layout>
              <c:spPr>
                <a:ln>
                  <a:solidFill>
                    <a:srgbClr val="FF0000"/>
                  </a:solidFill>
                </a:ln>
              </c:spPr>
              <c:txPr>
                <a:bodyPr/>
                <a:lstStyle/>
                <a:p>
                  <a:pPr>
                    <a:defRPr sz="11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2769-4A34-8642-A202D49FD694}"/>
                </c:ext>
              </c:extLst>
            </c:dLbl>
            <c:spPr>
              <a:ln>
                <a:solidFill>
                  <a:srgbClr val="FF0000"/>
                </a:solid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'Crop Comparison'!$B$2:$I$2</c:f>
              <c:strCache>
                <c:ptCount val="5"/>
                <c:pt idx="0">
                  <c:v>Maize (Bt)</c:v>
                </c:pt>
                <c:pt idx="1">
                  <c:v>Sunflower</c:v>
                </c:pt>
                <c:pt idx="2">
                  <c:v>Soybean</c:v>
                </c:pt>
                <c:pt idx="3">
                  <c:v>Grain Sorghum</c:v>
                </c:pt>
                <c:pt idx="4">
                  <c:v>Groundnuts</c:v>
                </c:pt>
              </c:strCache>
            </c:strRef>
          </c:cat>
          <c:val>
            <c:numRef>
              <c:f>'Crop Comparison'!$B$35:$I$35</c:f>
              <c:numCache>
                <c:formatCode>"R"\ #\ ##0</c:formatCode>
                <c:ptCount val="5"/>
                <c:pt idx="0">
                  <c:v>126.78888132965949</c:v>
                </c:pt>
                <c:pt idx="1">
                  <c:v>1618.6318495674223</c:v>
                </c:pt>
                <c:pt idx="2">
                  <c:v>-18.668659420731274</c:v>
                </c:pt>
                <c:pt idx="3">
                  <c:v>2162.6081120336985</c:v>
                </c:pt>
                <c:pt idx="4">
                  <c:v>6639.2499883975433</c:v>
                </c:pt>
              </c:numCache>
            </c:numRef>
          </c:val>
          <c:extLst>
            <c:ext xmlns:c16="http://schemas.microsoft.com/office/drawing/2014/chart" uri="{C3380CC4-5D6E-409C-BE32-E72D297353CC}">
              <c16:uniqueId val="{00000003-AD9F-4852-B5E8-1AF301A39B84}"/>
            </c:ext>
          </c:extLst>
        </c:ser>
        <c:dLbls>
          <c:showLegendKey val="0"/>
          <c:showVal val="0"/>
          <c:showCatName val="0"/>
          <c:showSerName val="0"/>
          <c:showPercent val="0"/>
          <c:showBubbleSize val="0"/>
        </c:dLbls>
        <c:gapWidth val="150"/>
        <c:axId val="130243615"/>
        <c:axId val="1"/>
      </c:barChart>
      <c:catAx>
        <c:axId val="130243615"/>
        <c:scaling>
          <c:orientation val="minMax"/>
        </c:scaling>
        <c:delete val="0"/>
        <c:axPos val="b"/>
        <c:numFmt formatCode="General" sourceLinked="1"/>
        <c:majorTickMark val="none"/>
        <c:minorTickMark val="none"/>
        <c:tickLblPos val="low"/>
        <c:spPr>
          <a:ln w="9525">
            <a:noFill/>
          </a:ln>
        </c:spPr>
        <c:txPr>
          <a:bodyPr rot="0" vert="horz" anchor="b" anchorCtr="1"/>
          <a:lstStyle/>
          <a:p>
            <a:pPr>
              <a:defRPr sz="105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6000"/>
        </c:scaling>
        <c:delete val="0"/>
        <c:axPos val="l"/>
        <c:majorGridlines>
          <c:spPr>
            <a:ln w="9525" cap="flat" cmpd="sng" algn="ctr">
              <a:solidFill>
                <a:schemeClr val="tx1">
                  <a:lumMod val="15000"/>
                  <a:lumOff val="85000"/>
                </a:schemeClr>
              </a:solidFill>
              <a:round/>
            </a:ln>
            <a:effectLst/>
          </c:spPr>
        </c:majorGridlines>
        <c:numFmt formatCode="&quot;R&quot;\ #\ ##0" sourceLinked="1"/>
        <c:majorTickMark val="none"/>
        <c:minorTickMark val="none"/>
        <c:tickLblPos val="nextTo"/>
        <c:spPr>
          <a:ln w="9525">
            <a:noFill/>
          </a:ln>
        </c:spPr>
        <c:txPr>
          <a:bodyPr rot="0" vert="horz"/>
          <a:lstStyle/>
          <a:p>
            <a:pPr>
              <a:defRPr sz="1100" b="0" i="0" u="none" strike="noStrike" baseline="0">
                <a:solidFill>
                  <a:srgbClr val="333333"/>
                </a:solidFill>
                <a:latin typeface="Calibri"/>
                <a:ea typeface="Calibri"/>
                <a:cs typeface="Calibri"/>
              </a:defRPr>
            </a:pPr>
            <a:endParaRPr lang="en-US"/>
          </a:p>
        </c:txPr>
        <c:crossAx val="130243615"/>
        <c:crosses val="autoZero"/>
        <c:crossBetween val="between"/>
      </c:valAx>
      <c:spPr>
        <a:noFill/>
        <a:ln w="25400">
          <a:noFill/>
        </a:ln>
      </c:spPr>
    </c:plotArea>
    <c:legend>
      <c:legendPos val="r"/>
      <c:layout>
        <c:manualLayout>
          <c:xMode val="edge"/>
          <c:yMode val="edge"/>
          <c:x val="0.1739690862971156"/>
          <c:y val="0.90162959738199955"/>
          <c:w val="0.65281796272227832"/>
          <c:h val="7.2502261454866393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Sorghum</a:t>
            </a:r>
            <a:r>
              <a:rPr lang="en-GB" baseline="0"/>
              <a:t> profitability</a:t>
            </a:r>
            <a:endParaRPr lang="en-GB"/>
          </a:p>
        </c:rich>
      </c:tx>
      <c:overlay val="0"/>
    </c:title>
    <c:autoTitleDeleted val="0"/>
    <c:plotArea>
      <c:layout/>
      <c:doughnutChart>
        <c:varyColors val="1"/>
        <c:ser>
          <c:idx val="0"/>
          <c:order val="0"/>
          <c:tx>
            <c:strRef>
              <c:f>Grafieke!$A$71</c:f>
              <c:strCache>
                <c:ptCount val="1"/>
                <c:pt idx="0">
                  <c:v>Winsgewendheid: Sorghum</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C54-4DA4-BAD7-30128E3364E0}"/>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C54-4DA4-BAD7-30128E3364E0}"/>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C54-4DA4-BAD7-30128E3364E0}"/>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C54-4DA4-BAD7-30128E3364E0}"/>
              </c:ext>
            </c:extLst>
          </c:dPt>
          <c:dPt>
            <c:idx val="4"/>
            <c:bubble3D val="0"/>
            <c:spPr>
              <a:noFill/>
              <a:ln>
                <a:noFill/>
              </a:ln>
              <a:effectLst/>
            </c:spPr>
            <c:extLst>
              <c:ext xmlns:c16="http://schemas.microsoft.com/office/drawing/2014/chart" uri="{C3380CC4-5D6E-409C-BE32-E72D297353CC}">
                <c16:uniqueId val="{00000009-7C54-4DA4-BAD7-30128E3364E0}"/>
              </c:ext>
            </c:extLst>
          </c:dPt>
          <c:dLbls>
            <c:dLbl>
              <c:idx val="0"/>
              <c:delete val="1"/>
              <c:extLst>
                <c:ext xmlns:c15="http://schemas.microsoft.com/office/drawing/2012/chart" uri="{CE6537A1-D6FC-4f65-9D91-7224C49458BB}"/>
                <c:ext xmlns:c16="http://schemas.microsoft.com/office/drawing/2014/chart" uri="{C3380CC4-5D6E-409C-BE32-E72D297353CC}">
                  <c16:uniqueId val="{00000001-7C54-4DA4-BAD7-30128E3364E0}"/>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7C54-4DA4-BAD7-30128E3364E0}"/>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7C54-4DA4-BAD7-30128E3364E0}"/>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7C54-4DA4-BAD7-30128E3364E0}"/>
                </c:ext>
              </c:extLst>
            </c:dLbl>
            <c:dLbl>
              <c:idx val="4"/>
              <c:delete val="1"/>
              <c:extLst>
                <c:ext xmlns:c15="http://schemas.microsoft.com/office/drawing/2012/chart" uri="{CE6537A1-D6FC-4f65-9D91-7224C49458BB}"/>
                <c:ext xmlns:c16="http://schemas.microsoft.com/office/drawing/2014/chart" uri="{C3380CC4-5D6E-409C-BE32-E72D297353CC}">
                  <c16:uniqueId val="{00000009-7C54-4DA4-BAD7-30128E3364E0}"/>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Grafieke!$C$72:$C$76</c:f>
              <c:numCache>
                <c:formatCode>0</c:formatCode>
                <c:ptCount val="5"/>
                <c:pt idx="0" formatCode="General">
                  <c:v>0</c:v>
                </c:pt>
                <c:pt idx="1">
                  <c:v>36.667207183841292</c:v>
                </c:pt>
                <c:pt idx="2">
                  <c:v>9.3889309768002978</c:v>
                </c:pt>
                <c:pt idx="3">
                  <c:v>53.943861839358398</c:v>
                </c:pt>
                <c:pt idx="4" formatCode="General">
                  <c:v>100</c:v>
                </c:pt>
              </c:numCache>
            </c:numRef>
          </c:val>
          <c:extLst>
            <c:ext xmlns:c16="http://schemas.microsoft.com/office/drawing/2014/chart" uri="{C3380CC4-5D6E-409C-BE32-E72D297353CC}">
              <c16:uniqueId val="{0000000A-7C54-4DA4-BAD7-30128E3364E0}"/>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Grafieke!$D$71</c:f>
              <c:strCache>
                <c:ptCount val="1"/>
                <c:pt idx="0">
                  <c:v>Pointer</c:v>
                </c:pt>
              </c:strCache>
            </c:strRef>
          </c:tx>
          <c:dPt>
            <c:idx val="0"/>
            <c:bubble3D val="0"/>
            <c:spPr>
              <a:noFill/>
              <a:ln>
                <a:noFill/>
              </a:ln>
              <a:effectLst/>
            </c:spPr>
            <c:extLst>
              <c:ext xmlns:c16="http://schemas.microsoft.com/office/drawing/2014/chart" uri="{C3380CC4-5D6E-409C-BE32-E72D297353CC}">
                <c16:uniqueId val="{0000000C-7C54-4DA4-BAD7-30128E3364E0}"/>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7C54-4DA4-BAD7-30128E3364E0}"/>
              </c:ext>
            </c:extLst>
          </c:dPt>
          <c:dPt>
            <c:idx val="2"/>
            <c:bubble3D val="0"/>
            <c:spPr>
              <a:noFill/>
              <a:ln>
                <a:noFill/>
              </a:ln>
              <a:effectLst/>
            </c:spPr>
            <c:extLst>
              <c:ext xmlns:c16="http://schemas.microsoft.com/office/drawing/2014/chart" uri="{C3380CC4-5D6E-409C-BE32-E72D297353CC}">
                <c16:uniqueId val="{00000010-7C54-4DA4-BAD7-30128E3364E0}"/>
              </c:ext>
            </c:extLst>
          </c:dPt>
          <c:val>
            <c:numRef>
              <c:f>Grafieke!$F$72:$F$74</c:f>
              <c:numCache>
                <c:formatCode>General</c:formatCode>
                <c:ptCount val="3"/>
                <c:pt idx="0" formatCode="0">
                  <c:v>53.943861839358398</c:v>
                </c:pt>
                <c:pt idx="1">
                  <c:v>1</c:v>
                </c:pt>
                <c:pt idx="2" formatCode="0">
                  <c:v>145.05613816064161</c:v>
                </c:pt>
              </c:numCache>
            </c:numRef>
          </c:val>
          <c:extLst>
            <c:ext xmlns:c16="http://schemas.microsoft.com/office/drawing/2014/chart" uri="{C3380CC4-5D6E-409C-BE32-E72D297353CC}">
              <c16:uniqueId val="{00000011-7C54-4DA4-BAD7-30128E3364E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Sorghumwinsgewendheid</a:t>
            </a:r>
          </a:p>
        </c:rich>
      </c:tx>
      <c:overlay val="0"/>
    </c:title>
    <c:autoTitleDeleted val="0"/>
    <c:plotArea>
      <c:layout/>
      <c:doughnutChart>
        <c:varyColors val="1"/>
        <c:ser>
          <c:idx val="0"/>
          <c:order val="0"/>
          <c:tx>
            <c:strRef>
              <c:f>Grafieke!$A$71</c:f>
              <c:strCache>
                <c:ptCount val="1"/>
                <c:pt idx="0">
                  <c:v>Winsgewendheid: Sorghum</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068-4903-9D92-E6024762BE32}"/>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068-4903-9D92-E6024762BE32}"/>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5068-4903-9D92-E6024762BE32}"/>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5068-4903-9D92-E6024762BE32}"/>
              </c:ext>
            </c:extLst>
          </c:dPt>
          <c:dPt>
            <c:idx val="4"/>
            <c:bubble3D val="0"/>
            <c:spPr>
              <a:noFill/>
              <a:ln>
                <a:noFill/>
              </a:ln>
              <a:effectLst/>
            </c:spPr>
            <c:extLst>
              <c:ext xmlns:c16="http://schemas.microsoft.com/office/drawing/2014/chart" uri="{C3380CC4-5D6E-409C-BE32-E72D297353CC}">
                <c16:uniqueId val="{00000009-5068-4903-9D92-E6024762BE32}"/>
              </c:ext>
            </c:extLst>
          </c:dPt>
          <c:dLbls>
            <c:dLbl>
              <c:idx val="0"/>
              <c:delete val="1"/>
              <c:extLst>
                <c:ext xmlns:c15="http://schemas.microsoft.com/office/drawing/2012/chart" uri="{CE6537A1-D6FC-4f65-9D91-7224C49458BB}"/>
                <c:ext xmlns:c16="http://schemas.microsoft.com/office/drawing/2014/chart" uri="{C3380CC4-5D6E-409C-BE32-E72D297353CC}">
                  <c16:uniqueId val="{00000001-5068-4903-9D92-E6024762BE32}"/>
                </c:ext>
              </c:extLst>
            </c:dLbl>
            <c:dLbl>
              <c:idx val="1"/>
              <c:tx>
                <c:rich>
                  <a:bodyPr/>
                  <a:lstStyle/>
                  <a:p>
                    <a:r>
                      <a:rPr lang="en-US"/>
                      <a:t>Veranderlike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5068-4903-9D92-E6024762BE32}"/>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5068-4903-9D92-E6024762BE32}"/>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5068-4903-9D92-E6024762BE32}"/>
                </c:ext>
              </c:extLst>
            </c:dLbl>
            <c:dLbl>
              <c:idx val="4"/>
              <c:delete val="1"/>
              <c:extLst>
                <c:ext xmlns:c15="http://schemas.microsoft.com/office/drawing/2012/chart" uri="{CE6537A1-D6FC-4f65-9D91-7224C49458BB}"/>
                <c:ext xmlns:c16="http://schemas.microsoft.com/office/drawing/2014/chart" uri="{C3380CC4-5D6E-409C-BE32-E72D297353CC}">
                  <c16:uniqueId val="{00000009-5068-4903-9D92-E6024762BE3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Grafieke!$C$72:$C$76</c:f>
              <c:numCache>
                <c:formatCode>0</c:formatCode>
                <c:ptCount val="5"/>
                <c:pt idx="0" formatCode="General">
                  <c:v>0</c:v>
                </c:pt>
                <c:pt idx="1">
                  <c:v>36.667207183841292</c:v>
                </c:pt>
                <c:pt idx="2">
                  <c:v>9.3889309768002978</c:v>
                </c:pt>
                <c:pt idx="3">
                  <c:v>53.943861839358398</c:v>
                </c:pt>
                <c:pt idx="4" formatCode="General">
                  <c:v>100</c:v>
                </c:pt>
              </c:numCache>
            </c:numRef>
          </c:val>
          <c:extLst>
            <c:ext xmlns:c16="http://schemas.microsoft.com/office/drawing/2014/chart" uri="{C3380CC4-5D6E-409C-BE32-E72D297353CC}">
              <c16:uniqueId val="{0000000A-5068-4903-9D92-E6024762BE32}"/>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Grafieke!$D$71</c:f>
              <c:strCache>
                <c:ptCount val="1"/>
                <c:pt idx="0">
                  <c:v>Pointer</c:v>
                </c:pt>
              </c:strCache>
            </c:strRef>
          </c:tx>
          <c:dPt>
            <c:idx val="0"/>
            <c:bubble3D val="0"/>
            <c:spPr>
              <a:noFill/>
              <a:ln>
                <a:noFill/>
              </a:ln>
              <a:effectLst/>
            </c:spPr>
            <c:extLst>
              <c:ext xmlns:c16="http://schemas.microsoft.com/office/drawing/2014/chart" uri="{C3380CC4-5D6E-409C-BE32-E72D297353CC}">
                <c16:uniqueId val="{0000000C-5068-4903-9D92-E6024762BE32}"/>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5068-4903-9D92-E6024762BE32}"/>
              </c:ext>
            </c:extLst>
          </c:dPt>
          <c:dPt>
            <c:idx val="2"/>
            <c:bubble3D val="0"/>
            <c:spPr>
              <a:noFill/>
              <a:ln>
                <a:noFill/>
              </a:ln>
              <a:effectLst/>
            </c:spPr>
            <c:extLst>
              <c:ext xmlns:c16="http://schemas.microsoft.com/office/drawing/2014/chart" uri="{C3380CC4-5D6E-409C-BE32-E72D297353CC}">
                <c16:uniqueId val="{00000010-5068-4903-9D92-E6024762BE32}"/>
              </c:ext>
            </c:extLst>
          </c:dPt>
          <c:val>
            <c:numRef>
              <c:f>Grafieke!$F$72:$F$74</c:f>
              <c:numCache>
                <c:formatCode>General</c:formatCode>
                <c:ptCount val="3"/>
                <c:pt idx="0" formatCode="0">
                  <c:v>53.943861839358398</c:v>
                </c:pt>
                <c:pt idx="1">
                  <c:v>1</c:v>
                </c:pt>
                <c:pt idx="2" formatCode="0">
                  <c:v>145.05613816064161</c:v>
                </c:pt>
              </c:numCache>
            </c:numRef>
          </c:val>
          <c:extLst>
            <c:ext xmlns:c16="http://schemas.microsoft.com/office/drawing/2014/chart" uri="{C3380CC4-5D6E-409C-BE32-E72D297353CC}">
              <c16:uniqueId val="{00000011-5068-4903-9D92-E6024762BE3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ZA" b="0"/>
              <a:t>Mielie </a:t>
            </a:r>
            <a:r>
              <a:rPr lang="en-ZA" sz="1800" b="0" i="0" u="none" strike="noStrike" kern="1200" baseline="0">
                <a:solidFill>
                  <a:sysClr val="windowText" lastClr="000000"/>
                </a:solidFill>
                <a:latin typeface="+mn-lt"/>
                <a:ea typeface="+mn-ea"/>
                <a:cs typeface="+mn-cs"/>
              </a:rPr>
              <a:t>Winsgewendheid</a:t>
            </a:r>
            <a:r>
              <a:rPr lang="en-ZA" sz="1400" b="0"/>
              <a:t> </a:t>
            </a:r>
            <a:r>
              <a:rPr lang="en-ZA" sz="1200" b="0"/>
              <a:t>(Hoër</a:t>
            </a:r>
            <a:r>
              <a:rPr lang="en-ZA" sz="1200" b="0" baseline="0"/>
              <a:t> opbrengs)</a:t>
            </a:r>
            <a:endParaRPr lang="en-ZA" sz="1050" b="0"/>
          </a:p>
        </c:rich>
      </c:tx>
      <c:layout>
        <c:manualLayout>
          <c:xMode val="edge"/>
          <c:yMode val="edge"/>
          <c:x val="0.28843510540431561"/>
          <c:y val="4.7382498526292366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strRef>
              <c:f>Grafieke!$A$1</c:f>
              <c:strCache>
                <c:ptCount val="1"/>
                <c:pt idx="0">
                  <c:v>Winsgewendheid: Mielies (Hoer opbrengs)</c:v>
                </c:pt>
              </c:strCache>
            </c:strRef>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82E-4206-BB6E-42D6F2A40863}"/>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82E-4206-BB6E-42D6F2A40863}"/>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82E-4206-BB6E-42D6F2A40863}"/>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82E-4206-BB6E-42D6F2A40863}"/>
              </c:ext>
            </c:extLst>
          </c:dPt>
          <c:dPt>
            <c:idx val="4"/>
            <c:bubble3D val="0"/>
            <c:spPr>
              <a:noFill/>
              <a:ln>
                <a:noFill/>
              </a:ln>
              <a:effectLst/>
            </c:spPr>
            <c:extLst>
              <c:ext xmlns:c16="http://schemas.microsoft.com/office/drawing/2014/chart" uri="{C3380CC4-5D6E-409C-BE32-E72D297353CC}">
                <c16:uniqueId val="{00000009-782E-4206-BB6E-42D6F2A40863}"/>
              </c:ext>
            </c:extLst>
          </c:dPt>
          <c:dLbls>
            <c:dLbl>
              <c:idx val="0"/>
              <c:delete val="1"/>
              <c:extLst>
                <c:ext xmlns:c15="http://schemas.microsoft.com/office/drawing/2012/chart" uri="{CE6537A1-D6FC-4f65-9D91-7224C49458BB}"/>
                <c:ext xmlns:c16="http://schemas.microsoft.com/office/drawing/2014/chart" uri="{C3380CC4-5D6E-409C-BE32-E72D297353CC}">
                  <c16:uniqueId val="{00000001-782E-4206-BB6E-42D6F2A40863}"/>
                </c:ext>
              </c:extLst>
            </c:dLbl>
            <c:dLbl>
              <c:idx val="1"/>
              <c:tx>
                <c:rich>
                  <a:bodyPr/>
                  <a:lstStyle/>
                  <a:p>
                    <a:r>
                      <a:rPr lang="en-US"/>
                      <a:t>Veranderlike Koste</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782E-4206-BB6E-42D6F2A40863}"/>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782E-4206-BB6E-42D6F2A40863}"/>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782E-4206-BB6E-42D6F2A40863}"/>
                </c:ext>
              </c:extLst>
            </c:dLbl>
            <c:dLbl>
              <c:idx val="4"/>
              <c:delete val="1"/>
              <c:extLst>
                <c:ext xmlns:c15="http://schemas.microsoft.com/office/drawing/2012/chart" uri="{CE6537A1-D6FC-4f65-9D91-7224C49458BB}"/>
                <c:ext xmlns:c16="http://schemas.microsoft.com/office/drawing/2014/chart" uri="{C3380CC4-5D6E-409C-BE32-E72D297353CC}">
                  <c16:uniqueId val="{00000009-782E-4206-BB6E-42D6F2A4086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Grafieke!$C$2:$C$6</c:f>
              <c:numCache>
                <c:formatCode>0</c:formatCode>
                <c:ptCount val="5"/>
                <c:pt idx="0" formatCode="General">
                  <c:v>0</c:v>
                </c:pt>
                <c:pt idx="1">
                  <c:v>39.490216748249892</c:v>
                </c:pt>
                <c:pt idx="2">
                  <c:v>6.4193961956736834</c:v>
                </c:pt>
                <c:pt idx="3">
                  <c:v>54.09038705607643</c:v>
                </c:pt>
                <c:pt idx="4" formatCode="General">
                  <c:v>100</c:v>
                </c:pt>
              </c:numCache>
            </c:numRef>
          </c:val>
          <c:extLst>
            <c:ext xmlns:c16="http://schemas.microsoft.com/office/drawing/2014/chart" uri="{C3380CC4-5D6E-409C-BE32-E72D297353CC}">
              <c16:uniqueId val="{0000000A-782E-4206-BB6E-42D6F2A40863}"/>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dPt>
            <c:idx val="0"/>
            <c:bubble3D val="0"/>
            <c:spPr>
              <a:noFill/>
              <a:ln>
                <a:noFill/>
              </a:ln>
              <a:effectLst/>
            </c:spPr>
            <c:extLst>
              <c:ext xmlns:c16="http://schemas.microsoft.com/office/drawing/2014/chart" uri="{C3380CC4-5D6E-409C-BE32-E72D297353CC}">
                <c16:uniqueId val="{0000000C-782E-4206-BB6E-42D6F2A40863}"/>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782E-4206-BB6E-42D6F2A40863}"/>
              </c:ext>
            </c:extLst>
          </c:dPt>
          <c:dPt>
            <c:idx val="2"/>
            <c:bubble3D val="0"/>
            <c:spPr>
              <a:noFill/>
              <a:ln>
                <a:noFill/>
              </a:ln>
              <a:effectLst/>
            </c:spPr>
            <c:extLst>
              <c:ext xmlns:c16="http://schemas.microsoft.com/office/drawing/2014/chart" uri="{C3380CC4-5D6E-409C-BE32-E72D297353CC}">
                <c16:uniqueId val="{00000010-782E-4206-BB6E-42D6F2A40863}"/>
              </c:ext>
            </c:extLst>
          </c:dPt>
          <c:val>
            <c:numRef>
              <c:f>Grafieke!$F$2:$F$4</c:f>
              <c:numCache>
                <c:formatCode>General</c:formatCode>
                <c:ptCount val="3"/>
                <c:pt idx="0" formatCode="0">
                  <c:v>54.09038705607643</c:v>
                </c:pt>
                <c:pt idx="1">
                  <c:v>1</c:v>
                </c:pt>
                <c:pt idx="2" formatCode="0">
                  <c:v>144.90961294392358</c:v>
                </c:pt>
              </c:numCache>
            </c:numRef>
          </c:val>
          <c:extLst>
            <c:ext xmlns:c16="http://schemas.microsoft.com/office/drawing/2014/chart" uri="{C3380CC4-5D6E-409C-BE32-E72D297353CC}">
              <c16:uniqueId val="{00000011-782E-4206-BB6E-42D6F2A40863}"/>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Sunflower</a:t>
            </a:r>
            <a:r>
              <a:rPr lang="en-GB" baseline="0"/>
              <a:t> profitability</a:t>
            </a:r>
            <a:endParaRPr lang="en-GB"/>
          </a:p>
        </c:rich>
      </c:tx>
      <c:overlay val="0"/>
    </c:title>
    <c:autoTitleDeleted val="0"/>
    <c:plotArea>
      <c:layout>
        <c:manualLayout>
          <c:layoutTarget val="inner"/>
          <c:xMode val="edge"/>
          <c:yMode val="edge"/>
          <c:x val="0.3138312504815724"/>
          <c:y val="0.20618906700407469"/>
          <c:w val="0.37233766297638776"/>
          <c:h val="0.79165019711181517"/>
        </c:manualLayout>
      </c:layout>
      <c:doughnutChart>
        <c:varyColors val="1"/>
        <c:ser>
          <c:idx val="0"/>
          <c:order val="0"/>
          <c:tx>
            <c:strRef>
              <c:f>Grafieke!$A$34</c:f>
              <c:strCache>
                <c:ptCount val="1"/>
                <c:pt idx="0">
                  <c:v>Winsgewendheid: Sonneblom</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DAC-4723-9EF6-2AFD0B64267B}"/>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DAC-4723-9EF6-2AFD0B64267B}"/>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DAC-4723-9EF6-2AFD0B64267B}"/>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DAC-4723-9EF6-2AFD0B64267B}"/>
              </c:ext>
            </c:extLst>
          </c:dPt>
          <c:dPt>
            <c:idx val="4"/>
            <c:bubble3D val="0"/>
            <c:spPr>
              <a:noFill/>
              <a:ln>
                <a:noFill/>
              </a:ln>
              <a:effectLst/>
            </c:spPr>
            <c:extLst>
              <c:ext xmlns:c16="http://schemas.microsoft.com/office/drawing/2014/chart" uri="{C3380CC4-5D6E-409C-BE32-E72D297353CC}">
                <c16:uniqueId val="{00000009-EDAC-4723-9EF6-2AFD0B64267B}"/>
              </c:ext>
            </c:extLst>
          </c:dPt>
          <c:dLbls>
            <c:dLbl>
              <c:idx val="0"/>
              <c:delete val="1"/>
              <c:extLst>
                <c:ext xmlns:c15="http://schemas.microsoft.com/office/drawing/2012/chart" uri="{CE6537A1-D6FC-4f65-9D91-7224C49458BB}"/>
                <c:ext xmlns:c16="http://schemas.microsoft.com/office/drawing/2014/chart" uri="{C3380CC4-5D6E-409C-BE32-E72D297353CC}">
                  <c16:uniqueId val="{00000001-EDAC-4723-9EF6-2AFD0B64267B}"/>
                </c:ext>
              </c:extLst>
            </c:dLbl>
            <c:dLbl>
              <c:idx val="1"/>
              <c:tx>
                <c:rich>
                  <a:bodyPr/>
                  <a:lstStyle/>
                  <a:p>
                    <a:r>
                      <a:rPr lang="en-US"/>
                      <a:t>Variable</a:t>
                    </a:r>
                    <a:r>
                      <a:rPr lang="en-US" baseline="0"/>
                      <a:t> cost  </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EDAC-4723-9EF6-2AFD0B64267B}"/>
                </c:ext>
              </c:extLst>
            </c:dLbl>
            <c:dLbl>
              <c:idx val="2"/>
              <c:layout>
                <c:manualLayout>
                  <c:x val="-2.033760423022168E-3"/>
                  <c:y val="-4.3830813061582694E-3"/>
                </c:manualLayout>
              </c:layout>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EDAC-4723-9EF6-2AFD0B64267B}"/>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EDAC-4723-9EF6-2AFD0B64267B}"/>
                </c:ext>
              </c:extLst>
            </c:dLbl>
            <c:dLbl>
              <c:idx val="4"/>
              <c:delete val="1"/>
              <c:extLst>
                <c:ext xmlns:c15="http://schemas.microsoft.com/office/drawing/2012/chart" uri="{CE6537A1-D6FC-4f65-9D91-7224C49458BB}"/>
                <c:ext xmlns:c16="http://schemas.microsoft.com/office/drawing/2014/chart" uri="{C3380CC4-5D6E-409C-BE32-E72D297353CC}">
                  <c16:uniqueId val="{00000009-EDAC-4723-9EF6-2AFD0B64267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Grafieke!$C$35:$C$39</c:f>
              <c:numCache>
                <c:formatCode>0</c:formatCode>
                <c:ptCount val="5"/>
                <c:pt idx="0" formatCode="General">
                  <c:v>0</c:v>
                </c:pt>
                <c:pt idx="1">
                  <c:v>37.128710771634665</c:v>
                </c:pt>
                <c:pt idx="2">
                  <c:v>10.122942005451208</c:v>
                </c:pt>
                <c:pt idx="3">
                  <c:v>52.748347222914113</c:v>
                </c:pt>
                <c:pt idx="4" formatCode="General">
                  <c:v>100</c:v>
                </c:pt>
              </c:numCache>
            </c:numRef>
          </c:val>
          <c:extLst>
            <c:ext xmlns:c16="http://schemas.microsoft.com/office/drawing/2014/chart" uri="{C3380CC4-5D6E-409C-BE32-E72D297353CC}">
              <c16:uniqueId val="{0000000A-EDAC-4723-9EF6-2AFD0B64267B}"/>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Grafieke!$D$34</c:f>
              <c:strCache>
                <c:ptCount val="1"/>
                <c:pt idx="0">
                  <c:v>Pointer</c:v>
                </c:pt>
              </c:strCache>
            </c:strRef>
          </c:tx>
          <c:dPt>
            <c:idx val="0"/>
            <c:bubble3D val="0"/>
            <c:spPr>
              <a:noFill/>
              <a:ln>
                <a:noFill/>
              </a:ln>
              <a:effectLst/>
            </c:spPr>
            <c:extLst>
              <c:ext xmlns:c16="http://schemas.microsoft.com/office/drawing/2014/chart" uri="{C3380CC4-5D6E-409C-BE32-E72D297353CC}">
                <c16:uniqueId val="{0000000C-EDAC-4723-9EF6-2AFD0B64267B}"/>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DAC-4723-9EF6-2AFD0B64267B}"/>
              </c:ext>
            </c:extLst>
          </c:dPt>
          <c:dPt>
            <c:idx val="2"/>
            <c:bubble3D val="0"/>
            <c:spPr>
              <a:noFill/>
              <a:ln>
                <a:noFill/>
              </a:ln>
              <a:effectLst/>
            </c:spPr>
            <c:extLst>
              <c:ext xmlns:c16="http://schemas.microsoft.com/office/drawing/2014/chart" uri="{C3380CC4-5D6E-409C-BE32-E72D297353CC}">
                <c16:uniqueId val="{00000010-EDAC-4723-9EF6-2AFD0B64267B}"/>
              </c:ext>
            </c:extLst>
          </c:dPt>
          <c:val>
            <c:numRef>
              <c:f>Grafieke!$F$35:$F$37</c:f>
              <c:numCache>
                <c:formatCode>General</c:formatCode>
                <c:ptCount val="3"/>
                <c:pt idx="0" formatCode="0">
                  <c:v>52.748347222914113</c:v>
                </c:pt>
                <c:pt idx="1">
                  <c:v>1</c:v>
                </c:pt>
                <c:pt idx="2" formatCode="0">
                  <c:v>146.25165277708589</c:v>
                </c:pt>
              </c:numCache>
            </c:numRef>
          </c:val>
          <c:extLst>
            <c:ext xmlns:c16="http://schemas.microsoft.com/office/drawing/2014/chart" uri="{C3380CC4-5D6E-409C-BE32-E72D297353CC}">
              <c16:uniqueId val="{00000011-EDAC-4723-9EF6-2AFD0B64267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Soybean</a:t>
            </a:r>
            <a:r>
              <a:rPr lang="en-GB" baseline="0"/>
              <a:t> profitability</a:t>
            </a:r>
            <a:endParaRPr lang="en-GB"/>
          </a:p>
        </c:rich>
      </c:tx>
      <c:overlay val="0"/>
    </c:title>
    <c:autoTitleDeleted val="0"/>
    <c:plotArea>
      <c:layout/>
      <c:doughnutChart>
        <c:varyColors val="1"/>
        <c:ser>
          <c:idx val="0"/>
          <c:order val="0"/>
          <c:tx>
            <c:strRef>
              <c:f>Grafieke!$A$51</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00F-4329-8C26-BB18252545FA}"/>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00F-4329-8C26-BB18252545FA}"/>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B00F-4329-8C26-BB18252545FA}"/>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B00F-4329-8C26-BB18252545FA}"/>
              </c:ext>
            </c:extLst>
          </c:dPt>
          <c:dPt>
            <c:idx val="4"/>
            <c:bubble3D val="0"/>
            <c:spPr>
              <a:noFill/>
              <a:ln>
                <a:noFill/>
              </a:ln>
              <a:effectLst/>
            </c:spPr>
            <c:extLst>
              <c:ext xmlns:c16="http://schemas.microsoft.com/office/drawing/2014/chart" uri="{C3380CC4-5D6E-409C-BE32-E72D297353CC}">
                <c16:uniqueId val="{00000009-B00F-4329-8C26-BB18252545FA}"/>
              </c:ext>
            </c:extLst>
          </c:dPt>
          <c:dLbls>
            <c:dLbl>
              <c:idx val="0"/>
              <c:delete val="1"/>
              <c:extLst>
                <c:ext xmlns:c15="http://schemas.microsoft.com/office/drawing/2012/chart" uri="{CE6537A1-D6FC-4f65-9D91-7224C49458BB}"/>
                <c:ext xmlns:c16="http://schemas.microsoft.com/office/drawing/2014/chart" uri="{C3380CC4-5D6E-409C-BE32-E72D297353CC}">
                  <c16:uniqueId val="{00000001-B00F-4329-8C26-BB18252545FA}"/>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B00F-4329-8C26-BB18252545FA}"/>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B00F-4329-8C26-BB18252545FA}"/>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B00F-4329-8C26-BB18252545FA}"/>
                </c:ext>
              </c:extLst>
            </c:dLbl>
            <c:dLbl>
              <c:idx val="4"/>
              <c:delete val="1"/>
              <c:extLst>
                <c:ext xmlns:c15="http://schemas.microsoft.com/office/drawing/2012/chart" uri="{CE6537A1-D6FC-4f65-9D91-7224C49458BB}"/>
                <c:ext xmlns:c16="http://schemas.microsoft.com/office/drawing/2014/chart" uri="{C3380CC4-5D6E-409C-BE32-E72D297353CC}">
                  <c16:uniqueId val="{00000009-B00F-4329-8C26-BB18252545F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Grafieke!$C$52:$C$56</c:f>
              <c:numCache>
                <c:formatCode>0</c:formatCode>
                <c:ptCount val="5"/>
                <c:pt idx="0" formatCode="General">
                  <c:v>0</c:v>
                </c:pt>
                <c:pt idx="1">
                  <c:v>42.367614077922696</c:v>
                </c:pt>
                <c:pt idx="2">
                  <c:v>7.6612511127274905</c:v>
                </c:pt>
                <c:pt idx="3">
                  <c:v>49.97113480934982</c:v>
                </c:pt>
                <c:pt idx="4" formatCode="General">
                  <c:v>100</c:v>
                </c:pt>
              </c:numCache>
            </c:numRef>
          </c:val>
          <c:extLst>
            <c:ext xmlns:c16="http://schemas.microsoft.com/office/drawing/2014/chart" uri="{C3380CC4-5D6E-409C-BE32-E72D297353CC}">
              <c16:uniqueId val="{0000000A-B00F-4329-8C26-BB18252545FA}"/>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Grafieke!$D$51</c:f>
              <c:strCache>
                <c:ptCount val="1"/>
                <c:pt idx="0">
                  <c:v>Pointer</c:v>
                </c:pt>
              </c:strCache>
            </c:strRef>
          </c:tx>
          <c:dPt>
            <c:idx val="0"/>
            <c:bubble3D val="0"/>
            <c:spPr>
              <a:noFill/>
              <a:ln>
                <a:noFill/>
              </a:ln>
              <a:effectLst/>
            </c:spPr>
            <c:extLst>
              <c:ext xmlns:c16="http://schemas.microsoft.com/office/drawing/2014/chart" uri="{C3380CC4-5D6E-409C-BE32-E72D297353CC}">
                <c16:uniqueId val="{0000000C-B00F-4329-8C26-BB18252545FA}"/>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B00F-4329-8C26-BB18252545FA}"/>
              </c:ext>
            </c:extLst>
          </c:dPt>
          <c:dPt>
            <c:idx val="2"/>
            <c:bubble3D val="0"/>
            <c:spPr>
              <a:noFill/>
              <a:ln>
                <a:noFill/>
              </a:ln>
              <a:effectLst/>
            </c:spPr>
            <c:extLst>
              <c:ext xmlns:c16="http://schemas.microsoft.com/office/drawing/2014/chart" uri="{C3380CC4-5D6E-409C-BE32-E72D297353CC}">
                <c16:uniqueId val="{00000010-B00F-4329-8C26-BB18252545FA}"/>
              </c:ext>
            </c:extLst>
          </c:dPt>
          <c:val>
            <c:numRef>
              <c:f>Grafieke!$F$52:$F$54</c:f>
              <c:numCache>
                <c:formatCode>General</c:formatCode>
                <c:ptCount val="3"/>
                <c:pt idx="0" formatCode="0">
                  <c:v>49.97113480934982</c:v>
                </c:pt>
                <c:pt idx="1">
                  <c:v>1</c:v>
                </c:pt>
                <c:pt idx="2" formatCode="0">
                  <c:v>149.02886519065018</c:v>
                </c:pt>
              </c:numCache>
            </c:numRef>
          </c:val>
          <c:extLst>
            <c:ext xmlns:c16="http://schemas.microsoft.com/office/drawing/2014/chart" uri="{C3380CC4-5D6E-409C-BE32-E72D297353CC}">
              <c16:uniqueId val="{00000011-B00F-4329-8C26-BB18252545F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Maize</a:t>
            </a:r>
            <a:r>
              <a:rPr lang="en-GB" baseline="0"/>
              <a:t> profitability </a:t>
            </a:r>
            <a:r>
              <a:rPr lang="en-GB" sz="1100" b="0" baseline="0"/>
              <a:t>(Average yield)</a:t>
            </a:r>
            <a:endParaRPr lang="en-GB" b="0"/>
          </a:p>
        </c:rich>
      </c:tx>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strRef>
              <c:f>Grafieke!$A$17</c:f>
              <c:strCache>
                <c:ptCount val="1"/>
                <c:pt idx="0">
                  <c:v>Winsgewendheid: Mielies (Gemid opbrengs)</c:v>
                </c:pt>
              </c:strCache>
            </c:strRef>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DB1-4D53-8B4E-3D0209A83A32}"/>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DB1-4D53-8B4E-3D0209A83A32}"/>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5DB1-4D53-8B4E-3D0209A83A32}"/>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5DB1-4D53-8B4E-3D0209A83A32}"/>
              </c:ext>
            </c:extLst>
          </c:dPt>
          <c:dPt>
            <c:idx val="4"/>
            <c:bubble3D val="0"/>
            <c:spPr>
              <a:noFill/>
              <a:ln>
                <a:noFill/>
              </a:ln>
              <a:effectLst/>
            </c:spPr>
            <c:extLst>
              <c:ext xmlns:c16="http://schemas.microsoft.com/office/drawing/2014/chart" uri="{C3380CC4-5D6E-409C-BE32-E72D297353CC}">
                <c16:uniqueId val="{00000009-5DB1-4D53-8B4E-3D0209A83A32}"/>
              </c:ext>
            </c:extLst>
          </c:dPt>
          <c:dLbls>
            <c:dLbl>
              <c:idx val="0"/>
              <c:delete val="1"/>
              <c:extLst>
                <c:ext xmlns:c15="http://schemas.microsoft.com/office/drawing/2012/chart" uri="{CE6537A1-D6FC-4f65-9D91-7224C49458BB}"/>
                <c:ext xmlns:c16="http://schemas.microsoft.com/office/drawing/2014/chart" uri="{C3380CC4-5D6E-409C-BE32-E72D297353CC}">
                  <c16:uniqueId val="{00000001-5DB1-4D53-8B4E-3D0209A83A32}"/>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5DB1-4D53-8B4E-3D0209A83A32}"/>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5DB1-4D53-8B4E-3D0209A83A32}"/>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5DB1-4D53-8B4E-3D0209A83A32}"/>
                </c:ext>
              </c:extLst>
            </c:dLbl>
            <c:dLbl>
              <c:idx val="4"/>
              <c:delete val="1"/>
              <c:extLst>
                <c:ext xmlns:c15="http://schemas.microsoft.com/office/drawing/2012/chart" uri="{CE6537A1-D6FC-4f65-9D91-7224C49458BB}"/>
                <c:ext xmlns:c16="http://schemas.microsoft.com/office/drawing/2014/chart" uri="{C3380CC4-5D6E-409C-BE32-E72D297353CC}">
                  <c16:uniqueId val="{00000009-5DB1-4D53-8B4E-3D0209A83A3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Grafieke!$C$18:$C$22</c:f>
              <c:numCache>
                <c:formatCode>0</c:formatCode>
                <c:ptCount val="5"/>
                <c:pt idx="0" formatCode="General">
                  <c:v>0</c:v>
                </c:pt>
                <c:pt idx="1">
                  <c:v>41.469456078373767</c:v>
                </c:pt>
                <c:pt idx="2">
                  <c:v>9.2119186191521454</c:v>
                </c:pt>
                <c:pt idx="3">
                  <c:v>49.318625302474089</c:v>
                </c:pt>
                <c:pt idx="4">
                  <c:v>100</c:v>
                </c:pt>
              </c:numCache>
            </c:numRef>
          </c:val>
          <c:extLst>
            <c:ext xmlns:c16="http://schemas.microsoft.com/office/drawing/2014/chart" uri="{C3380CC4-5D6E-409C-BE32-E72D297353CC}">
              <c16:uniqueId val="{0000000A-5DB1-4D53-8B4E-3D0209A83A32}"/>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dPt>
            <c:idx val="0"/>
            <c:bubble3D val="0"/>
            <c:spPr>
              <a:noFill/>
              <a:ln>
                <a:noFill/>
              </a:ln>
              <a:effectLst/>
            </c:spPr>
            <c:extLst>
              <c:ext xmlns:c16="http://schemas.microsoft.com/office/drawing/2014/chart" uri="{C3380CC4-5D6E-409C-BE32-E72D297353CC}">
                <c16:uniqueId val="{0000000C-5DB1-4D53-8B4E-3D0209A83A32}"/>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5DB1-4D53-8B4E-3D0209A83A32}"/>
              </c:ext>
            </c:extLst>
          </c:dPt>
          <c:dPt>
            <c:idx val="2"/>
            <c:bubble3D val="0"/>
            <c:spPr>
              <a:noFill/>
              <a:ln>
                <a:noFill/>
              </a:ln>
              <a:effectLst/>
            </c:spPr>
            <c:extLst>
              <c:ext xmlns:c16="http://schemas.microsoft.com/office/drawing/2014/chart" uri="{C3380CC4-5D6E-409C-BE32-E72D297353CC}">
                <c16:uniqueId val="{00000010-5DB1-4D53-8B4E-3D0209A83A32}"/>
              </c:ext>
            </c:extLst>
          </c:dPt>
          <c:val>
            <c:numRef>
              <c:f>Grafieke!$F$18:$F$20</c:f>
              <c:numCache>
                <c:formatCode>General</c:formatCode>
                <c:ptCount val="3"/>
                <c:pt idx="0" formatCode="0">
                  <c:v>49.318625302474089</c:v>
                </c:pt>
                <c:pt idx="1">
                  <c:v>1</c:v>
                </c:pt>
                <c:pt idx="2" formatCode="0">
                  <c:v>149.68137469752591</c:v>
                </c:pt>
              </c:numCache>
            </c:numRef>
          </c:val>
          <c:extLst>
            <c:ext xmlns:c16="http://schemas.microsoft.com/office/drawing/2014/chart" uri="{C3380CC4-5D6E-409C-BE32-E72D297353CC}">
              <c16:uniqueId val="{00000011-5DB1-4D53-8B4E-3D0209A83A3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ZA" b="0"/>
              <a:t>Maize</a:t>
            </a:r>
            <a:r>
              <a:rPr lang="en-ZA" b="0" baseline="0"/>
              <a:t> profitability </a:t>
            </a:r>
            <a:r>
              <a:rPr lang="en-ZA" sz="1200" b="0" baseline="0"/>
              <a:t>(Higher yield)</a:t>
            </a:r>
            <a:endParaRPr lang="en-ZA" sz="1050" b="0"/>
          </a:p>
        </c:rich>
      </c:tx>
      <c:layout>
        <c:manualLayout>
          <c:xMode val="edge"/>
          <c:yMode val="edge"/>
          <c:x val="0.28843510540431561"/>
          <c:y val="4.7382498526292366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strRef>
              <c:f>Grafieke!$A$1</c:f>
              <c:strCache>
                <c:ptCount val="1"/>
                <c:pt idx="0">
                  <c:v>Winsgewendheid: Mielies (Hoer opbrengs)</c:v>
                </c:pt>
              </c:strCache>
            </c:strRef>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60E-44B0-BC2F-2925787B4C27}"/>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60E-44B0-BC2F-2925787B4C27}"/>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560E-44B0-BC2F-2925787B4C27}"/>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560E-44B0-BC2F-2925787B4C27}"/>
              </c:ext>
            </c:extLst>
          </c:dPt>
          <c:dPt>
            <c:idx val="4"/>
            <c:bubble3D val="0"/>
            <c:spPr>
              <a:noFill/>
              <a:ln>
                <a:noFill/>
              </a:ln>
              <a:effectLst/>
            </c:spPr>
            <c:extLst>
              <c:ext xmlns:c16="http://schemas.microsoft.com/office/drawing/2014/chart" uri="{C3380CC4-5D6E-409C-BE32-E72D297353CC}">
                <c16:uniqueId val="{00000009-560E-44B0-BC2F-2925787B4C27}"/>
              </c:ext>
            </c:extLst>
          </c:dPt>
          <c:dLbls>
            <c:dLbl>
              <c:idx val="0"/>
              <c:delete val="1"/>
              <c:extLst>
                <c:ext xmlns:c15="http://schemas.microsoft.com/office/drawing/2012/chart" uri="{CE6537A1-D6FC-4f65-9D91-7224C49458BB}"/>
                <c:ext xmlns:c16="http://schemas.microsoft.com/office/drawing/2014/chart" uri="{C3380CC4-5D6E-409C-BE32-E72D297353CC}">
                  <c16:uniqueId val="{00000001-560E-44B0-BC2F-2925787B4C27}"/>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560E-44B0-BC2F-2925787B4C27}"/>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560E-44B0-BC2F-2925787B4C27}"/>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560E-44B0-BC2F-2925787B4C27}"/>
                </c:ext>
              </c:extLst>
            </c:dLbl>
            <c:dLbl>
              <c:idx val="4"/>
              <c:delete val="1"/>
              <c:extLst>
                <c:ext xmlns:c15="http://schemas.microsoft.com/office/drawing/2012/chart" uri="{CE6537A1-D6FC-4f65-9D91-7224C49458BB}"/>
                <c:ext xmlns:c16="http://schemas.microsoft.com/office/drawing/2014/chart" uri="{C3380CC4-5D6E-409C-BE32-E72D297353CC}">
                  <c16:uniqueId val="{00000009-560E-44B0-BC2F-2925787B4C2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Grafieke!$C$2:$C$6</c:f>
              <c:numCache>
                <c:formatCode>0</c:formatCode>
                <c:ptCount val="5"/>
                <c:pt idx="0" formatCode="General">
                  <c:v>0</c:v>
                </c:pt>
                <c:pt idx="1">
                  <c:v>39.490216748249892</c:v>
                </c:pt>
                <c:pt idx="2">
                  <c:v>6.4193961956736834</c:v>
                </c:pt>
                <c:pt idx="3">
                  <c:v>54.09038705607643</c:v>
                </c:pt>
                <c:pt idx="4" formatCode="General">
                  <c:v>100</c:v>
                </c:pt>
              </c:numCache>
            </c:numRef>
          </c:val>
          <c:extLst>
            <c:ext xmlns:c16="http://schemas.microsoft.com/office/drawing/2014/chart" uri="{C3380CC4-5D6E-409C-BE32-E72D297353CC}">
              <c16:uniqueId val="{0000000A-560E-44B0-BC2F-2925787B4C27}"/>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dPt>
            <c:idx val="0"/>
            <c:bubble3D val="0"/>
            <c:spPr>
              <a:noFill/>
              <a:ln>
                <a:noFill/>
              </a:ln>
              <a:effectLst/>
            </c:spPr>
            <c:extLst>
              <c:ext xmlns:c16="http://schemas.microsoft.com/office/drawing/2014/chart" uri="{C3380CC4-5D6E-409C-BE32-E72D297353CC}">
                <c16:uniqueId val="{0000000C-560E-44B0-BC2F-2925787B4C27}"/>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560E-44B0-BC2F-2925787B4C27}"/>
              </c:ext>
            </c:extLst>
          </c:dPt>
          <c:dPt>
            <c:idx val="2"/>
            <c:bubble3D val="0"/>
            <c:spPr>
              <a:noFill/>
              <a:ln>
                <a:noFill/>
              </a:ln>
              <a:effectLst/>
            </c:spPr>
            <c:extLst>
              <c:ext xmlns:c16="http://schemas.microsoft.com/office/drawing/2014/chart" uri="{C3380CC4-5D6E-409C-BE32-E72D297353CC}">
                <c16:uniqueId val="{00000010-560E-44B0-BC2F-2925787B4C27}"/>
              </c:ext>
            </c:extLst>
          </c:dPt>
          <c:val>
            <c:numRef>
              <c:f>Grafieke!$F$2:$F$4</c:f>
              <c:numCache>
                <c:formatCode>General</c:formatCode>
                <c:ptCount val="3"/>
                <c:pt idx="0" formatCode="0">
                  <c:v>54.09038705607643</c:v>
                </c:pt>
                <c:pt idx="1">
                  <c:v>1</c:v>
                </c:pt>
                <c:pt idx="2" formatCode="0">
                  <c:v>144.90961294392358</c:v>
                </c:pt>
              </c:numCache>
            </c:numRef>
          </c:val>
          <c:extLst>
            <c:ext xmlns:c16="http://schemas.microsoft.com/office/drawing/2014/chart" uri="{C3380CC4-5D6E-409C-BE32-E72D297353CC}">
              <c16:uniqueId val="{00000011-560E-44B0-BC2F-2925787B4C27}"/>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Mielie</a:t>
            </a:r>
            <a:r>
              <a:rPr lang="en-GB" baseline="0"/>
              <a:t>winsgewendheid </a:t>
            </a:r>
            <a:r>
              <a:rPr lang="en-GB" sz="1200" b="0" baseline="0"/>
              <a:t>(Gemid opbrengs)</a:t>
            </a:r>
            <a:endParaRPr lang="en-GB" b="0"/>
          </a:p>
        </c:rich>
      </c:tx>
      <c:overlay val="0"/>
    </c:title>
    <c:autoTitleDeleted val="0"/>
    <c:plotArea>
      <c:layout>
        <c:manualLayout>
          <c:layoutTarget val="inner"/>
          <c:xMode val="edge"/>
          <c:yMode val="edge"/>
          <c:x val="0.32654288831570549"/>
          <c:y val="0.21822819758293505"/>
          <c:w val="0.37018027676117948"/>
          <c:h val="0.77913437697758137"/>
        </c:manualLayout>
      </c:layout>
      <c:doughnutChart>
        <c:varyColors val="1"/>
        <c:ser>
          <c:idx val="0"/>
          <c:order val="0"/>
          <c:tx>
            <c:strRef>
              <c:f>Grafieke!$A$17</c:f>
              <c:strCache>
                <c:ptCount val="1"/>
                <c:pt idx="0">
                  <c:v>Winsgewendheid: Mielies (Gemid opbrengs)</c:v>
                </c:pt>
              </c:strCache>
            </c:strRef>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165-46E7-B835-90500ECC02E7}"/>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165-46E7-B835-90500ECC02E7}"/>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165-46E7-B835-90500ECC02E7}"/>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165-46E7-B835-90500ECC02E7}"/>
              </c:ext>
            </c:extLst>
          </c:dPt>
          <c:dPt>
            <c:idx val="4"/>
            <c:bubble3D val="0"/>
            <c:spPr>
              <a:noFill/>
              <a:ln>
                <a:noFill/>
              </a:ln>
              <a:effectLst/>
            </c:spPr>
            <c:extLst>
              <c:ext xmlns:c16="http://schemas.microsoft.com/office/drawing/2014/chart" uri="{C3380CC4-5D6E-409C-BE32-E72D297353CC}">
                <c16:uniqueId val="{00000009-3165-46E7-B835-90500ECC02E7}"/>
              </c:ext>
            </c:extLst>
          </c:dPt>
          <c:dLbls>
            <c:dLbl>
              <c:idx val="0"/>
              <c:delete val="1"/>
              <c:extLst>
                <c:ext xmlns:c15="http://schemas.microsoft.com/office/drawing/2012/chart" uri="{CE6537A1-D6FC-4f65-9D91-7224C49458BB}"/>
                <c:ext xmlns:c16="http://schemas.microsoft.com/office/drawing/2014/chart" uri="{C3380CC4-5D6E-409C-BE32-E72D297353CC}">
                  <c16:uniqueId val="{00000001-3165-46E7-B835-90500ECC02E7}"/>
                </c:ext>
              </c:extLst>
            </c:dLbl>
            <c:dLbl>
              <c:idx val="1"/>
              <c:tx>
                <c:rich>
                  <a:bodyPr/>
                  <a:lstStyle/>
                  <a:p>
                    <a:r>
                      <a:rPr lang="en-US" baseline="0"/>
                      <a:t>Veranderlike koste</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3165-46E7-B835-90500ECC02E7}"/>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3165-46E7-B835-90500ECC02E7}"/>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3165-46E7-B835-90500ECC02E7}"/>
                </c:ext>
              </c:extLst>
            </c:dLbl>
            <c:dLbl>
              <c:idx val="4"/>
              <c:delete val="1"/>
              <c:extLst>
                <c:ext xmlns:c15="http://schemas.microsoft.com/office/drawing/2012/chart" uri="{CE6537A1-D6FC-4f65-9D91-7224C49458BB}"/>
                <c:ext xmlns:c16="http://schemas.microsoft.com/office/drawing/2014/chart" uri="{C3380CC4-5D6E-409C-BE32-E72D297353CC}">
                  <c16:uniqueId val="{00000009-3165-46E7-B835-90500ECC02E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Grafieke!$C$18:$C$22</c:f>
              <c:numCache>
                <c:formatCode>0</c:formatCode>
                <c:ptCount val="5"/>
                <c:pt idx="0" formatCode="General">
                  <c:v>0</c:v>
                </c:pt>
                <c:pt idx="1">
                  <c:v>41.469456078373767</c:v>
                </c:pt>
                <c:pt idx="2">
                  <c:v>9.2119186191521454</c:v>
                </c:pt>
                <c:pt idx="3">
                  <c:v>49.318625302474089</c:v>
                </c:pt>
                <c:pt idx="4">
                  <c:v>100</c:v>
                </c:pt>
              </c:numCache>
            </c:numRef>
          </c:val>
          <c:extLst>
            <c:ext xmlns:c16="http://schemas.microsoft.com/office/drawing/2014/chart" uri="{C3380CC4-5D6E-409C-BE32-E72D297353CC}">
              <c16:uniqueId val="{0000000A-3165-46E7-B835-90500ECC02E7}"/>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dPt>
            <c:idx val="0"/>
            <c:bubble3D val="0"/>
            <c:spPr>
              <a:noFill/>
              <a:ln>
                <a:noFill/>
              </a:ln>
              <a:effectLst/>
            </c:spPr>
            <c:extLst>
              <c:ext xmlns:c16="http://schemas.microsoft.com/office/drawing/2014/chart" uri="{C3380CC4-5D6E-409C-BE32-E72D297353CC}">
                <c16:uniqueId val="{0000000C-3165-46E7-B835-90500ECC02E7}"/>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3165-46E7-B835-90500ECC02E7}"/>
              </c:ext>
            </c:extLst>
          </c:dPt>
          <c:dPt>
            <c:idx val="2"/>
            <c:bubble3D val="0"/>
            <c:spPr>
              <a:noFill/>
              <a:ln>
                <a:noFill/>
              </a:ln>
              <a:effectLst/>
            </c:spPr>
            <c:extLst>
              <c:ext xmlns:c16="http://schemas.microsoft.com/office/drawing/2014/chart" uri="{C3380CC4-5D6E-409C-BE32-E72D297353CC}">
                <c16:uniqueId val="{00000010-3165-46E7-B835-90500ECC02E7}"/>
              </c:ext>
            </c:extLst>
          </c:dPt>
          <c:val>
            <c:numRef>
              <c:f>Grafieke!$F$18:$F$20</c:f>
              <c:numCache>
                <c:formatCode>General</c:formatCode>
                <c:ptCount val="3"/>
                <c:pt idx="0" formatCode="0">
                  <c:v>49.318625302474089</c:v>
                </c:pt>
                <c:pt idx="1">
                  <c:v>1</c:v>
                </c:pt>
                <c:pt idx="2" formatCode="0">
                  <c:v>149.68137469752591</c:v>
                </c:pt>
              </c:numCache>
            </c:numRef>
          </c:val>
          <c:extLst>
            <c:ext xmlns:c16="http://schemas.microsoft.com/office/drawing/2014/chart" uri="{C3380CC4-5D6E-409C-BE32-E72D297353CC}">
              <c16:uniqueId val="{00000011-3165-46E7-B835-90500ECC02E7}"/>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Sonneblomwinsgewendheid</a:t>
            </a:r>
          </a:p>
        </c:rich>
      </c:tx>
      <c:overlay val="0"/>
    </c:title>
    <c:autoTitleDeleted val="0"/>
    <c:plotArea>
      <c:layout>
        <c:manualLayout>
          <c:layoutTarget val="inner"/>
          <c:xMode val="edge"/>
          <c:yMode val="edge"/>
          <c:x val="0.3138312504815724"/>
          <c:y val="0.20618906700407469"/>
          <c:w val="0.37233766297638776"/>
          <c:h val="0.79165019711181517"/>
        </c:manualLayout>
      </c:layout>
      <c:doughnutChart>
        <c:varyColors val="1"/>
        <c:ser>
          <c:idx val="0"/>
          <c:order val="0"/>
          <c:tx>
            <c:strRef>
              <c:f>Grafieke!$A$34</c:f>
              <c:strCache>
                <c:ptCount val="1"/>
                <c:pt idx="0">
                  <c:v>Winsgewendheid: Sonneblom</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7FD-412F-873E-C961BFCA90A3}"/>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7FD-412F-873E-C961BFCA90A3}"/>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7FD-412F-873E-C961BFCA90A3}"/>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7FD-412F-873E-C961BFCA90A3}"/>
              </c:ext>
            </c:extLst>
          </c:dPt>
          <c:dPt>
            <c:idx val="4"/>
            <c:bubble3D val="0"/>
            <c:spPr>
              <a:noFill/>
              <a:ln>
                <a:noFill/>
              </a:ln>
              <a:effectLst/>
            </c:spPr>
            <c:extLst>
              <c:ext xmlns:c16="http://schemas.microsoft.com/office/drawing/2014/chart" uri="{C3380CC4-5D6E-409C-BE32-E72D297353CC}">
                <c16:uniqueId val="{00000009-17FD-412F-873E-C961BFCA90A3}"/>
              </c:ext>
            </c:extLst>
          </c:dPt>
          <c:dLbls>
            <c:dLbl>
              <c:idx val="0"/>
              <c:delete val="1"/>
              <c:extLst>
                <c:ext xmlns:c15="http://schemas.microsoft.com/office/drawing/2012/chart" uri="{CE6537A1-D6FC-4f65-9D91-7224C49458BB}"/>
                <c:ext xmlns:c16="http://schemas.microsoft.com/office/drawing/2014/chart" uri="{C3380CC4-5D6E-409C-BE32-E72D297353CC}">
                  <c16:uniqueId val="{00000001-17FD-412F-873E-C961BFCA90A3}"/>
                </c:ext>
              </c:extLst>
            </c:dLbl>
            <c:dLbl>
              <c:idx val="1"/>
              <c:tx>
                <c:rich>
                  <a:bodyPr/>
                  <a:lstStyle/>
                  <a:p>
                    <a:r>
                      <a:rPr lang="en-US"/>
                      <a:t>Veranderlike</a:t>
                    </a:r>
                    <a:r>
                      <a:rPr lang="en-US" baseline="0"/>
                      <a:t> koste  </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17FD-412F-873E-C961BFCA90A3}"/>
                </c:ext>
              </c:extLst>
            </c:dLbl>
            <c:dLbl>
              <c:idx val="2"/>
              <c:layout>
                <c:manualLayout>
                  <c:x val="-2.033760423022168E-3"/>
                  <c:y val="-4.3830813061582694E-3"/>
                </c:manualLayout>
              </c:layout>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17FD-412F-873E-C961BFCA90A3}"/>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17FD-412F-873E-C961BFCA90A3}"/>
                </c:ext>
              </c:extLst>
            </c:dLbl>
            <c:dLbl>
              <c:idx val="4"/>
              <c:delete val="1"/>
              <c:extLst>
                <c:ext xmlns:c15="http://schemas.microsoft.com/office/drawing/2012/chart" uri="{CE6537A1-D6FC-4f65-9D91-7224C49458BB}"/>
                <c:ext xmlns:c16="http://schemas.microsoft.com/office/drawing/2014/chart" uri="{C3380CC4-5D6E-409C-BE32-E72D297353CC}">
                  <c16:uniqueId val="{00000009-17FD-412F-873E-C961BFCA90A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Grafieke!$C$35:$C$39</c:f>
              <c:numCache>
                <c:formatCode>0</c:formatCode>
                <c:ptCount val="5"/>
                <c:pt idx="0" formatCode="General">
                  <c:v>0</c:v>
                </c:pt>
                <c:pt idx="1">
                  <c:v>37.128710771634665</c:v>
                </c:pt>
                <c:pt idx="2">
                  <c:v>10.122942005451208</c:v>
                </c:pt>
                <c:pt idx="3">
                  <c:v>52.748347222914113</c:v>
                </c:pt>
                <c:pt idx="4" formatCode="General">
                  <c:v>100</c:v>
                </c:pt>
              </c:numCache>
            </c:numRef>
          </c:val>
          <c:extLst>
            <c:ext xmlns:c16="http://schemas.microsoft.com/office/drawing/2014/chart" uri="{C3380CC4-5D6E-409C-BE32-E72D297353CC}">
              <c16:uniqueId val="{0000000A-17FD-412F-873E-C961BFCA90A3}"/>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Grafieke!$D$34</c:f>
              <c:strCache>
                <c:ptCount val="1"/>
                <c:pt idx="0">
                  <c:v>Pointer</c:v>
                </c:pt>
              </c:strCache>
            </c:strRef>
          </c:tx>
          <c:dPt>
            <c:idx val="0"/>
            <c:bubble3D val="0"/>
            <c:spPr>
              <a:noFill/>
              <a:ln>
                <a:noFill/>
              </a:ln>
              <a:effectLst/>
            </c:spPr>
            <c:extLst>
              <c:ext xmlns:c16="http://schemas.microsoft.com/office/drawing/2014/chart" uri="{C3380CC4-5D6E-409C-BE32-E72D297353CC}">
                <c16:uniqueId val="{0000000C-17FD-412F-873E-C961BFCA90A3}"/>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7FD-412F-873E-C961BFCA90A3}"/>
              </c:ext>
            </c:extLst>
          </c:dPt>
          <c:dPt>
            <c:idx val="2"/>
            <c:bubble3D val="0"/>
            <c:spPr>
              <a:noFill/>
              <a:ln>
                <a:noFill/>
              </a:ln>
              <a:effectLst/>
            </c:spPr>
            <c:extLst>
              <c:ext xmlns:c16="http://schemas.microsoft.com/office/drawing/2014/chart" uri="{C3380CC4-5D6E-409C-BE32-E72D297353CC}">
                <c16:uniqueId val="{00000010-17FD-412F-873E-C961BFCA90A3}"/>
              </c:ext>
            </c:extLst>
          </c:dPt>
          <c:val>
            <c:numRef>
              <c:f>Grafieke!$F$35:$F$37</c:f>
              <c:numCache>
                <c:formatCode>General</c:formatCode>
                <c:ptCount val="3"/>
                <c:pt idx="0" formatCode="0">
                  <c:v>52.748347222914113</c:v>
                </c:pt>
                <c:pt idx="1">
                  <c:v>1</c:v>
                </c:pt>
                <c:pt idx="2" formatCode="0">
                  <c:v>146.25165277708589</c:v>
                </c:pt>
              </c:numCache>
            </c:numRef>
          </c:val>
          <c:extLst>
            <c:ext xmlns:c16="http://schemas.microsoft.com/office/drawing/2014/chart" uri="{C3380CC4-5D6E-409C-BE32-E72D297353CC}">
              <c16:uniqueId val="{00000011-17FD-412F-873E-C961BFCA90A3}"/>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Sojaboonwinsgewendheid</a:t>
            </a:r>
          </a:p>
        </c:rich>
      </c:tx>
      <c:overlay val="0"/>
    </c:title>
    <c:autoTitleDeleted val="0"/>
    <c:plotArea>
      <c:layout/>
      <c:doughnutChart>
        <c:varyColors val="1"/>
        <c:ser>
          <c:idx val="0"/>
          <c:order val="0"/>
          <c:tx>
            <c:strRef>
              <c:f>Grafieke!$A$51</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DF3-4EDE-9E13-E459DAF0058C}"/>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DF3-4EDE-9E13-E459DAF0058C}"/>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DF3-4EDE-9E13-E459DAF0058C}"/>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DF3-4EDE-9E13-E459DAF0058C}"/>
              </c:ext>
            </c:extLst>
          </c:dPt>
          <c:dPt>
            <c:idx val="4"/>
            <c:bubble3D val="0"/>
            <c:spPr>
              <a:noFill/>
              <a:ln>
                <a:noFill/>
              </a:ln>
              <a:effectLst/>
            </c:spPr>
            <c:extLst>
              <c:ext xmlns:c16="http://schemas.microsoft.com/office/drawing/2014/chart" uri="{C3380CC4-5D6E-409C-BE32-E72D297353CC}">
                <c16:uniqueId val="{00000009-EDF3-4EDE-9E13-E459DAF0058C}"/>
              </c:ext>
            </c:extLst>
          </c:dPt>
          <c:dLbls>
            <c:dLbl>
              <c:idx val="0"/>
              <c:delete val="1"/>
              <c:extLst>
                <c:ext xmlns:c15="http://schemas.microsoft.com/office/drawing/2012/chart" uri="{CE6537A1-D6FC-4f65-9D91-7224C49458BB}"/>
                <c:ext xmlns:c16="http://schemas.microsoft.com/office/drawing/2014/chart" uri="{C3380CC4-5D6E-409C-BE32-E72D297353CC}">
                  <c16:uniqueId val="{00000001-EDF3-4EDE-9E13-E459DAF0058C}"/>
                </c:ext>
              </c:extLst>
            </c:dLbl>
            <c:dLbl>
              <c:idx val="1"/>
              <c:tx>
                <c:rich>
                  <a:bodyPr/>
                  <a:lstStyle/>
                  <a:p>
                    <a:r>
                      <a:rPr lang="en-US"/>
                      <a:t>Veranderlike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EDF3-4EDE-9E13-E459DAF0058C}"/>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EDF3-4EDE-9E13-E459DAF0058C}"/>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EDF3-4EDE-9E13-E459DAF0058C}"/>
                </c:ext>
              </c:extLst>
            </c:dLbl>
            <c:dLbl>
              <c:idx val="4"/>
              <c:delete val="1"/>
              <c:extLst>
                <c:ext xmlns:c15="http://schemas.microsoft.com/office/drawing/2012/chart" uri="{CE6537A1-D6FC-4f65-9D91-7224C49458BB}"/>
                <c:ext xmlns:c16="http://schemas.microsoft.com/office/drawing/2014/chart" uri="{C3380CC4-5D6E-409C-BE32-E72D297353CC}">
                  <c16:uniqueId val="{00000009-EDF3-4EDE-9E13-E459DAF0058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Grafieke!$C$52:$C$56</c:f>
              <c:numCache>
                <c:formatCode>0</c:formatCode>
                <c:ptCount val="5"/>
                <c:pt idx="0" formatCode="General">
                  <c:v>0</c:v>
                </c:pt>
                <c:pt idx="1">
                  <c:v>42.367614077922696</c:v>
                </c:pt>
                <c:pt idx="2">
                  <c:v>7.6612511127274905</c:v>
                </c:pt>
                <c:pt idx="3">
                  <c:v>49.97113480934982</c:v>
                </c:pt>
                <c:pt idx="4" formatCode="General">
                  <c:v>100</c:v>
                </c:pt>
              </c:numCache>
            </c:numRef>
          </c:val>
          <c:extLst>
            <c:ext xmlns:c16="http://schemas.microsoft.com/office/drawing/2014/chart" uri="{C3380CC4-5D6E-409C-BE32-E72D297353CC}">
              <c16:uniqueId val="{0000000A-EDF3-4EDE-9E13-E459DAF0058C}"/>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Grafieke!$D$51</c:f>
              <c:strCache>
                <c:ptCount val="1"/>
                <c:pt idx="0">
                  <c:v>Pointer</c:v>
                </c:pt>
              </c:strCache>
            </c:strRef>
          </c:tx>
          <c:dPt>
            <c:idx val="0"/>
            <c:bubble3D val="0"/>
            <c:spPr>
              <a:noFill/>
              <a:ln>
                <a:noFill/>
              </a:ln>
              <a:effectLst/>
            </c:spPr>
            <c:extLst>
              <c:ext xmlns:c16="http://schemas.microsoft.com/office/drawing/2014/chart" uri="{C3380CC4-5D6E-409C-BE32-E72D297353CC}">
                <c16:uniqueId val="{0000000C-EDF3-4EDE-9E13-E459DAF0058C}"/>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DF3-4EDE-9E13-E459DAF0058C}"/>
              </c:ext>
            </c:extLst>
          </c:dPt>
          <c:dPt>
            <c:idx val="2"/>
            <c:bubble3D val="0"/>
            <c:spPr>
              <a:noFill/>
              <a:ln>
                <a:noFill/>
              </a:ln>
              <a:effectLst/>
            </c:spPr>
            <c:extLst>
              <c:ext xmlns:c16="http://schemas.microsoft.com/office/drawing/2014/chart" uri="{C3380CC4-5D6E-409C-BE32-E72D297353CC}">
                <c16:uniqueId val="{00000010-EDF3-4EDE-9E13-E459DAF0058C}"/>
              </c:ext>
            </c:extLst>
          </c:dPt>
          <c:val>
            <c:numRef>
              <c:f>Grafieke!$F$52:$F$54</c:f>
              <c:numCache>
                <c:formatCode>General</c:formatCode>
                <c:ptCount val="3"/>
                <c:pt idx="0" formatCode="0">
                  <c:v>49.97113480934982</c:v>
                </c:pt>
                <c:pt idx="1">
                  <c:v>1</c:v>
                </c:pt>
                <c:pt idx="2" formatCode="0">
                  <c:v>149.02886519065018</c:v>
                </c:pt>
              </c:numCache>
            </c:numRef>
          </c:val>
          <c:extLst>
            <c:ext xmlns:c16="http://schemas.microsoft.com/office/drawing/2014/chart" uri="{C3380CC4-5D6E-409C-BE32-E72D297353CC}">
              <c16:uniqueId val="{00000011-EDF3-4EDE-9E13-E459DAF0058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398930</xdr:colOff>
      <xdr:row>2</xdr:row>
      <xdr:rowOff>239806</xdr:rowOff>
    </xdr:from>
    <xdr:to>
      <xdr:col>5</xdr:col>
      <xdr:colOff>631013</xdr:colOff>
      <xdr:row>7</xdr:row>
      <xdr:rowOff>99919</xdr:rowOff>
    </xdr:to>
    <xdr:pic>
      <xdr:nvPicPr>
        <xdr:cNvPr id="2" name="Picture 1" descr="GrainSA - YouTube">
          <a:extLst>
            <a:ext uri="{FF2B5EF4-FFF2-40B4-BE49-F238E27FC236}">
              <a16:creationId xmlns:a16="http://schemas.microsoft.com/office/drawing/2014/main" id="{11F67180-63DA-48E9-B71E-D5569B07E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58318" y="768724"/>
          <a:ext cx="967189" cy="891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137160</xdr:colOff>
      <xdr:row>72</xdr:row>
      <xdr:rowOff>137160</xdr:rowOff>
    </xdr:from>
    <xdr:to>
      <xdr:col>9</xdr:col>
      <xdr:colOff>935355</xdr:colOff>
      <xdr:row>78</xdr:row>
      <xdr:rowOff>57149</xdr:rowOff>
    </xdr:to>
    <xdr:pic>
      <xdr:nvPicPr>
        <xdr:cNvPr id="171426" name="Picture 3" descr="Graan SA - nuwe logo.jpg">
          <a:extLst>
            <a:ext uri="{FF2B5EF4-FFF2-40B4-BE49-F238E27FC236}">
              <a16:creationId xmlns:a16="http://schemas.microsoft.com/office/drawing/2014/main" id="{BB3AC6A7-BBD6-BA88-491E-ADB9CB62B2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86160" y="13258800"/>
          <a:ext cx="80772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43</xdr:row>
      <xdr:rowOff>22860</xdr:rowOff>
    </xdr:from>
    <xdr:to>
      <xdr:col>0</xdr:col>
      <xdr:colOff>1021080</xdr:colOff>
      <xdr:row>46</xdr:row>
      <xdr:rowOff>167640</xdr:rowOff>
    </xdr:to>
    <xdr:pic>
      <xdr:nvPicPr>
        <xdr:cNvPr id="171427" name="Picture 3" descr="http://www.maizetrust.co.za/images/masthead.jpg">
          <a:extLst>
            <a:ext uri="{FF2B5EF4-FFF2-40B4-BE49-F238E27FC236}">
              <a16:creationId xmlns:a16="http://schemas.microsoft.com/office/drawing/2014/main" id="{96C11B1C-8557-2D16-58F0-9A2AE58AFE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 y="827532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898072</xdr:colOff>
      <xdr:row>0</xdr:row>
      <xdr:rowOff>0</xdr:rowOff>
    </xdr:from>
    <xdr:to>
      <xdr:col>9</xdr:col>
      <xdr:colOff>1952</xdr:colOff>
      <xdr:row>2</xdr:row>
      <xdr:rowOff>333279</xdr:rowOff>
    </xdr:to>
    <xdr:pic>
      <xdr:nvPicPr>
        <xdr:cNvPr id="2" name="Picture 1" descr="GrainSA - YouTube">
          <a:extLst>
            <a:ext uri="{FF2B5EF4-FFF2-40B4-BE49-F238E27FC236}">
              <a16:creationId xmlns:a16="http://schemas.microsoft.com/office/drawing/2014/main" id="{CD4DED93-B0F7-4111-A5CF-55741E8E03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87643" y="0"/>
          <a:ext cx="1060860" cy="935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506383</xdr:colOff>
      <xdr:row>0</xdr:row>
      <xdr:rowOff>102871</xdr:rowOff>
    </xdr:from>
    <xdr:to>
      <xdr:col>27</xdr:col>
      <xdr:colOff>498763</xdr:colOff>
      <xdr:row>14</xdr:row>
      <xdr:rowOff>110836</xdr:rowOff>
    </xdr:to>
    <xdr:graphicFrame macro="">
      <xdr:nvGraphicFramePr>
        <xdr:cNvPr id="2" name="Chart 1">
          <a:extLst>
            <a:ext uri="{FF2B5EF4-FFF2-40B4-BE49-F238E27FC236}">
              <a16:creationId xmlns:a16="http://schemas.microsoft.com/office/drawing/2014/main" id="{829025B6-6A35-439C-8757-781BE6F4C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33</xdr:row>
      <xdr:rowOff>15239</xdr:rowOff>
    </xdr:from>
    <xdr:to>
      <xdr:col>17</xdr:col>
      <xdr:colOff>15240</xdr:colOff>
      <xdr:row>48</xdr:row>
      <xdr:rowOff>161924</xdr:rowOff>
    </xdr:to>
    <xdr:graphicFrame macro="">
      <xdr:nvGraphicFramePr>
        <xdr:cNvPr id="3" name="Chart 2">
          <a:extLst>
            <a:ext uri="{FF2B5EF4-FFF2-40B4-BE49-F238E27FC236}">
              <a16:creationId xmlns:a16="http://schemas.microsoft.com/office/drawing/2014/main" id="{31119E32-79E0-43E4-BC97-440F8461C8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50</xdr:row>
      <xdr:rowOff>15238</xdr:rowOff>
    </xdr:from>
    <xdr:to>
      <xdr:col>17</xdr:col>
      <xdr:colOff>8964</xdr:colOff>
      <xdr:row>67</xdr:row>
      <xdr:rowOff>170328</xdr:rowOff>
    </xdr:to>
    <xdr:graphicFrame macro="">
      <xdr:nvGraphicFramePr>
        <xdr:cNvPr id="4" name="Chart 3">
          <a:extLst>
            <a:ext uri="{FF2B5EF4-FFF2-40B4-BE49-F238E27FC236}">
              <a16:creationId xmlns:a16="http://schemas.microsoft.com/office/drawing/2014/main" id="{AF0879CF-80DF-4A76-8CC0-6ED9F7B92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592629</xdr:colOff>
      <xdr:row>16</xdr:row>
      <xdr:rowOff>34636</xdr:rowOff>
    </xdr:from>
    <xdr:to>
      <xdr:col>16</xdr:col>
      <xdr:colOff>484909</xdr:colOff>
      <xdr:row>32</xdr:row>
      <xdr:rowOff>51954</xdr:rowOff>
    </xdr:to>
    <xdr:graphicFrame macro="">
      <xdr:nvGraphicFramePr>
        <xdr:cNvPr id="5" name="Chart 4">
          <a:extLst>
            <a:ext uri="{FF2B5EF4-FFF2-40B4-BE49-F238E27FC236}">
              <a16:creationId xmlns:a16="http://schemas.microsoft.com/office/drawing/2014/main" id="{E4438566-C884-4CE7-9093-793CC930F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xdr:colOff>
      <xdr:row>0</xdr:row>
      <xdr:rowOff>0</xdr:rowOff>
    </xdr:from>
    <xdr:to>
      <xdr:col>16</xdr:col>
      <xdr:colOff>609599</xdr:colOff>
      <xdr:row>14</xdr:row>
      <xdr:rowOff>152400</xdr:rowOff>
    </xdr:to>
    <xdr:graphicFrame macro="">
      <xdr:nvGraphicFramePr>
        <xdr:cNvPr id="6" name="Chart 5">
          <a:extLst>
            <a:ext uri="{FF2B5EF4-FFF2-40B4-BE49-F238E27FC236}">
              <a16:creationId xmlns:a16="http://schemas.microsoft.com/office/drawing/2014/main" id="{02CBD57B-6B0B-4351-B00D-07E9D66C0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16</xdr:row>
      <xdr:rowOff>0</xdr:rowOff>
    </xdr:from>
    <xdr:to>
      <xdr:col>27</xdr:col>
      <xdr:colOff>617219</xdr:colOff>
      <xdr:row>31</xdr:row>
      <xdr:rowOff>77238</xdr:rowOff>
    </xdr:to>
    <xdr:graphicFrame macro="">
      <xdr:nvGraphicFramePr>
        <xdr:cNvPr id="7" name="Chart 4">
          <a:extLst>
            <a:ext uri="{FF2B5EF4-FFF2-40B4-BE49-F238E27FC236}">
              <a16:creationId xmlns:a16="http://schemas.microsoft.com/office/drawing/2014/main" id="{4FF4405F-651C-458D-B540-672142FD3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33</xdr:row>
      <xdr:rowOff>0</xdr:rowOff>
    </xdr:from>
    <xdr:to>
      <xdr:col>27</xdr:col>
      <xdr:colOff>621030</xdr:colOff>
      <xdr:row>48</xdr:row>
      <xdr:rowOff>146685</xdr:rowOff>
    </xdr:to>
    <xdr:graphicFrame macro="">
      <xdr:nvGraphicFramePr>
        <xdr:cNvPr id="8" name="Chart 2">
          <a:extLst>
            <a:ext uri="{FF2B5EF4-FFF2-40B4-BE49-F238E27FC236}">
              <a16:creationId xmlns:a16="http://schemas.microsoft.com/office/drawing/2014/main" id="{3931A665-69F5-4F80-AD91-46D48FB1A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0</xdr:colOff>
      <xdr:row>50</xdr:row>
      <xdr:rowOff>0</xdr:rowOff>
    </xdr:from>
    <xdr:to>
      <xdr:col>27</xdr:col>
      <xdr:colOff>624279</xdr:colOff>
      <xdr:row>67</xdr:row>
      <xdr:rowOff>155090</xdr:rowOff>
    </xdr:to>
    <xdr:graphicFrame macro="">
      <xdr:nvGraphicFramePr>
        <xdr:cNvPr id="9" name="Chart 3">
          <a:extLst>
            <a:ext uri="{FF2B5EF4-FFF2-40B4-BE49-F238E27FC236}">
              <a16:creationId xmlns:a16="http://schemas.microsoft.com/office/drawing/2014/main" id="{5C19FDB7-74F7-4BC5-BD74-D55EAAB15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70</xdr:row>
      <xdr:rowOff>15238</xdr:rowOff>
    </xdr:from>
    <xdr:to>
      <xdr:col>17</xdr:col>
      <xdr:colOff>8964</xdr:colOff>
      <xdr:row>87</xdr:row>
      <xdr:rowOff>170328</xdr:rowOff>
    </xdr:to>
    <xdr:graphicFrame macro="">
      <xdr:nvGraphicFramePr>
        <xdr:cNvPr id="10" name="Chart 9">
          <a:extLst>
            <a:ext uri="{FF2B5EF4-FFF2-40B4-BE49-F238E27FC236}">
              <a16:creationId xmlns:a16="http://schemas.microsoft.com/office/drawing/2014/main" id="{115ABF3E-FF54-4252-AC77-B6EA9BEE9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0</xdr:colOff>
      <xdr:row>70</xdr:row>
      <xdr:rowOff>0</xdr:rowOff>
    </xdr:from>
    <xdr:to>
      <xdr:col>27</xdr:col>
      <xdr:colOff>624279</xdr:colOff>
      <xdr:row>87</xdr:row>
      <xdr:rowOff>155090</xdr:rowOff>
    </xdr:to>
    <xdr:graphicFrame macro="">
      <xdr:nvGraphicFramePr>
        <xdr:cNvPr id="11" name="Chart 3">
          <a:extLst>
            <a:ext uri="{FF2B5EF4-FFF2-40B4-BE49-F238E27FC236}">
              <a16:creationId xmlns:a16="http://schemas.microsoft.com/office/drawing/2014/main" id="{29B82AC3-8866-41F2-A42E-0D22ED03F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42</xdr:row>
      <xdr:rowOff>22860</xdr:rowOff>
    </xdr:from>
    <xdr:to>
      <xdr:col>0</xdr:col>
      <xdr:colOff>1021080</xdr:colOff>
      <xdr:row>45</xdr:row>
      <xdr:rowOff>167640</xdr:rowOff>
    </xdr:to>
    <xdr:pic>
      <xdr:nvPicPr>
        <xdr:cNvPr id="37411" name="Picture 3" descr="http://www.maizetrust.co.za/images/masthead.jpg">
          <a:extLst>
            <a:ext uri="{FF2B5EF4-FFF2-40B4-BE49-F238E27FC236}">
              <a16:creationId xmlns:a16="http://schemas.microsoft.com/office/drawing/2014/main" id="{25FDBD05-7C27-2508-5347-9B6FF9D2C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793242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638735</xdr:colOff>
      <xdr:row>0</xdr:row>
      <xdr:rowOff>0</xdr:rowOff>
    </xdr:from>
    <xdr:to>
      <xdr:col>9</xdr:col>
      <xdr:colOff>3361</xdr:colOff>
      <xdr:row>3</xdr:row>
      <xdr:rowOff>224</xdr:rowOff>
    </xdr:to>
    <xdr:pic>
      <xdr:nvPicPr>
        <xdr:cNvPr id="2" name="Picture 1" descr="GrainSA - YouTube">
          <a:extLst>
            <a:ext uri="{FF2B5EF4-FFF2-40B4-BE49-F238E27FC236}">
              <a16:creationId xmlns:a16="http://schemas.microsoft.com/office/drawing/2014/main" id="{9FD51661-E171-400A-8D5A-3452690C29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35353" y="0"/>
          <a:ext cx="1058955" cy="931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60960</xdr:colOff>
      <xdr:row>70</xdr:row>
      <xdr:rowOff>160020</xdr:rowOff>
    </xdr:from>
    <xdr:to>
      <xdr:col>9</xdr:col>
      <xdr:colOff>891540</xdr:colOff>
      <xdr:row>78</xdr:row>
      <xdr:rowOff>19594</xdr:rowOff>
    </xdr:to>
    <xdr:pic>
      <xdr:nvPicPr>
        <xdr:cNvPr id="38573" name="Picture 5" descr="Graan SA - nuwe logo.jpg">
          <a:extLst>
            <a:ext uri="{FF2B5EF4-FFF2-40B4-BE49-F238E27FC236}">
              <a16:creationId xmlns:a16="http://schemas.microsoft.com/office/drawing/2014/main" id="{FDD6A106-B761-5ED0-568C-AFECEC1937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1420" y="13335000"/>
          <a:ext cx="83058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39</xdr:row>
      <xdr:rowOff>22860</xdr:rowOff>
    </xdr:from>
    <xdr:to>
      <xdr:col>0</xdr:col>
      <xdr:colOff>1021080</xdr:colOff>
      <xdr:row>42</xdr:row>
      <xdr:rowOff>167640</xdr:rowOff>
    </xdr:to>
    <xdr:pic>
      <xdr:nvPicPr>
        <xdr:cNvPr id="38574" name="Picture 6" descr="http://www.maizetrust.co.za/images/masthead.jpg">
          <a:extLst>
            <a:ext uri="{FF2B5EF4-FFF2-40B4-BE49-F238E27FC236}">
              <a16:creationId xmlns:a16="http://schemas.microsoft.com/office/drawing/2014/main" id="{072AD07E-B200-1F42-2F82-5E6DBE9D71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 y="799338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39</xdr:row>
      <xdr:rowOff>22860</xdr:rowOff>
    </xdr:from>
    <xdr:to>
      <xdr:col>0</xdr:col>
      <xdr:colOff>1021080</xdr:colOff>
      <xdr:row>42</xdr:row>
      <xdr:rowOff>167640</xdr:rowOff>
    </xdr:to>
    <xdr:pic>
      <xdr:nvPicPr>
        <xdr:cNvPr id="38575" name="Picture 7" descr="http://www.maizetrust.co.za/images/masthead.jpg">
          <a:extLst>
            <a:ext uri="{FF2B5EF4-FFF2-40B4-BE49-F238E27FC236}">
              <a16:creationId xmlns:a16="http://schemas.microsoft.com/office/drawing/2014/main" id="{BC70D792-8BCD-43FB-A387-64A309F101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 y="799338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884465</xdr:colOff>
      <xdr:row>0</xdr:row>
      <xdr:rowOff>0</xdr:rowOff>
    </xdr:from>
    <xdr:to>
      <xdr:col>9</xdr:col>
      <xdr:colOff>1681</xdr:colOff>
      <xdr:row>2</xdr:row>
      <xdr:rowOff>269053</xdr:rowOff>
    </xdr:to>
    <xdr:pic>
      <xdr:nvPicPr>
        <xdr:cNvPr id="2" name="Picture 1" descr="GrainSA - YouTube">
          <a:extLst>
            <a:ext uri="{FF2B5EF4-FFF2-40B4-BE49-F238E27FC236}">
              <a16:creationId xmlns:a16="http://schemas.microsoft.com/office/drawing/2014/main" id="{A94A3163-C93E-4E72-93D4-0839C107D1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18965" y="0"/>
          <a:ext cx="1058955" cy="935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42</xdr:row>
      <xdr:rowOff>22860</xdr:rowOff>
    </xdr:from>
    <xdr:to>
      <xdr:col>0</xdr:col>
      <xdr:colOff>1021080</xdr:colOff>
      <xdr:row>45</xdr:row>
      <xdr:rowOff>167640</xdr:rowOff>
    </xdr:to>
    <xdr:pic>
      <xdr:nvPicPr>
        <xdr:cNvPr id="156098" name="Picture 3" descr="http://www.maizetrust.co.za/images/masthead.jpg">
          <a:extLst>
            <a:ext uri="{FF2B5EF4-FFF2-40B4-BE49-F238E27FC236}">
              <a16:creationId xmlns:a16="http://schemas.microsoft.com/office/drawing/2014/main" id="{E545F91B-E289-F7B7-6A12-41752D803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809244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42</xdr:row>
      <xdr:rowOff>22860</xdr:rowOff>
    </xdr:from>
    <xdr:to>
      <xdr:col>0</xdr:col>
      <xdr:colOff>1021080</xdr:colOff>
      <xdr:row>45</xdr:row>
      <xdr:rowOff>167640</xdr:rowOff>
    </xdr:to>
    <xdr:pic>
      <xdr:nvPicPr>
        <xdr:cNvPr id="156099" name="Picture 4" descr="http://www.maizetrust.co.za/images/masthead.jpg">
          <a:extLst>
            <a:ext uri="{FF2B5EF4-FFF2-40B4-BE49-F238E27FC236}">
              <a16:creationId xmlns:a16="http://schemas.microsoft.com/office/drawing/2014/main" id="{3296DD2C-9A08-255D-6110-F1C2ABF72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809244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888206</xdr:colOff>
      <xdr:row>0</xdr:row>
      <xdr:rowOff>57150</xdr:rowOff>
    </xdr:from>
    <xdr:to>
      <xdr:col>8</xdr:col>
      <xdr:colOff>970849</xdr:colOff>
      <xdr:row>2</xdr:row>
      <xdr:rowOff>340490</xdr:rowOff>
    </xdr:to>
    <xdr:pic>
      <xdr:nvPicPr>
        <xdr:cNvPr id="2" name="Picture 1" descr="GrainSA - YouTube">
          <a:extLst>
            <a:ext uri="{FF2B5EF4-FFF2-40B4-BE49-F238E27FC236}">
              <a16:creationId xmlns:a16="http://schemas.microsoft.com/office/drawing/2014/main" id="{658619FB-B315-42E3-B1C7-790EF3070D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51281" y="57150"/>
          <a:ext cx="1063718" cy="92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259080</xdr:colOff>
      <xdr:row>95</xdr:row>
      <xdr:rowOff>99060</xdr:rowOff>
    </xdr:from>
    <xdr:to>
      <xdr:col>7</xdr:col>
      <xdr:colOff>742950</xdr:colOff>
      <xdr:row>99</xdr:row>
      <xdr:rowOff>15240</xdr:rowOff>
    </xdr:to>
    <xdr:pic>
      <xdr:nvPicPr>
        <xdr:cNvPr id="51678" name="Picture 3" descr="Graan SA - nuwe logo.jpg">
          <a:extLst>
            <a:ext uri="{FF2B5EF4-FFF2-40B4-BE49-F238E27FC236}">
              <a16:creationId xmlns:a16="http://schemas.microsoft.com/office/drawing/2014/main" id="{E9C2809A-382F-1407-620D-9E8D1B7145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81160" y="16581120"/>
          <a:ext cx="4876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943535</xdr:colOff>
      <xdr:row>0</xdr:row>
      <xdr:rowOff>0</xdr:rowOff>
    </xdr:from>
    <xdr:to>
      <xdr:col>9</xdr:col>
      <xdr:colOff>1679</xdr:colOff>
      <xdr:row>3</xdr:row>
      <xdr:rowOff>224</xdr:rowOff>
    </xdr:to>
    <xdr:pic>
      <xdr:nvPicPr>
        <xdr:cNvPr id="2" name="Picture 1" descr="GrainSA - YouTube">
          <a:extLst>
            <a:ext uri="{FF2B5EF4-FFF2-40B4-BE49-F238E27FC236}">
              <a16:creationId xmlns:a16="http://schemas.microsoft.com/office/drawing/2014/main" id="{E88430E6-1734-4268-A795-7A21B68FF9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79959" y="0"/>
          <a:ext cx="1030379" cy="923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91440</xdr:colOff>
      <xdr:row>82</xdr:row>
      <xdr:rowOff>160020</xdr:rowOff>
    </xdr:from>
    <xdr:to>
      <xdr:col>9</xdr:col>
      <xdr:colOff>914400</xdr:colOff>
      <xdr:row>89</xdr:row>
      <xdr:rowOff>95250</xdr:rowOff>
    </xdr:to>
    <xdr:pic>
      <xdr:nvPicPr>
        <xdr:cNvPr id="179352" name="Picture 3" descr="Graan SA - nuwe logo.jpg">
          <a:extLst>
            <a:ext uri="{FF2B5EF4-FFF2-40B4-BE49-F238E27FC236}">
              <a16:creationId xmlns:a16="http://schemas.microsoft.com/office/drawing/2014/main" id="{08ADCA9D-777D-464E-09CE-2B063F2D80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1900" y="14630400"/>
          <a:ext cx="8229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918882</xdr:colOff>
      <xdr:row>0</xdr:row>
      <xdr:rowOff>0</xdr:rowOff>
    </xdr:from>
    <xdr:to>
      <xdr:col>9</xdr:col>
      <xdr:colOff>13222</xdr:colOff>
      <xdr:row>3</xdr:row>
      <xdr:rowOff>224</xdr:rowOff>
    </xdr:to>
    <xdr:pic>
      <xdr:nvPicPr>
        <xdr:cNvPr id="3" name="Picture 2" descr="GrainSA - YouTube">
          <a:extLst>
            <a:ext uri="{FF2B5EF4-FFF2-40B4-BE49-F238E27FC236}">
              <a16:creationId xmlns:a16="http://schemas.microsoft.com/office/drawing/2014/main" id="{0B2706C1-5C2A-4BB4-B936-0B1C9A9EA9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75794" y="0"/>
          <a:ext cx="1058955" cy="933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64993</xdr:colOff>
      <xdr:row>0</xdr:row>
      <xdr:rowOff>44824</xdr:rowOff>
    </xdr:from>
    <xdr:to>
      <xdr:col>10</xdr:col>
      <xdr:colOff>137720</xdr:colOff>
      <xdr:row>3</xdr:row>
      <xdr:rowOff>67460</xdr:rowOff>
    </xdr:to>
    <xdr:pic>
      <xdr:nvPicPr>
        <xdr:cNvPr id="2" name="Picture 1" descr="GrainSA - YouTube">
          <a:extLst>
            <a:ext uri="{FF2B5EF4-FFF2-40B4-BE49-F238E27FC236}">
              <a16:creationId xmlns:a16="http://schemas.microsoft.com/office/drawing/2014/main" id="{CB6B51F1-76EE-4782-9C21-A8D74E5F7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01299" y="44824"/>
          <a:ext cx="1067809" cy="946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930087</xdr:colOff>
      <xdr:row>0</xdr:row>
      <xdr:rowOff>0</xdr:rowOff>
    </xdr:from>
    <xdr:to>
      <xdr:col>10</xdr:col>
      <xdr:colOff>63874</xdr:colOff>
      <xdr:row>2</xdr:row>
      <xdr:rowOff>326875</xdr:rowOff>
    </xdr:to>
    <xdr:pic>
      <xdr:nvPicPr>
        <xdr:cNvPr id="2" name="Picture 1" descr="GrainSA - YouTube">
          <a:extLst>
            <a:ext uri="{FF2B5EF4-FFF2-40B4-BE49-F238E27FC236}">
              <a16:creationId xmlns:a16="http://schemas.microsoft.com/office/drawing/2014/main" id="{3AA6EB5D-E99A-48C4-86E2-CDA02DE2C9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6999" y="0"/>
          <a:ext cx="1058955" cy="937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0</xdr:rowOff>
    </xdr:from>
    <xdr:to>
      <xdr:col>9</xdr:col>
      <xdr:colOff>91440</xdr:colOff>
      <xdr:row>56</xdr:row>
      <xdr:rowOff>30480</xdr:rowOff>
    </xdr:to>
    <xdr:graphicFrame macro="">
      <xdr:nvGraphicFramePr>
        <xdr:cNvPr id="182304" name="Chart 1">
          <a:extLst>
            <a:ext uri="{FF2B5EF4-FFF2-40B4-BE49-F238E27FC236}">
              <a16:creationId xmlns:a16="http://schemas.microsoft.com/office/drawing/2014/main" id="{98C51A40-9009-D255-5ABB-533AB42DA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91551</xdr:colOff>
      <xdr:row>0</xdr:row>
      <xdr:rowOff>136711</xdr:rowOff>
    </xdr:from>
    <xdr:to>
      <xdr:col>10</xdr:col>
      <xdr:colOff>363629</xdr:colOff>
      <xdr:row>4</xdr:row>
      <xdr:rowOff>130884</xdr:rowOff>
    </xdr:to>
    <xdr:pic>
      <xdr:nvPicPr>
        <xdr:cNvPr id="2" name="Picture 1" descr="GrainSA - YouTube">
          <a:extLst>
            <a:ext uri="{FF2B5EF4-FFF2-40B4-BE49-F238E27FC236}">
              <a16:creationId xmlns:a16="http://schemas.microsoft.com/office/drawing/2014/main" id="{7C99D3BB-88A9-466E-A608-C3284F97D4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3622" y="136711"/>
          <a:ext cx="1082487" cy="90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aadcprd01\gsadata\Bedryfsbediening\Produksie\Produksie%20Begroting\Somer%20gewas%20streke\Somer%20begrotings\2017-18\GSA-17-18%20Noordwes%20begroting%20North%20West%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petru\AppData\Local\Microsoft\Windows\Temporary%20Internet%20Files\Content.Outlook\OCSLA1IY\GSA-18-19%20Noordwes%20mode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etru/AppData/Local/Microsoft/Windows/Temporary%20Internet%20Files/Content.Outlook/OCSLA1IY/GSA-16-17%20Noordwes%20begroting%20North%20West%20budge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grainsa2019.sharepoint.com/sites/Bedryfsbediening/Shared%20Documents/Produksie/Produksie%20Begroting/Somer%20gewas%20streke/Somer%20modelle/2023-24/GSA-23-24%20Noordwes%20Vrystaat%20model.xlsx" TargetMode="External"/><Relationship Id="rId1" Type="http://schemas.openxmlformats.org/officeDocument/2006/relationships/externalLinkPath" Target="/sites/Bedryfsbediening/Shared%20Documents/Produksie/Produksie%20Begroting/Somer%20gewas%20streke/Somer%20modelle/2023-24/GSA-23-24%20Noordwes%20Vrystaat%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yse + Sensatiwiteitsanalise"/>
      <sheetName val="W-Mielie "/>
      <sheetName val="W-BT Mielies"/>
      <sheetName val="W-Roundup R mielies "/>
      <sheetName val="Stapelgeen Mielie"/>
      <sheetName val="Sonneblom"/>
      <sheetName val="Sojabone"/>
      <sheetName val="Graansorghum"/>
      <sheetName val="Grondbone"/>
      <sheetName val="Bes-mielies"/>
    </sheetNames>
    <sheetDataSet>
      <sheetData sheetId="0"/>
      <sheetData sheetId="1"/>
      <sheetData sheetId="2">
        <row r="9">
          <cell r="K9">
            <v>2.5</v>
          </cell>
        </row>
        <row r="10">
          <cell r="K10">
            <v>3</v>
          </cell>
        </row>
        <row r="11">
          <cell r="K11">
            <v>3.5</v>
          </cell>
        </row>
        <row r="12">
          <cell r="K12">
            <v>4</v>
          </cell>
        </row>
        <row r="13">
          <cell r="K13">
            <v>4.5</v>
          </cell>
        </row>
        <row r="14">
          <cell r="K14">
            <v>5</v>
          </cell>
        </row>
      </sheetData>
      <sheetData sheetId="3"/>
      <sheetData sheetId="4"/>
      <sheetData sheetId="5">
        <row r="9">
          <cell r="K9">
            <v>1</v>
          </cell>
        </row>
        <row r="10">
          <cell r="K10">
            <v>1.25</v>
          </cell>
        </row>
        <row r="11">
          <cell r="K11">
            <v>1.5</v>
          </cell>
        </row>
        <row r="12">
          <cell r="K12">
            <v>1.75</v>
          </cell>
        </row>
        <row r="13">
          <cell r="K13">
            <v>2</v>
          </cell>
        </row>
      </sheetData>
      <sheetData sheetId="6">
        <row r="9">
          <cell r="K9">
            <v>1</v>
          </cell>
        </row>
        <row r="10">
          <cell r="K10">
            <v>1.25</v>
          </cell>
        </row>
        <row r="11">
          <cell r="K11">
            <v>1.5</v>
          </cell>
        </row>
        <row r="12">
          <cell r="K12">
            <v>1.75</v>
          </cell>
        </row>
        <row r="13">
          <cell r="K13">
            <v>2</v>
          </cell>
        </row>
      </sheetData>
      <sheetData sheetId="7">
        <row r="9">
          <cell r="K9">
            <v>2</v>
          </cell>
        </row>
        <row r="10">
          <cell r="K10">
            <v>2.5</v>
          </cell>
        </row>
        <row r="11">
          <cell r="K11">
            <v>3</v>
          </cell>
        </row>
        <row r="12">
          <cell r="K12">
            <v>3.5</v>
          </cell>
        </row>
        <row r="13">
          <cell r="K13">
            <v>4</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edprices"/>
      <sheetName val="Price sheet "/>
      <sheetName val="Crops planted"/>
      <sheetName val="Inventarus "/>
      <sheetName val="Laste"/>
      <sheetName val="vaste koste"/>
      <sheetName val="W-Mielie "/>
      <sheetName val="W-BT Mielies"/>
      <sheetName val="Sonneblom"/>
      <sheetName val="Sojabone"/>
      <sheetName val="Graansorghum"/>
      <sheetName val="Grondbone"/>
      <sheetName val="Oorlê"/>
      <sheetName val="Bes-mielies"/>
      <sheetName val="Crop Comparison"/>
      <sheetName val="Rent calculations"/>
      <sheetName val="Pryse + Sensatiwiteitsanalise"/>
      <sheetName val="Strategie"/>
      <sheetName val="sheet"/>
      <sheetName val="sheet 2"/>
    </sheetNames>
    <sheetDataSet>
      <sheetData sheetId="0" refreshError="1">
        <row r="3">
          <cell r="A3" t="str">
            <v>Monsanto Average Conven</v>
          </cell>
          <cell r="B3">
            <v>3014</v>
          </cell>
        </row>
        <row r="4">
          <cell r="A4" t="str">
            <v>Monsanto Average BT</v>
          </cell>
          <cell r="B4">
            <v>4202</v>
          </cell>
        </row>
        <row r="5">
          <cell r="A5" t="str">
            <v>Monsanto Average RR</v>
          </cell>
          <cell r="B5">
            <v>3966</v>
          </cell>
        </row>
        <row r="6">
          <cell r="A6" t="str">
            <v>Monsanto Average BR</v>
          </cell>
          <cell r="B6">
            <v>4455</v>
          </cell>
        </row>
        <row r="7">
          <cell r="A7" t="str">
            <v>DKC 73-72</v>
          </cell>
          <cell r="B7">
            <v>3535</v>
          </cell>
        </row>
        <row r="8">
          <cell r="A8" t="str">
            <v>DKC 80-10</v>
          </cell>
          <cell r="B8">
            <v>2002</v>
          </cell>
        </row>
        <row r="9">
          <cell r="A9" t="str">
            <v>DKC 71-42</v>
          </cell>
          <cell r="B9">
            <v>3612</v>
          </cell>
        </row>
        <row r="10">
          <cell r="A10" t="str">
            <v>DKC 61-90*</v>
          </cell>
          <cell r="B10">
            <v>2773</v>
          </cell>
        </row>
        <row r="11">
          <cell r="A11" t="str">
            <v>DKC 74-20</v>
          </cell>
          <cell r="B11">
            <v>3296</v>
          </cell>
        </row>
        <row r="12">
          <cell r="A12" t="str">
            <v>DKC 73-70B Gen</v>
          </cell>
          <cell r="B12">
            <v>4259</v>
          </cell>
        </row>
        <row r="13">
          <cell r="A13" t="str">
            <v>DKC 61-94 BR</v>
          </cell>
          <cell r="B13">
            <v>0</v>
          </cell>
        </row>
        <row r="14">
          <cell r="A14" t="str">
            <v>DKC 62-80 BR Gen</v>
          </cell>
          <cell r="B14">
            <v>0</v>
          </cell>
        </row>
        <row r="15">
          <cell r="A15" t="str">
            <v>DKC 62-84 R</v>
          </cell>
          <cell r="B15">
            <v>3312</v>
          </cell>
        </row>
        <row r="16">
          <cell r="A16" t="str">
            <v>DKC 64-78 BR Gen</v>
          </cell>
          <cell r="B16">
            <v>0</v>
          </cell>
        </row>
        <row r="17">
          <cell r="A17" t="str">
            <v>DKC 66-36 R</v>
          </cell>
          <cell r="B17">
            <v>0</v>
          </cell>
        </row>
        <row r="18">
          <cell r="A18" t="str">
            <v>DKC 73-74BR Gen</v>
          </cell>
          <cell r="B18">
            <v>4711</v>
          </cell>
        </row>
        <row r="19">
          <cell r="A19" t="str">
            <v>DKC 73-76 R</v>
          </cell>
          <cell r="B19">
            <v>4019</v>
          </cell>
        </row>
        <row r="20">
          <cell r="A20" t="str">
            <v>DKC 80-12B Gen</v>
          </cell>
          <cell r="B20">
            <v>3018</v>
          </cell>
        </row>
        <row r="21">
          <cell r="A21" t="str">
            <v>DKC 80-30 R</v>
          </cell>
          <cell r="B21">
            <v>3921</v>
          </cell>
        </row>
        <row r="22">
          <cell r="A22" t="str">
            <v>DKC 80-40BR Gen</v>
          </cell>
          <cell r="B22">
            <v>4672</v>
          </cell>
        </row>
        <row r="23">
          <cell r="A23" t="str">
            <v>DKC 68-50</v>
          </cell>
          <cell r="B23">
            <v>3589</v>
          </cell>
        </row>
        <row r="24">
          <cell r="A24" t="str">
            <v>DKC 68-56R</v>
          </cell>
          <cell r="B24">
            <v>4112</v>
          </cell>
        </row>
        <row r="25">
          <cell r="A25" t="str">
            <v>DKC 74-24B</v>
          </cell>
          <cell r="B25">
            <v>3038</v>
          </cell>
        </row>
        <row r="26">
          <cell r="A26" t="str">
            <v>DKC 74-26R</v>
          </cell>
          <cell r="B26">
            <v>4095</v>
          </cell>
        </row>
        <row r="27">
          <cell r="A27" t="str">
            <v>DKC 71-44B</v>
          </cell>
          <cell r="B27">
            <v>4486</v>
          </cell>
        </row>
        <row r="28">
          <cell r="A28" t="str">
            <v>DKC 68-54B</v>
          </cell>
          <cell r="B28">
            <v>4529</v>
          </cell>
        </row>
        <row r="29">
          <cell r="A29" t="str">
            <v>DKC 68-58BR</v>
          </cell>
          <cell r="B29">
            <v>4862</v>
          </cell>
        </row>
        <row r="30">
          <cell r="A30" t="str">
            <v>DKC 74-74BR</v>
          </cell>
          <cell r="B30">
            <v>4863</v>
          </cell>
        </row>
        <row r="31">
          <cell r="A31" t="str">
            <v>DKC 62-80BR Gen*</v>
          </cell>
          <cell r="B31">
            <v>3896</v>
          </cell>
        </row>
        <row r="32">
          <cell r="A32" t="str">
            <v>DKC 64-54BR*</v>
          </cell>
          <cell r="B32">
            <v>3999</v>
          </cell>
        </row>
        <row r="33">
          <cell r="A33" t="str">
            <v>DKC 64-78BR Gen*</v>
          </cell>
          <cell r="B33">
            <v>2796</v>
          </cell>
        </row>
        <row r="34">
          <cell r="A34" t="str">
            <v>DKC 65-52BR*</v>
          </cell>
          <cell r="B34">
            <v>4010</v>
          </cell>
        </row>
        <row r="35">
          <cell r="A35" t="str">
            <v xml:space="preserve">DKC 65-60 BR* </v>
          </cell>
          <cell r="B35">
            <v>3895</v>
          </cell>
        </row>
        <row r="36">
          <cell r="A36" t="str">
            <v>CRN 3505</v>
          </cell>
          <cell r="B36">
            <v>3333</v>
          </cell>
        </row>
        <row r="37">
          <cell r="A37" t="str">
            <v>DKC 78-27</v>
          </cell>
          <cell r="B37">
            <v>3746</v>
          </cell>
        </row>
        <row r="38">
          <cell r="A38" t="str">
            <v>DKC 63-53*</v>
          </cell>
          <cell r="B38">
            <v>1621</v>
          </cell>
        </row>
        <row r="39">
          <cell r="A39" t="str">
            <v>DKC 77-77 BR</v>
          </cell>
          <cell r="B39">
            <v>5069</v>
          </cell>
        </row>
        <row r="40">
          <cell r="A40" t="str">
            <v>DKC 77-85B Gen</v>
          </cell>
          <cell r="B40">
            <v>4609</v>
          </cell>
        </row>
        <row r="41">
          <cell r="A41" t="str">
            <v>DKC 78-17 B</v>
          </cell>
          <cell r="B41">
            <v>4532</v>
          </cell>
        </row>
        <row r="42">
          <cell r="A42" t="str">
            <v>DKC 78-35 R</v>
          </cell>
          <cell r="B42">
            <v>4052</v>
          </cell>
        </row>
        <row r="43">
          <cell r="A43" t="str">
            <v>DKC 78-45BR Gen</v>
          </cell>
          <cell r="B43">
            <v>4858</v>
          </cell>
        </row>
        <row r="44">
          <cell r="A44" t="str">
            <v>DKC 78-79 BR</v>
          </cell>
          <cell r="B44">
            <v>4845</v>
          </cell>
        </row>
        <row r="45">
          <cell r="A45" t="str">
            <v>DKC 78-83 R</v>
          </cell>
          <cell r="B45">
            <v>4253</v>
          </cell>
        </row>
        <row r="46">
          <cell r="A46" t="str">
            <v>DKC 78-87 B</v>
          </cell>
          <cell r="B46">
            <v>4624</v>
          </cell>
        </row>
        <row r="47">
          <cell r="A47" t="str">
            <v>DKC 76-61B</v>
          </cell>
          <cell r="B47">
            <v>4221</v>
          </cell>
        </row>
        <row r="48">
          <cell r="A48" t="str">
            <v>DKC 75-65 BR</v>
          </cell>
          <cell r="B48">
            <v>5265</v>
          </cell>
        </row>
        <row r="49">
          <cell r="A49" t="str">
            <v>DKC 76-67 BR</v>
          </cell>
          <cell r="B49">
            <v>4635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yse + Sensatiwiteitsanalise"/>
      <sheetName val="W-Mielie "/>
      <sheetName val="W-BT Mielies"/>
      <sheetName val="W-Roundup R mielies "/>
      <sheetName val="Stapelgeen Mielie"/>
      <sheetName val="Sonneblom"/>
      <sheetName val="Sojabone"/>
      <sheetName val="Graansorghum"/>
      <sheetName val="Grondbone"/>
      <sheetName val="Bes-mieli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edprices"/>
      <sheetName val="Price sheet "/>
      <sheetName val="Crops planted"/>
      <sheetName val="Inventarus "/>
      <sheetName val="Laste"/>
      <sheetName val="vaste koste"/>
      <sheetName val="W-RR mielies Laer opbrengs "/>
      <sheetName val="W-RR mielies Hoer opbrengs  "/>
      <sheetName val="W-BT Mielies "/>
      <sheetName val="Verminbe Stapelgeen mielie -5jr"/>
      <sheetName val="Sonneblom"/>
      <sheetName val="Sojabone"/>
      <sheetName val="Graansorghum"/>
      <sheetName val="Grondbone"/>
      <sheetName val="Bes-mielies"/>
      <sheetName val="Crop Comparison"/>
      <sheetName val="Crop Comparison Month vs Month)"/>
      <sheetName val="Bruto Marge"/>
      <sheetName val="Grafieke"/>
      <sheetName val="Sheet1"/>
      <sheetName val="Rent calculations"/>
    </sheetNames>
    <sheetDataSet>
      <sheetData sheetId="0"/>
      <sheetData sheetId="1">
        <row r="5">
          <cell r="B5">
            <v>3721</v>
          </cell>
        </row>
      </sheetData>
      <sheetData sheetId="2"/>
      <sheetData sheetId="3"/>
      <sheetData sheetId="4"/>
      <sheetData sheetId="5"/>
      <sheetData sheetId="6">
        <row r="19">
          <cell r="E19">
            <v>404</v>
          </cell>
        </row>
      </sheetData>
      <sheetData sheetId="7">
        <row r="226">
          <cell r="D226">
            <v>2936.5300000000007</v>
          </cell>
        </row>
      </sheetData>
      <sheetData sheetId="8">
        <row r="224">
          <cell r="D224">
            <v>3102.8200000000006</v>
          </cell>
        </row>
      </sheetData>
      <sheetData sheetId="9"/>
      <sheetData sheetId="10">
        <row r="19">
          <cell r="E19">
            <v>449</v>
          </cell>
        </row>
      </sheetData>
      <sheetData sheetId="11">
        <row r="19">
          <cell r="E19">
            <v>334</v>
          </cell>
        </row>
      </sheetData>
      <sheetData sheetId="12"/>
      <sheetData sheetId="13">
        <row r="224">
          <cell r="D224">
            <v>3216.45</v>
          </cell>
        </row>
      </sheetData>
      <sheetData sheetId="14">
        <row r="226">
          <cell r="D226">
            <v>4692.28</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2"/>
  <sheetViews>
    <sheetView tabSelected="1" zoomScale="85" zoomScaleNormal="85" workbookViewId="0">
      <selection activeCell="K5" sqref="K5"/>
    </sheetView>
  </sheetViews>
  <sheetFormatPr defaultColWidth="9.109375" defaultRowHeight="13.2" x14ac:dyDescent="0.25"/>
  <cols>
    <col min="1" max="1" width="52.44140625" style="127" customWidth="1"/>
    <col min="2" max="2" width="19.109375" style="127" bestFit="1" customWidth="1"/>
    <col min="3" max="3" width="13.109375" style="127" customWidth="1"/>
    <col min="4" max="4" width="23.6640625" style="54" customWidth="1"/>
    <col min="5" max="12" width="10.6640625" style="54" customWidth="1"/>
    <col min="13" max="15" width="9.109375" style="54"/>
    <col min="16" max="16" width="22.6640625" style="54" customWidth="1"/>
    <col min="17" max="17" width="11.6640625" style="54" customWidth="1"/>
    <col min="18" max="26" width="9.44140625" style="54" customWidth="1"/>
    <col min="27" max="16384" width="9.109375" style="54"/>
  </cols>
  <sheetData>
    <row r="1" spans="1:14" s="128" customFormat="1" ht="28.5" customHeight="1" x14ac:dyDescent="0.4">
      <c r="A1" s="131" t="s">
        <v>0</v>
      </c>
      <c r="B1" s="132" t="s">
        <v>162</v>
      </c>
      <c r="C1" s="127"/>
      <c r="D1" s="127"/>
      <c r="E1" s="127"/>
      <c r="F1" s="127"/>
      <c r="G1" s="127"/>
      <c r="H1" s="127"/>
      <c r="I1" s="127"/>
      <c r="J1" s="127"/>
      <c r="K1" s="127"/>
      <c r="L1" s="127"/>
      <c r="M1" s="127"/>
      <c r="N1" s="127"/>
    </row>
    <row r="2" spans="1:14" s="128" customFormat="1" ht="13.5" customHeight="1" x14ac:dyDescent="0.3">
      <c r="A2" s="133" t="s">
        <v>1</v>
      </c>
      <c r="B2" s="134">
        <v>45868</v>
      </c>
      <c r="C2" s="127"/>
      <c r="D2" s="127"/>
      <c r="E2" s="127"/>
      <c r="F2" s="127"/>
      <c r="G2" s="127"/>
      <c r="H2" s="127"/>
      <c r="I2" s="127"/>
      <c r="J2" s="127"/>
      <c r="K2" s="127"/>
      <c r="L2" s="127"/>
      <c r="M2" s="127"/>
      <c r="N2" s="127"/>
    </row>
    <row r="3" spans="1:14" s="128" customFormat="1" ht="27.75" customHeight="1" x14ac:dyDescent="0.3">
      <c r="A3" s="150" t="s">
        <v>2</v>
      </c>
      <c r="B3" s="151" t="s">
        <v>3</v>
      </c>
      <c r="C3" s="127"/>
      <c r="D3" s="152" t="s">
        <v>4</v>
      </c>
      <c r="E3" s="127"/>
      <c r="F3" s="127"/>
      <c r="G3" s="127"/>
      <c r="H3" s="127"/>
      <c r="I3" s="127"/>
      <c r="J3" s="127"/>
      <c r="K3" s="127"/>
      <c r="L3" s="127"/>
    </row>
    <row r="4" spans="1:14" s="128" customFormat="1" ht="13.5" customHeight="1" x14ac:dyDescent="0.3">
      <c r="A4" s="138" t="s">
        <v>163</v>
      </c>
      <c r="B4" s="135">
        <v>4455</v>
      </c>
      <c r="C4" s="136"/>
      <c r="D4" s="137">
        <v>399</v>
      </c>
      <c r="E4" s="127"/>
      <c r="F4" s="127"/>
      <c r="G4" s="127"/>
      <c r="H4" s="127"/>
      <c r="I4" s="127"/>
      <c r="J4" s="127"/>
      <c r="K4" s="127"/>
      <c r="L4" s="127"/>
    </row>
    <row r="5" spans="1:14" s="128" customFormat="1" ht="13.5" customHeight="1" x14ac:dyDescent="0.3">
      <c r="A5" s="138" t="s">
        <v>164</v>
      </c>
      <c r="B5" s="135">
        <v>9600</v>
      </c>
      <c r="C5" s="136"/>
      <c r="D5" s="137">
        <v>724</v>
      </c>
      <c r="E5" s="127"/>
      <c r="F5" s="127"/>
      <c r="G5" s="127"/>
      <c r="H5" s="127"/>
      <c r="I5" s="127"/>
      <c r="J5" s="127"/>
      <c r="K5" s="127"/>
      <c r="L5" s="127"/>
      <c r="M5" s="127"/>
      <c r="N5" s="127"/>
    </row>
    <row r="6" spans="1:14" s="128" customFormat="1" ht="13.5" customHeight="1" x14ac:dyDescent="0.3">
      <c r="A6" s="138" t="s">
        <v>165</v>
      </c>
      <c r="B6" s="135">
        <v>7400</v>
      </c>
      <c r="C6" s="136"/>
      <c r="D6" s="137">
        <v>369</v>
      </c>
      <c r="E6" s="127"/>
      <c r="F6" s="127"/>
      <c r="G6" s="127"/>
      <c r="H6" s="127"/>
      <c r="I6" s="127"/>
      <c r="J6" s="127"/>
      <c r="K6" s="127"/>
      <c r="L6" s="127"/>
      <c r="M6" s="127"/>
      <c r="N6" s="127"/>
    </row>
    <row r="7" spans="1:14" s="128" customFormat="1" ht="13.5" customHeight="1" x14ac:dyDescent="0.3">
      <c r="A7" s="138" t="s">
        <v>5</v>
      </c>
      <c r="B7" s="135">
        <v>4993</v>
      </c>
      <c r="C7" s="136"/>
      <c r="D7" s="137">
        <v>63</v>
      </c>
      <c r="E7" s="127"/>
      <c r="F7" s="127"/>
      <c r="G7" s="127"/>
      <c r="H7" s="127"/>
      <c r="I7" s="127"/>
      <c r="J7" s="127"/>
      <c r="K7" s="127"/>
      <c r="L7" s="127"/>
      <c r="M7" s="127"/>
      <c r="N7" s="127"/>
    </row>
    <row r="8" spans="1:14" s="128" customFormat="1" ht="13.5" customHeight="1" x14ac:dyDescent="0.3">
      <c r="A8" s="138" t="s">
        <v>6</v>
      </c>
      <c r="B8" s="135">
        <v>19000</v>
      </c>
      <c r="C8" s="136"/>
      <c r="D8" s="137">
        <v>63</v>
      </c>
      <c r="E8" s="127"/>
      <c r="F8" s="127"/>
      <c r="G8" s="127"/>
      <c r="H8" s="127"/>
      <c r="I8" s="127"/>
      <c r="J8" s="127"/>
      <c r="K8" s="127"/>
      <c r="L8" s="127"/>
      <c r="M8" s="127"/>
      <c r="N8" s="127"/>
    </row>
    <row r="9" spans="1:14" s="128" customFormat="1" ht="13.5" customHeight="1" x14ac:dyDescent="0.3">
      <c r="A9" s="138" t="s">
        <v>7</v>
      </c>
      <c r="B9" s="135">
        <v>17000</v>
      </c>
      <c r="C9" s="136"/>
      <c r="D9" s="137"/>
      <c r="E9" s="127"/>
      <c r="F9" s="127"/>
      <c r="G9" s="127"/>
      <c r="H9" s="127"/>
      <c r="I9" s="127"/>
      <c r="J9" s="127"/>
      <c r="K9" s="127"/>
      <c r="L9" s="127"/>
      <c r="M9" s="127"/>
      <c r="N9" s="127"/>
    </row>
    <row r="10" spans="1:14" s="128" customFormat="1" ht="13.5" customHeight="1" x14ac:dyDescent="0.3">
      <c r="A10" s="138" t="s">
        <v>8</v>
      </c>
      <c r="B10" s="135">
        <v>14500</v>
      </c>
      <c r="C10" s="136"/>
      <c r="D10" s="136"/>
      <c r="E10" s="127"/>
      <c r="F10" s="127"/>
      <c r="G10" s="127"/>
      <c r="H10" s="127"/>
      <c r="I10" s="127"/>
      <c r="J10" s="127"/>
      <c r="K10" s="127"/>
      <c r="L10" s="127"/>
      <c r="M10" s="127"/>
      <c r="N10" s="127"/>
    </row>
    <row r="11" spans="1:14" s="128" customFormat="1" ht="13.5" customHeight="1" x14ac:dyDescent="0.3">
      <c r="A11" s="138" t="s">
        <v>9</v>
      </c>
      <c r="B11" s="135">
        <v>4700</v>
      </c>
      <c r="C11" s="136"/>
      <c r="D11" s="136"/>
      <c r="E11" s="127"/>
      <c r="F11" s="127"/>
      <c r="G11" s="127"/>
      <c r="H11" s="127"/>
      <c r="I11" s="127"/>
      <c r="J11" s="127"/>
      <c r="K11" s="127"/>
      <c r="L11" s="127"/>
      <c r="M11" s="127"/>
      <c r="N11" s="127"/>
    </row>
    <row r="12" spans="1:14" s="128" customFormat="1" ht="13.5" customHeight="1" x14ac:dyDescent="0.3">
      <c r="A12" s="138" t="s">
        <v>10</v>
      </c>
      <c r="B12" s="135">
        <v>2500</v>
      </c>
      <c r="C12" s="136"/>
      <c r="D12" s="136"/>
      <c r="E12" s="127"/>
      <c r="F12" s="127"/>
      <c r="G12" s="127"/>
      <c r="H12" s="127"/>
      <c r="I12" s="127"/>
      <c r="J12" s="127"/>
      <c r="K12" s="127"/>
      <c r="L12" s="127"/>
      <c r="M12" s="127"/>
      <c r="N12" s="127"/>
    </row>
    <row r="13" spans="1:14" s="128" customFormat="1" ht="13.5" customHeight="1" x14ac:dyDescent="0.3">
      <c r="A13" s="138" t="s">
        <v>11</v>
      </c>
      <c r="B13" s="135">
        <v>2100</v>
      </c>
      <c r="C13" s="136"/>
      <c r="D13" s="136"/>
      <c r="E13" s="127"/>
      <c r="F13" s="127"/>
      <c r="G13" s="127"/>
      <c r="H13" s="127"/>
      <c r="I13" s="127"/>
      <c r="J13" s="127"/>
      <c r="K13" s="127"/>
      <c r="L13" s="127"/>
      <c r="M13" s="127"/>
      <c r="N13" s="127"/>
    </row>
    <row r="14" spans="1:14" s="128" customFormat="1" ht="13.5" customHeight="1" x14ac:dyDescent="0.3">
      <c r="A14" s="129"/>
      <c r="B14" s="130"/>
      <c r="C14" s="127"/>
      <c r="D14" s="127"/>
      <c r="E14" s="127"/>
      <c r="F14" s="127"/>
      <c r="G14" s="127"/>
      <c r="H14" s="127"/>
      <c r="I14" s="127"/>
      <c r="J14" s="127"/>
      <c r="K14" s="127"/>
      <c r="L14" s="127"/>
      <c r="M14" s="127"/>
      <c r="N14" s="127"/>
    </row>
    <row r="15" spans="1:14" s="128" customFormat="1" ht="13.5" customHeight="1" x14ac:dyDescent="0.4">
      <c r="A15" s="131"/>
      <c r="B15" s="127"/>
      <c r="C15" s="127"/>
      <c r="D15" s="127"/>
      <c r="E15" s="127"/>
      <c r="F15" s="127"/>
      <c r="G15" s="127"/>
      <c r="H15" s="127"/>
      <c r="I15" s="127"/>
      <c r="J15" s="127"/>
      <c r="K15" s="127"/>
      <c r="L15" s="127"/>
      <c r="M15" s="127"/>
      <c r="N15" s="127"/>
    </row>
    <row r="16" spans="1:14" s="128" customFormat="1" ht="30.75" customHeight="1" thickBot="1" x14ac:dyDescent="0.35">
      <c r="A16" s="261"/>
      <c r="B16" s="261"/>
      <c r="C16" s="127"/>
      <c r="D16" s="127"/>
      <c r="E16" s="127"/>
      <c r="F16" s="127"/>
      <c r="G16" s="127"/>
      <c r="H16" s="127"/>
      <c r="I16" s="127"/>
      <c r="J16" s="127"/>
      <c r="K16" s="127"/>
      <c r="L16" s="127"/>
      <c r="M16" s="127"/>
      <c r="N16" s="127"/>
    </row>
    <row r="17" spans="1:26" ht="26.25" customHeight="1" thickBot="1" x14ac:dyDescent="0.3">
      <c r="A17" s="252" t="s">
        <v>12</v>
      </c>
      <c r="B17" s="252"/>
      <c r="C17" s="139"/>
      <c r="D17" s="253" t="s">
        <v>13</v>
      </c>
      <c r="E17" s="254"/>
      <c r="F17" s="254"/>
      <c r="G17" s="254"/>
      <c r="H17" s="254"/>
      <c r="I17" s="254"/>
      <c r="J17" s="254"/>
      <c r="K17" s="254"/>
      <c r="L17" s="254"/>
      <c r="M17" s="254"/>
      <c r="N17" s="255"/>
      <c r="P17" s="253" t="s">
        <v>14</v>
      </c>
      <c r="Q17" s="254"/>
      <c r="R17" s="254"/>
      <c r="S17" s="254"/>
      <c r="T17" s="254"/>
      <c r="U17" s="254"/>
      <c r="V17" s="254"/>
      <c r="W17" s="254"/>
      <c r="X17" s="254"/>
      <c r="Y17" s="254"/>
      <c r="Z17" s="255"/>
    </row>
    <row r="18" spans="1:26" ht="13.5" customHeight="1" thickBot="1" x14ac:dyDescent="0.3">
      <c r="A18" s="147" t="s">
        <v>15</v>
      </c>
      <c r="B18" s="153">
        <f>'Crop Comparison'!B28</f>
        <v>13571.282999069645</v>
      </c>
      <c r="C18" s="140"/>
      <c r="D18" s="56"/>
      <c r="E18" s="57"/>
      <c r="F18" s="213"/>
      <c r="G18" s="58"/>
      <c r="H18" s="213"/>
      <c r="I18" s="213"/>
      <c r="J18" s="213" t="s">
        <v>16</v>
      </c>
      <c r="K18" s="214"/>
      <c r="L18" s="213"/>
      <c r="M18" s="214"/>
      <c r="N18" s="213"/>
      <c r="P18" s="56"/>
      <c r="Q18" s="57"/>
      <c r="R18" s="213"/>
      <c r="S18" s="58"/>
      <c r="T18" s="213"/>
      <c r="U18" s="213"/>
      <c r="V18" s="213" t="s">
        <v>16</v>
      </c>
      <c r="W18" s="214"/>
      <c r="X18" s="213"/>
      <c r="Y18" s="214"/>
      <c r="Z18" s="213"/>
    </row>
    <row r="19" spans="1:26" ht="13.5" customHeight="1" thickBot="1" x14ac:dyDescent="0.3">
      <c r="A19" s="147" t="s">
        <v>17</v>
      </c>
      <c r="B19" s="154">
        <f>'W-RR mielies Laer opbrengs '!E27</f>
        <v>3014.6900000000005</v>
      </c>
      <c r="C19" s="140"/>
      <c r="D19" s="253" t="s">
        <v>18</v>
      </c>
      <c r="E19" s="255"/>
      <c r="F19" s="59">
        <f>G19-250</f>
        <v>3455</v>
      </c>
      <c r="G19" s="59">
        <f>H19-250</f>
        <v>3705</v>
      </c>
      <c r="H19" s="59">
        <f>I19-250</f>
        <v>3955</v>
      </c>
      <c r="I19" s="59">
        <f>J19-250</f>
        <v>4205</v>
      </c>
      <c r="J19" s="215">
        <f>B24</f>
        <v>4455</v>
      </c>
      <c r="K19" s="59">
        <f>J19+250</f>
        <v>4705</v>
      </c>
      <c r="L19" s="59">
        <f>K19+250</f>
        <v>4955</v>
      </c>
      <c r="M19" s="59">
        <f>L19+250</f>
        <v>5205</v>
      </c>
      <c r="N19" s="59">
        <f>M19+250</f>
        <v>5455</v>
      </c>
      <c r="P19" s="253" t="s">
        <v>18</v>
      </c>
      <c r="Q19" s="255"/>
      <c r="R19" s="59">
        <f>S19-250</f>
        <v>3455</v>
      </c>
      <c r="S19" s="59">
        <f>T19-250</f>
        <v>3705</v>
      </c>
      <c r="T19" s="59">
        <f>U19-250</f>
        <v>3955</v>
      </c>
      <c r="U19" s="59">
        <f>V19-250</f>
        <v>4205</v>
      </c>
      <c r="V19" s="213">
        <f>J19</f>
        <v>4455</v>
      </c>
      <c r="W19" s="59">
        <f>V19+250</f>
        <v>4705</v>
      </c>
      <c r="X19" s="59">
        <f>W19+250</f>
        <v>4955</v>
      </c>
      <c r="Y19" s="59">
        <f>X19+250</f>
        <v>5205</v>
      </c>
      <c r="Z19" s="59">
        <f>Y19+250</f>
        <v>5455</v>
      </c>
    </row>
    <row r="20" spans="1:26" ht="13.5" customHeight="1" thickBot="1" x14ac:dyDescent="0.3">
      <c r="A20" s="148" t="s">
        <v>19</v>
      </c>
      <c r="B20" s="155">
        <f>B19+B18</f>
        <v>16585.972999069643</v>
      </c>
      <c r="C20" s="141"/>
      <c r="D20" s="256" t="s">
        <v>20</v>
      </c>
      <c r="E20" s="257"/>
      <c r="F20" s="60">
        <f t="shared" ref="F20:N20" si="0">F19-$B$25</f>
        <v>3056</v>
      </c>
      <c r="G20" s="60">
        <f t="shared" si="0"/>
        <v>3306</v>
      </c>
      <c r="H20" s="60">
        <f t="shared" si="0"/>
        <v>3556</v>
      </c>
      <c r="I20" s="60">
        <f t="shared" si="0"/>
        <v>3806</v>
      </c>
      <c r="J20" s="216">
        <f t="shared" si="0"/>
        <v>4056</v>
      </c>
      <c r="K20" s="60">
        <f t="shared" si="0"/>
        <v>4306</v>
      </c>
      <c r="L20" s="60">
        <f t="shared" si="0"/>
        <v>4556</v>
      </c>
      <c r="M20" s="60">
        <f t="shared" si="0"/>
        <v>4806</v>
      </c>
      <c r="N20" s="60">
        <f t="shared" si="0"/>
        <v>5056</v>
      </c>
      <c r="P20" s="256" t="s">
        <v>20</v>
      </c>
      <c r="Q20" s="257"/>
      <c r="R20" s="60">
        <f t="shared" ref="R20:Z20" si="1">R19-$B$25</f>
        <v>3056</v>
      </c>
      <c r="S20" s="60">
        <f t="shared" si="1"/>
        <v>3306</v>
      </c>
      <c r="T20" s="60">
        <f t="shared" si="1"/>
        <v>3556</v>
      </c>
      <c r="U20" s="60">
        <f t="shared" si="1"/>
        <v>3806</v>
      </c>
      <c r="V20" s="217">
        <f t="shared" si="1"/>
        <v>4056</v>
      </c>
      <c r="W20" s="60">
        <f t="shared" si="1"/>
        <v>4306</v>
      </c>
      <c r="X20" s="60">
        <f t="shared" si="1"/>
        <v>4556</v>
      </c>
      <c r="Y20" s="60">
        <f t="shared" si="1"/>
        <v>4806</v>
      </c>
      <c r="Z20" s="60">
        <f t="shared" si="1"/>
        <v>5056</v>
      </c>
    </row>
    <row r="21" spans="1:26" ht="13.5" customHeight="1" thickBot="1" x14ac:dyDescent="0.3">
      <c r="A21" s="147"/>
      <c r="B21" s="140"/>
      <c r="C21" s="140"/>
      <c r="D21" s="258" t="s">
        <v>21</v>
      </c>
      <c r="E21" s="61">
        <f>E22-0.5</f>
        <v>3</v>
      </c>
      <c r="F21" s="62">
        <f>F$20-($B$20/$E21)</f>
        <v>-2472.6576663565475</v>
      </c>
      <c r="G21" s="63">
        <f t="shared" ref="F21:N25" si="2">G$20-($B$20/$E21)</f>
        <v>-2222.6576663565475</v>
      </c>
      <c r="H21" s="63">
        <f t="shared" si="2"/>
        <v>-1972.6576663565475</v>
      </c>
      <c r="I21" s="63">
        <f t="shared" si="2"/>
        <v>-1722.6576663565475</v>
      </c>
      <c r="J21" s="63">
        <f t="shared" si="2"/>
        <v>-1472.6576663565475</v>
      </c>
      <c r="K21" s="63">
        <f t="shared" si="2"/>
        <v>-1222.6576663565475</v>
      </c>
      <c r="L21" s="63">
        <f t="shared" si="2"/>
        <v>-972.65766635654745</v>
      </c>
      <c r="M21" s="64">
        <f t="shared" si="2"/>
        <v>-722.65766635654745</v>
      </c>
      <c r="N21" s="65">
        <f t="shared" si="2"/>
        <v>-472.65766635654745</v>
      </c>
      <c r="P21" s="258" t="s">
        <v>21</v>
      </c>
      <c r="Q21" s="61">
        <f>Q22-0.5</f>
        <v>3</v>
      </c>
      <c r="R21" s="62">
        <f>R$20-($B$18/$E21)</f>
        <v>-1467.7609996898818</v>
      </c>
      <c r="S21" s="62">
        <f t="shared" ref="S21:Z25" si="3">S$20-($B$18/$E21)</f>
        <v>-1217.7609996898818</v>
      </c>
      <c r="T21" s="62">
        <f t="shared" si="3"/>
        <v>-967.76099968988183</v>
      </c>
      <c r="U21" s="62">
        <f t="shared" si="3"/>
        <v>-717.76099968988183</v>
      </c>
      <c r="V21" s="62">
        <f t="shared" si="3"/>
        <v>-467.76099968988183</v>
      </c>
      <c r="W21" s="62">
        <f t="shared" si="3"/>
        <v>-217.76099968988183</v>
      </c>
      <c r="X21" s="62">
        <f t="shared" si="3"/>
        <v>32.239000310118172</v>
      </c>
      <c r="Y21" s="62">
        <f t="shared" si="3"/>
        <v>282.23900031011817</v>
      </c>
      <c r="Z21" s="62">
        <f t="shared" si="3"/>
        <v>532.23900031011817</v>
      </c>
    </row>
    <row r="22" spans="1:26" ht="13.5" customHeight="1" thickBot="1" x14ac:dyDescent="0.3">
      <c r="A22" s="147" t="s">
        <v>22</v>
      </c>
      <c r="B22" s="218">
        <v>4</v>
      </c>
      <c r="C22" s="140"/>
      <c r="D22" s="259"/>
      <c r="E22" s="61">
        <f>E23-0.5</f>
        <v>3.5</v>
      </c>
      <c r="F22" s="66">
        <f t="shared" si="2"/>
        <v>-1682.8494283056125</v>
      </c>
      <c r="G22" s="67">
        <f t="shared" si="2"/>
        <v>-1432.8494283056125</v>
      </c>
      <c r="H22" s="67">
        <f t="shared" si="2"/>
        <v>-1182.8494283056125</v>
      </c>
      <c r="I22" s="67">
        <f t="shared" si="2"/>
        <v>-932.84942830561249</v>
      </c>
      <c r="J22" s="67">
        <f t="shared" si="2"/>
        <v>-682.84942830561249</v>
      </c>
      <c r="K22" s="68">
        <f t="shared" si="2"/>
        <v>-432.84942830561249</v>
      </c>
      <c r="L22" s="68">
        <f t="shared" si="2"/>
        <v>-182.84942830561249</v>
      </c>
      <c r="M22" s="68">
        <f t="shared" si="2"/>
        <v>67.150571694387509</v>
      </c>
      <c r="N22" s="69">
        <f t="shared" si="2"/>
        <v>317.15057169438751</v>
      </c>
      <c r="P22" s="259"/>
      <c r="Q22" s="61">
        <f>Q23-0.5</f>
        <v>3.5</v>
      </c>
      <c r="R22" s="62">
        <f>R$20-($B$18/$E22)</f>
        <v>-821.5094283056128</v>
      </c>
      <c r="S22" s="62">
        <f t="shared" si="3"/>
        <v>-571.5094283056128</v>
      </c>
      <c r="T22" s="62">
        <f t="shared" si="3"/>
        <v>-321.5094283056128</v>
      </c>
      <c r="U22" s="62">
        <f t="shared" si="3"/>
        <v>-71.509428305612801</v>
      </c>
      <c r="V22" s="62">
        <f t="shared" si="3"/>
        <v>178.4905716943872</v>
      </c>
      <c r="W22" s="62">
        <f t="shared" si="3"/>
        <v>428.4905716943872</v>
      </c>
      <c r="X22" s="62">
        <f t="shared" si="3"/>
        <v>678.4905716943872</v>
      </c>
      <c r="Y22" s="62">
        <f t="shared" si="3"/>
        <v>928.4905716943872</v>
      </c>
      <c r="Z22" s="62">
        <f t="shared" si="3"/>
        <v>1178.4905716943872</v>
      </c>
    </row>
    <row r="23" spans="1:26" ht="13.5" customHeight="1" thickBot="1" x14ac:dyDescent="0.3">
      <c r="A23" s="147"/>
      <c r="B23" s="140"/>
      <c r="C23" s="140"/>
      <c r="D23" s="259"/>
      <c r="E23" s="219">
        <f>B22</f>
        <v>4</v>
      </c>
      <c r="F23" s="66">
        <f t="shared" si="2"/>
        <v>-1090.4932497674108</v>
      </c>
      <c r="G23" s="67">
        <f t="shared" si="2"/>
        <v>-840.49324976741082</v>
      </c>
      <c r="H23" s="67">
        <f>H$20-($B$20/$E23)</f>
        <v>-590.49324976741082</v>
      </c>
      <c r="I23" s="67">
        <f>I$20-($B$20/$E23)</f>
        <v>-340.49324976741082</v>
      </c>
      <c r="J23" s="211">
        <f t="shared" si="2"/>
        <v>-90.493249767410816</v>
      </c>
      <c r="K23" s="68">
        <f t="shared" si="2"/>
        <v>159.50675023258918</v>
      </c>
      <c r="L23" s="68">
        <f t="shared" si="2"/>
        <v>409.50675023258918</v>
      </c>
      <c r="M23" s="68">
        <f>M$20-($B$20/$E23)</f>
        <v>659.50675023258918</v>
      </c>
      <c r="N23" s="69">
        <f t="shared" si="2"/>
        <v>909.50675023258918</v>
      </c>
      <c r="P23" s="259"/>
      <c r="Q23" s="219">
        <f>E23</f>
        <v>4</v>
      </c>
      <c r="R23" s="62">
        <f>R$20-($B$18/$E23)</f>
        <v>-336.82074976741114</v>
      </c>
      <c r="S23" s="62">
        <f>S$20-($B$18/$E23)</f>
        <v>-86.820749767411144</v>
      </c>
      <c r="T23" s="62">
        <f t="shared" si="3"/>
        <v>163.17925023258886</v>
      </c>
      <c r="U23" s="62">
        <f t="shared" si="3"/>
        <v>413.17925023258886</v>
      </c>
      <c r="V23" s="62">
        <f t="shared" si="3"/>
        <v>663.17925023258886</v>
      </c>
      <c r="W23" s="62">
        <f t="shared" si="3"/>
        <v>913.17925023258886</v>
      </c>
      <c r="X23" s="62">
        <f t="shared" si="3"/>
        <v>1163.1792502325889</v>
      </c>
      <c r="Y23" s="62">
        <f t="shared" si="3"/>
        <v>1413.1792502325889</v>
      </c>
      <c r="Z23" s="62">
        <f t="shared" si="3"/>
        <v>1663.1792502325889</v>
      </c>
    </row>
    <row r="24" spans="1:26" ht="13.5" customHeight="1" thickBot="1" x14ac:dyDescent="0.3">
      <c r="A24" s="147" t="s">
        <v>23</v>
      </c>
      <c r="B24" s="153">
        <f>$B$4</f>
        <v>4455</v>
      </c>
      <c r="C24" s="140"/>
      <c r="D24" s="259"/>
      <c r="E24" s="61">
        <f>E23+0.5</f>
        <v>4.5</v>
      </c>
      <c r="F24" s="66">
        <f t="shared" si="2"/>
        <v>-629.77177757103163</v>
      </c>
      <c r="G24" s="67">
        <f t="shared" si="2"/>
        <v>-379.77177757103163</v>
      </c>
      <c r="H24" s="67">
        <f t="shared" si="2"/>
        <v>-129.77177757103163</v>
      </c>
      <c r="I24" s="68">
        <f t="shared" si="2"/>
        <v>120.22822242896837</v>
      </c>
      <c r="J24" s="68">
        <f t="shared" si="2"/>
        <v>370.22822242896837</v>
      </c>
      <c r="K24" s="68">
        <f t="shared" si="2"/>
        <v>620.22822242896837</v>
      </c>
      <c r="L24" s="68">
        <f t="shared" si="2"/>
        <v>870.22822242896837</v>
      </c>
      <c r="M24" s="68">
        <f t="shared" si="2"/>
        <v>1120.2282224289684</v>
      </c>
      <c r="N24" s="69">
        <f t="shared" si="2"/>
        <v>1370.2282224289684</v>
      </c>
      <c r="P24" s="259"/>
      <c r="Q24" s="61">
        <f>Q23+0.5</f>
        <v>4.5</v>
      </c>
      <c r="R24" s="62">
        <f>R$20-($B$18/$E24)</f>
        <v>40.159333540078933</v>
      </c>
      <c r="S24" s="62">
        <f t="shared" si="3"/>
        <v>290.15933354007893</v>
      </c>
      <c r="T24" s="62">
        <f t="shared" si="3"/>
        <v>540.15933354007893</v>
      </c>
      <c r="U24" s="62">
        <f t="shared" si="3"/>
        <v>790.15933354007893</v>
      </c>
      <c r="V24" s="62">
        <f t="shared" si="3"/>
        <v>1040.1593335400789</v>
      </c>
      <c r="W24" s="62">
        <f t="shared" si="3"/>
        <v>1290.1593335400789</v>
      </c>
      <c r="X24" s="62">
        <f t="shared" si="3"/>
        <v>1540.1593335400789</v>
      </c>
      <c r="Y24" s="62">
        <f t="shared" si="3"/>
        <v>1790.1593335400789</v>
      </c>
      <c r="Z24" s="62">
        <f t="shared" si="3"/>
        <v>2040.1593335400789</v>
      </c>
    </row>
    <row r="25" spans="1:26" ht="13.5" customHeight="1" thickBot="1" x14ac:dyDescent="0.3">
      <c r="A25" s="149" t="s">
        <v>24</v>
      </c>
      <c r="B25" s="154">
        <f>D4</f>
        <v>399</v>
      </c>
      <c r="C25" s="140"/>
      <c r="D25" s="260"/>
      <c r="E25" s="61">
        <f>E24+0.5</f>
        <v>5</v>
      </c>
      <c r="F25" s="70">
        <f t="shared" si="2"/>
        <v>-261.19459981392856</v>
      </c>
      <c r="G25" s="71">
        <f t="shared" si="2"/>
        <v>-11.194599813928562</v>
      </c>
      <c r="H25" s="72">
        <f t="shared" si="2"/>
        <v>238.80540018607144</v>
      </c>
      <c r="I25" s="72">
        <f t="shared" si="2"/>
        <v>488.80540018607144</v>
      </c>
      <c r="J25" s="72">
        <f t="shared" si="2"/>
        <v>738.80540018607144</v>
      </c>
      <c r="K25" s="72">
        <f t="shared" si="2"/>
        <v>988.80540018607144</v>
      </c>
      <c r="L25" s="72">
        <f t="shared" si="2"/>
        <v>1238.8054001860714</v>
      </c>
      <c r="M25" s="72">
        <f t="shared" si="2"/>
        <v>1488.8054001860714</v>
      </c>
      <c r="N25" s="73">
        <f>N$20-($B$20/$E25)</f>
        <v>1738.8054001860714</v>
      </c>
      <c r="P25" s="260"/>
      <c r="Q25" s="61">
        <f>Q24+0.5</f>
        <v>5</v>
      </c>
      <c r="R25" s="62">
        <f>R$20-($B$18/$E25)</f>
        <v>341.74340018607109</v>
      </c>
      <c r="S25" s="62">
        <f>S$20-($B$18/$E25)</f>
        <v>591.74340018607109</v>
      </c>
      <c r="T25" s="62">
        <f t="shared" si="3"/>
        <v>841.74340018607109</v>
      </c>
      <c r="U25" s="62">
        <f t="shared" si="3"/>
        <v>1091.7434001860711</v>
      </c>
      <c r="V25" s="62">
        <f t="shared" si="3"/>
        <v>1341.7434001860711</v>
      </c>
      <c r="W25" s="62">
        <f t="shared" si="3"/>
        <v>1591.7434001860711</v>
      </c>
      <c r="X25" s="62">
        <f t="shared" si="3"/>
        <v>1841.7434001860711</v>
      </c>
      <c r="Y25" s="62">
        <f t="shared" si="3"/>
        <v>2091.7434001860711</v>
      </c>
      <c r="Z25" s="62">
        <f t="shared" si="3"/>
        <v>2341.7434001860711</v>
      </c>
    </row>
    <row r="26" spans="1:26" ht="13.5" customHeight="1" x14ac:dyDescent="0.25">
      <c r="A26" s="142" t="s">
        <v>25</v>
      </c>
      <c r="B26" s="155">
        <f>B24-B25</f>
        <v>4056</v>
      </c>
      <c r="C26" s="140"/>
      <c r="D26" s="74"/>
      <c r="E26" s="75"/>
      <c r="F26" s="76"/>
      <c r="G26" s="76"/>
      <c r="H26" s="76"/>
      <c r="I26" s="76"/>
      <c r="J26" s="76"/>
      <c r="K26" s="76"/>
      <c r="L26" s="76"/>
      <c r="P26" s="74"/>
      <c r="Q26" s="75"/>
      <c r="R26" s="76"/>
      <c r="S26" s="76"/>
      <c r="T26" s="76"/>
      <c r="U26" s="76"/>
      <c r="V26" s="76"/>
      <c r="W26" s="76"/>
      <c r="X26" s="76"/>
    </row>
    <row r="27" spans="1:26" ht="13.5" customHeight="1" x14ac:dyDescent="0.25">
      <c r="A27" s="142"/>
      <c r="B27" s="141"/>
      <c r="C27" s="140"/>
      <c r="D27" s="74"/>
      <c r="E27" s="75"/>
      <c r="F27" s="76"/>
      <c r="G27" s="76"/>
      <c r="H27" s="76"/>
      <c r="I27" s="76"/>
      <c r="J27" s="76"/>
      <c r="K27" s="76"/>
      <c r="L27" s="76"/>
      <c r="P27" s="74"/>
      <c r="Q27" s="75"/>
      <c r="R27" s="76"/>
      <c r="S27" s="76"/>
      <c r="T27" s="76"/>
      <c r="U27" s="76"/>
      <c r="V27" s="76"/>
      <c r="W27" s="76"/>
      <c r="X27" s="76"/>
    </row>
    <row r="28" spans="1:26" ht="13.5" customHeight="1" x14ac:dyDescent="0.25">
      <c r="A28" s="142"/>
      <c r="B28" s="141"/>
      <c r="C28" s="140"/>
      <c r="D28" s="74"/>
      <c r="E28" s="75"/>
      <c r="F28" s="76"/>
      <c r="G28" s="76"/>
      <c r="H28" s="76"/>
      <c r="I28" s="76"/>
      <c r="J28" s="76"/>
      <c r="K28" s="76"/>
      <c r="L28" s="76"/>
      <c r="P28" s="74"/>
      <c r="Q28" s="75"/>
      <c r="R28" s="76"/>
      <c r="S28" s="76"/>
      <c r="T28" s="76"/>
      <c r="U28" s="76"/>
      <c r="V28" s="76"/>
      <c r="W28" s="76"/>
      <c r="X28" s="76"/>
    </row>
    <row r="29" spans="1:26" s="55" customFormat="1" ht="33.75" customHeight="1" thickBot="1" x14ac:dyDescent="0.35">
      <c r="A29" s="261"/>
      <c r="B29" s="261"/>
      <c r="C29" s="127"/>
      <c r="D29" s="54"/>
      <c r="E29" s="54"/>
      <c r="F29" s="54"/>
      <c r="G29" s="54"/>
      <c r="H29" s="54"/>
      <c r="I29" s="54"/>
      <c r="J29" s="54"/>
      <c r="K29" s="54"/>
      <c r="L29" s="54"/>
      <c r="M29" s="54"/>
      <c r="N29" s="54"/>
    </row>
    <row r="30" spans="1:26" ht="28.5" customHeight="1" thickBot="1" x14ac:dyDescent="0.3">
      <c r="A30" s="252" t="s">
        <v>26</v>
      </c>
      <c r="B30" s="252"/>
      <c r="C30" s="139"/>
      <c r="D30" s="253" t="s">
        <v>13</v>
      </c>
      <c r="E30" s="254"/>
      <c r="F30" s="254"/>
      <c r="G30" s="254"/>
      <c r="H30" s="254"/>
      <c r="I30" s="254"/>
      <c r="J30" s="254"/>
      <c r="K30" s="254"/>
      <c r="L30" s="254"/>
      <c r="M30" s="254"/>
      <c r="N30" s="255"/>
      <c r="P30" s="253" t="s">
        <v>14</v>
      </c>
      <c r="Q30" s="254"/>
      <c r="R30" s="254"/>
      <c r="S30" s="254"/>
      <c r="T30" s="254"/>
      <c r="U30" s="254"/>
      <c r="V30" s="254"/>
      <c r="W30" s="254"/>
      <c r="X30" s="254"/>
      <c r="Y30" s="254"/>
      <c r="Z30" s="255"/>
    </row>
    <row r="31" spans="1:26" ht="13.5" customHeight="1" thickBot="1" x14ac:dyDescent="0.3">
      <c r="A31" s="147" t="s">
        <v>15</v>
      </c>
      <c r="B31" s="153">
        <f>'Crop Comparison'!C28</f>
        <v>17675.195159612522</v>
      </c>
      <c r="C31" s="140"/>
      <c r="D31" s="56"/>
      <c r="E31" s="57"/>
      <c r="F31" s="213"/>
      <c r="G31" s="58"/>
      <c r="H31" s="213"/>
      <c r="I31" s="213"/>
      <c r="J31" s="213" t="s">
        <v>16</v>
      </c>
      <c r="K31" s="214"/>
      <c r="L31" s="213"/>
      <c r="M31" s="214"/>
      <c r="N31" s="213"/>
      <c r="P31" s="56"/>
      <c r="Q31" s="57"/>
      <c r="R31" s="213"/>
      <c r="S31" s="58"/>
      <c r="T31" s="213"/>
      <c r="U31" s="213"/>
      <c r="V31" s="213" t="s">
        <v>16</v>
      </c>
      <c r="W31" s="214"/>
      <c r="X31" s="213"/>
      <c r="Y31" s="214"/>
      <c r="Z31" s="213"/>
    </row>
    <row r="32" spans="1:26" ht="13.5" customHeight="1" thickBot="1" x14ac:dyDescent="0.3">
      <c r="A32" s="147" t="s">
        <v>17</v>
      </c>
      <c r="B32" s="154">
        <f>'W-RR mielies Hoer opbrengs  '!G27</f>
        <v>2873.22</v>
      </c>
      <c r="C32" s="140"/>
      <c r="D32" s="253" t="s">
        <v>18</v>
      </c>
      <c r="E32" s="255"/>
      <c r="F32" s="59">
        <f>G32-250</f>
        <v>3455</v>
      </c>
      <c r="G32" s="59">
        <f>H32-250</f>
        <v>3705</v>
      </c>
      <c r="H32" s="59">
        <f>I32-250</f>
        <v>3955</v>
      </c>
      <c r="I32" s="59">
        <f>J32-250</f>
        <v>4205</v>
      </c>
      <c r="J32" s="215">
        <f>B37</f>
        <v>4455</v>
      </c>
      <c r="K32" s="59">
        <f>J32+250</f>
        <v>4705</v>
      </c>
      <c r="L32" s="59">
        <f>K32+250</f>
        <v>4955</v>
      </c>
      <c r="M32" s="59">
        <f>L32+250</f>
        <v>5205</v>
      </c>
      <c r="N32" s="59">
        <f>M32+250</f>
        <v>5455</v>
      </c>
      <c r="P32" s="253" t="s">
        <v>18</v>
      </c>
      <c r="Q32" s="255"/>
      <c r="R32" s="59">
        <f>S32-250</f>
        <v>3455</v>
      </c>
      <c r="S32" s="59">
        <f>T32-250</f>
        <v>3705</v>
      </c>
      <c r="T32" s="59">
        <f>U32-250</f>
        <v>3955</v>
      </c>
      <c r="U32" s="59">
        <f>V32-250</f>
        <v>4205</v>
      </c>
      <c r="V32" s="213">
        <f>J32</f>
        <v>4455</v>
      </c>
      <c r="W32" s="59">
        <f>V32+250</f>
        <v>4705</v>
      </c>
      <c r="X32" s="59">
        <f>W32+250</f>
        <v>4955</v>
      </c>
      <c r="Y32" s="59">
        <f>X32+250</f>
        <v>5205</v>
      </c>
      <c r="Z32" s="59">
        <f>Y32+250</f>
        <v>5455</v>
      </c>
    </row>
    <row r="33" spans="1:26" ht="13.5" customHeight="1" thickBot="1" x14ac:dyDescent="0.3">
      <c r="A33" s="148" t="s">
        <v>19</v>
      </c>
      <c r="B33" s="155">
        <f>B32+B31</f>
        <v>20548.415159612523</v>
      </c>
      <c r="C33" s="141"/>
      <c r="D33" s="256" t="s">
        <v>20</v>
      </c>
      <c r="E33" s="257"/>
      <c r="F33" s="60">
        <f t="shared" ref="F33:N33" si="4">F32-$B$25</f>
        <v>3056</v>
      </c>
      <c r="G33" s="60">
        <f t="shared" si="4"/>
        <v>3306</v>
      </c>
      <c r="H33" s="60">
        <f t="shared" si="4"/>
        <v>3556</v>
      </c>
      <c r="I33" s="60">
        <f t="shared" si="4"/>
        <v>3806</v>
      </c>
      <c r="J33" s="216">
        <f>J32-$B$25</f>
        <v>4056</v>
      </c>
      <c r="K33" s="60">
        <f t="shared" si="4"/>
        <v>4306</v>
      </c>
      <c r="L33" s="60">
        <f t="shared" si="4"/>
        <v>4556</v>
      </c>
      <c r="M33" s="60">
        <f t="shared" si="4"/>
        <v>4806</v>
      </c>
      <c r="N33" s="60">
        <f t="shared" si="4"/>
        <v>5056</v>
      </c>
      <c r="P33" s="256" t="s">
        <v>20</v>
      </c>
      <c r="Q33" s="257"/>
      <c r="R33" s="60">
        <f t="shared" ref="R33:Z33" si="5">R32-$B$25</f>
        <v>3056</v>
      </c>
      <c r="S33" s="60">
        <f t="shared" si="5"/>
        <v>3306</v>
      </c>
      <c r="T33" s="60">
        <f t="shared" si="5"/>
        <v>3556</v>
      </c>
      <c r="U33" s="60">
        <f t="shared" si="5"/>
        <v>3806</v>
      </c>
      <c r="V33" s="217">
        <f t="shared" si="5"/>
        <v>4056</v>
      </c>
      <c r="W33" s="60">
        <f t="shared" si="5"/>
        <v>4306</v>
      </c>
      <c r="X33" s="60">
        <f t="shared" si="5"/>
        <v>4556</v>
      </c>
      <c r="Y33" s="60">
        <f t="shared" si="5"/>
        <v>4806</v>
      </c>
      <c r="Z33" s="60">
        <f t="shared" si="5"/>
        <v>5056</v>
      </c>
    </row>
    <row r="34" spans="1:26" ht="13.5" customHeight="1" thickBot="1" x14ac:dyDescent="0.3">
      <c r="A34" s="147"/>
      <c r="B34" s="140"/>
      <c r="C34" s="140"/>
      <c r="D34" s="258" t="s">
        <v>21</v>
      </c>
      <c r="E34" s="61">
        <f>E35-0.5</f>
        <v>5</v>
      </c>
      <c r="F34" s="62">
        <f t="shared" ref="F34:N38" si="6">F$33-($B$33/$E34)</f>
        <v>-1053.6830319225046</v>
      </c>
      <c r="G34" s="62">
        <f t="shared" si="6"/>
        <v>-803.6830319225046</v>
      </c>
      <c r="H34" s="62">
        <f t="shared" si="6"/>
        <v>-553.6830319225046</v>
      </c>
      <c r="I34" s="62">
        <f t="shared" si="6"/>
        <v>-303.6830319225046</v>
      </c>
      <c r="J34" s="62">
        <f t="shared" si="6"/>
        <v>-53.683031922504597</v>
      </c>
      <c r="K34" s="62">
        <f t="shared" si="6"/>
        <v>196.3169680774954</v>
      </c>
      <c r="L34" s="62">
        <f t="shared" si="6"/>
        <v>446.3169680774954</v>
      </c>
      <c r="M34" s="62">
        <f t="shared" si="6"/>
        <v>696.3169680774954</v>
      </c>
      <c r="N34" s="62">
        <f t="shared" si="6"/>
        <v>946.3169680774954</v>
      </c>
      <c r="P34" s="258" t="s">
        <v>21</v>
      </c>
      <c r="Q34" s="61">
        <f>Q35-0.5</f>
        <v>5</v>
      </c>
      <c r="R34" s="62">
        <f t="shared" ref="R34:Z38" si="7">R$33-($B$31/$E34)</f>
        <v>-479.03903192250436</v>
      </c>
      <c r="S34" s="62">
        <f t="shared" si="7"/>
        <v>-229.03903192250436</v>
      </c>
      <c r="T34" s="62">
        <f t="shared" si="7"/>
        <v>20.960968077495636</v>
      </c>
      <c r="U34" s="62">
        <f t="shared" si="7"/>
        <v>270.96096807749564</v>
      </c>
      <c r="V34" s="62">
        <f t="shared" si="7"/>
        <v>520.96096807749564</v>
      </c>
      <c r="W34" s="62">
        <f t="shared" si="7"/>
        <v>770.96096807749564</v>
      </c>
      <c r="X34" s="62">
        <f t="shared" si="7"/>
        <v>1020.9609680774956</v>
      </c>
      <c r="Y34" s="62">
        <f t="shared" si="7"/>
        <v>1270.9609680774956</v>
      </c>
      <c r="Z34" s="62">
        <f t="shared" si="7"/>
        <v>1520.9609680774956</v>
      </c>
    </row>
    <row r="35" spans="1:26" ht="13.5" customHeight="1" thickBot="1" x14ac:dyDescent="0.3">
      <c r="A35" s="147" t="s">
        <v>22</v>
      </c>
      <c r="B35" s="218">
        <v>6</v>
      </c>
      <c r="C35" s="140"/>
      <c r="D35" s="259"/>
      <c r="E35" s="61">
        <f>E36-0.5</f>
        <v>5.5</v>
      </c>
      <c r="F35" s="62">
        <f t="shared" si="6"/>
        <v>-680.07548356591315</v>
      </c>
      <c r="G35" s="62">
        <f t="shared" si="6"/>
        <v>-430.07548356591315</v>
      </c>
      <c r="H35" s="62">
        <f t="shared" si="6"/>
        <v>-180.07548356591315</v>
      </c>
      <c r="I35" s="62">
        <f t="shared" si="6"/>
        <v>69.924516434086854</v>
      </c>
      <c r="J35" s="62">
        <f t="shared" si="6"/>
        <v>319.92451643408685</v>
      </c>
      <c r="K35" s="62">
        <f t="shared" si="6"/>
        <v>569.92451643408685</v>
      </c>
      <c r="L35" s="62">
        <f t="shared" si="6"/>
        <v>819.92451643408685</v>
      </c>
      <c r="M35" s="62">
        <f t="shared" si="6"/>
        <v>1069.9245164340869</v>
      </c>
      <c r="N35" s="62">
        <f t="shared" si="6"/>
        <v>1319.9245164340869</v>
      </c>
      <c r="P35" s="259"/>
      <c r="Q35" s="61">
        <f>Q36-0.5</f>
        <v>5.5</v>
      </c>
      <c r="R35" s="62">
        <f t="shared" si="7"/>
        <v>-157.67184720227669</v>
      </c>
      <c r="S35" s="62">
        <f t="shared" si="7"/>
        <v>92.328152797723305</v>
      </c>
      <c r="T35" s="62">
        <f t="shared" si="7"/>
        <v>342.32815279772331</v>
      </c>
      <c r="U35" s="62">
        <f t="shared" si="7"/>
        <v>592.32815279772331</v>
      </c>
      <c r="V35" s="62">
        <f t="shared" si="7"/>
        <v>842.32815279772331</v>
      </c>
      <c r="W35" s="62">
        <f t="shared" si="7"/>
        <v>1092.3281527977233</v>
      </c>
      <c r="X35" s="62">
        <f t="shared" si="7"/>
        <v>1342.3281527977233</v>
      </c>
      <c r="Y35" s="62">
        <f t="shared" si="7"/>
        <v>1592.3281527977233</v>
      </c>
      <c r="Z35" s="62">
        <f t="shared" si="7"/>
        <v>1842.3281527977233</v>
      </c>
    </row>
    <row r="36" spans="1:26" ht="13.5" customHeight="1" thickBot="1" x14ac:dyDescent="0.3">
      <c r="A36" s="147"/>
      <c r="B36" s="140"/>
      <c r="C36" s="140"/>
      <c r="D36" s="259"/>
      <c r="E36" s="219">
        <f>B35</f>
        <v>6</v>
      </c>
      <c r="F36" s="62">
        <f t="shared" si="6"/>
        <v>-368.73585993542065</v>
      </c>
      <c r="G36" s="62">
        <f t="shared" si="6"/>
        <v>-118.73585993542065</v>
      </c>
      <c r="H36" s="62">
        <f t="shared" si="6"/>
        <v>131.26414006457935</v>
      </c>
      <c r="I36" s="62">
        <f>I$33-($B$33/$E36)</f>
        <v>381.26414006457935</v>
      </c>
      <c r="J36" s="212">
        <f t="shared" si="6"/>
        <v>631.26414006457935</v>
      </c>
      <c r="K36" s="62">
        <f t="shared" si="6"/>
        <v>881.26414006457935</v>
      </c>
      <c r="L36" s="62">
        <f t="shared" si="6"/>
        <v>1131.2641400645794</v>
      </c>
      <c r="M36" s="62">
        <f t="shared" si="6"/>
        <v>1381.2641400645794</v>
      </c>
      <c r="N36" s="62">
        <f t="shared" si="6"/>
        <v>1631.2641400645794</v>
      </c>
      <c r="P36" s="259"/>
      <c r="Q36" s="219">
        <f>E36</f>
        <v>6</v>
      </c>
      <c r="R36" s="62">
        <f t="shared" si="7"/>
        <v>110.1341400645797</v>
      </c>
      <c r="S36" s="62">
        <f t="shared" si="7"/>
        <v>360.1341400645797</v>
      </c>
      <c r="T36" s="62">
        <f t="shared" si="7"/>
        <v>610.1341400645797</v>
      </c>
      <c r="U36" s="62">
        <f t="shared" si="7"/>
        <v>860.1341400645797</v>
      </c>
      <c r="V36" s="62">
        <f t="shared" si="7"/>
        <v>1110.1341400645797</v>
      </c>
      <c r="W36" s="62">
        <f t="shared" si="7"/>
        <v>1360.1341400645797</v>
      </c>
      <c r="X36" s="62">
        <f t="shared" si="7"/>
        <v>1610.1341400645797</v>
      </c>
      <c r="Y36" s="62">
        <f t="shared" si="7"/>
        <v>1860.1341400645797</v>
      </c>
      <c r="Z36" s="62">
        <f t="shared" si="7"/>
        <v>2110.1341400645797</v>
      </c>
    </row>
    <row r="37" spans="1:26" ht="13.5" customHeight="1" thickBot="1" x14ac:dyDescent="0.3">
      <c r="A37" s="147" t="s">
        <v>23</v>
      </c>
      <c r="B37" s="153">
        <f>B4</f>
        <v>4455</v>
      </c>
      <c r="C37" s="140"/>
      <c r="D37" s="259"/>
      <c r="E37" s="61">
        <f>E36+0.5</f>
        <v>6.5</v>
      </c>
      <c r="F37" s="62">
        <f t="shared" si="6"/>
        <v>-105.29463994038815</v>
      </c>
      <c r="G37" s="62">
        <f t="shared" si="6"/>
        <v>144.70536005961185</v>
      </c>
      <c r="H37" s="62">
        <f t="shared" si="6"/>
        <v>394.70536005961185</v>
      </c>
      <c r="I37" s="62">
        <f t="shared" si="6"/>
        <v>644.70536005961185</v>
      </c>
      <c r="J37" s="62">
        <f t="shared" si="6"/>
        <v>894.70536005961185</v>
      </c>
      <c r="K37" s="62">
        <f t="shared" si="6"/>
        <v>1144.7053600596118</v>
      </c>
      <c r="L37" s="62">
        <f t="shared" si="6"/>
        <v>1394.7053600596118</v>
      </c>
      <c r="M37" s="62">
        <f t="shared" si="6"/>
        <v>1644.7053600596118</v>
      </c>
      <c r="N37" s="62">
        <f t="shared" si="6"/>
        <v>1894.7053600596118</v>
      </c>
      <c r="P37" s="259"/>
      <c r="Q37" s="61">
        <f>Q36+0.5</f>
        <v>6.5</v>
      </c>
      <c r="R37" s="62">
        <f t="shared" si="7"/>
        <v>336.73920621345815</v>
      </c>
      <c r="S37" s="62">
        <f t="shared" si="7"/>
        <v>586.73920621345815</v>
      </c>
      <c r="T37" s="62">
        <f t="shared" si="7"/>
        <v>836.73920621345815</v>
      </c>
      <c r="U37" s="62">
        <f t="shared" si="7"/>
        <v>1086.7392062134581</v>
      </c>
      <c r="V37" s="62">
        <f t="shared" si="7"/>
        <v>1336.7392062134581</v>
      </c>
      <c r="W37" s="62">
        <f t="shared" si="7"/>
        <v>1586.7392062134581</v>
      </c>
      <c r="X37" s="62">
        <f t="shared" si="7"/>
        <v>1836.7392062134581</v>
      </c>
      <c r="Y37" s="62">
        <f t="shared" si="7"/>
        <v>2086.7392062134581</v>
      </c>
      <c r="Z37" s="62">
        <f t="shared" si="7"/>
        <v>2336.7392062134581</v>
      </c>
    </row>
    <row r="38" spans="1:26" ht="13.5" customHeight="1" thickBot="1" x14ac:dyDescent="0.3">
      <c r="A38" s="149" t="s">
        <v>24</v>
      </c>
      <c r="B38" s="154">
        <v>420</v>
      </c>
      <c r="C38" s="140"/>
      <c r="D38" s="260"/>
      <c r="E38" s="61">
        <f>E37+0.5</f>
        <v>7</v>
      </c>
      <c r="F38" s="62">
        <f>F$33-($B$33/$E38)</f>
        <v>120.51212005535399</v>
      </c>
      <c r="G38" s="62">
        <f t="shared" si="6"/>
        <v>370.51212005535399</v>
      </c>
      <c r="H38" s="62">
        <f t="shared" si="6"/>
        <v>620.51212005535399</v>
      </c>
      <c r="I38" s="62">
        <f t="shared" si="6"/>
        <v>870.51212005535399</v>
      </c>
      <c r="J38" s="62">
        <f t="shared" si="6"/>
        <v>1120.512120055354</v>
      </c>
      <c r="K38" s="62">
        <f t="shared" si="6"/>
        <v>1370.512120055354</v>
      </c>
      <c r="L38" s="62">
        <f t="shared" si="6"/>
        <v>1620.512120055354</v>
      </c>
      <c r="M38" s="62">
        <f t="shared" si="6"/>
        <v>1870.512120055354</v>
      </c>
      <c r="N38" s="62">
        <f>N$33-($B$33/$E38)</f>
        <v>2120.512120055354</v>
      </c>
      <c r="P38" s="260"/>
      <c r="Q38" s="61">
        <f>Q37+0.5</f>
        <v>7</v>
      </c>
      <c r="R38" s="62">
        <f>R$33-($B$31/$E38)</f>
        <v>530.97212005535403</v>
      </c>
      <c r="S38" s="62">
        <f t="shared" si="7"/>
        <v>780.97212005535403</v>
      </c>
      <c r="T38" s="62">
        <f t="shared" si="7"/>
        <v>1030.972120055354</v>
      </c>
      <c r="U38" s="62">
        <f t="shared" si="7"/>
        <v>1280.972120055354</v>
      </c>
      <c r="V38" s="62">
        <f t="shared" si="7"/>
        <v>1530.972120055354</v>
      </c>
      <c r="W38" s="62">
        <f t="shared" si="7"/>
        <v>1780.972120055354</v>
      </c>
      <c r="X38" s="62">
        <f t="shared" si="7"/>
        <v>2030.972120055354</v>
      </c>
      <c r="Y38" s="62">
        <f t="shared" si="7"/>
        <v>2280.972120055354</v>
      </c>
      <c r="Z38" s="62">
        <f t="shared" si="7"/>
        <v>2530.972120055354</v>
      </c>
    </row>
    <row r="39" spans="1:26" ht="13.5" customHeight="1" x14ac:dyDescent="0.25">
      <c r="A39" s="142" t="s">
        <v>25</v>
      </c>
      <c r="B39" s="155">
        <f>B37-B38</f>
        <v>4035</v>
      </c>
      <c r="C39" s="140"/>
      <c r="D39" s="74"/>
      <c r="E39" s="75"/>
      <c r="F39" s="76"/>
      <c r="G39" s="76"/>
      <c r="H39" s="76"/>
      <c r="I39" s="76"/>
      <c r="J39" s="76"/>
      <c r="K39" s="76"/>
      <c r="L39" s="76"/>
      <c r="P39" s="74"/>
      <c r="Q39" s="75"/>
      <c r="R39" s="76"/>
      <c r="S39" s="76"/>
      <c r="T39" s="76"/>
      <c r="U39" s="76"/>
      <c r="V39" s="76"/>
      <c r="W39" s="76"/>
      <c r="X39" s="76"/>
    </row>
    <row r="40" spans="1:26" ht="13.5" customHeight="1" x14ac:dyDescent="0.25">
      <c r="A40" s="142"/>
      <c r="B40" s="141"/>
      <c r="C40" s="140"/>
      <c r="D40" s="74"/>
      <c r="E40" s="75"/>
      <c r="F40" s="76"/>
      <c r="G40" s="76"/>
      <c r="H40" s="76"/>
      <c r="I40" s="76"/>
      <c r="J40" s="76"/>
      <c r="K40" s="76"/>
      <c r="L40" s="76"/>
      <c r="P40" s="74"/>
      <c r="Q40" s="75"/>
      <c r="R40" s="76"/>
      <c r="S40" s="76"/>
      <c r="T40" s="76"/>
      <c r="U40" s="76"/>
      <c r="V40" s="76"/>
      <c r="W40" s="76"/>
      <c r="X40" s="76"/>
    </row>
    <row r="41" spans="1:26" ht="13.5" customHeight="1" x14ac:dyDescent="0.25">
      <c r="A41" s="142"/>
      <c r="B41" s="141"/>
      <c r="C41" s="140"/>
      <c r="D41" s="74"/>
      <c r="E41" s="75"/>
      <c r="F41" s="76"/>
      <c r="G41" s="76"/>
      <c r="H41" s="76"/>
      <c r="I41" s="76"/>
      <c r="J41" s="76"/>
      <c r="K41" s="76"/>
      <c r="L41" s="76"/>
      <c r="P41" s="74"/>
      <c r="Q41" s="75"/>
      <c r="R41" s="76"/>
      <c r="S41" s="76"/>
      <c r="T41" s="76"/>
      <c r="U41" s="76"/>
      <c r="V41" s="76"/>
      <c r="W41" s="76"/>
      <c r="X41" s="76"/>
    </row>
    <row r="42" spans="1:26" s="55" customFormat="1" ht="13.5" customHeight="1" thickBot="1" x14ac:dyDescent="0.35">
      <c r="A42" s="261"/>
      <c r="B42" s="261"/>
      <c r="C42" s="127"/>
      <c r="D42" s="54"/>
      <c r="E42" s="54"/>
      <c r="F42" s="54"/>
      <c r="G42" s="54"/>
      <c r="H42" s="54"/>
      <c r="I42" s="54"/>
      <c r="J42" s="54"/>
      <c r="K42" s="54"/>
      <c r="L42" s="54"/>
      <c r="M42" s="54"/>
      <c r="N42" s="54"/>
    </row>
    <row r="43" spans="1:26" ht="20.25" customHeight="1" thickBot="1" x14ac:dyDescent="0.3">
      <c r="A43" s="252" t="s">
        <v>27</v>
      </c>
      <c r="B43" s="252"/>
      <c r="C43" s="139"/>
      <c r="D43" s="253" t="s">
        <v>13</v>
      </c>
      <c r="E43" s="254"/>
      <c r="F43" s="254"/>
      <c r="G43" s="254"/>
      <c r="H43" s="254"/>
      <c r="I43" s="254"/>
      <c r="J43" s="254"/>
      <c r="K43" s="254"/>
      <c r="L43" s="254"/>
      <c r="M43" s="254"/>
      <c r="N43" s="255"/>
      <c r="P43" s="253" t="s">
        <v>14</v>
      </c>
      <c r="Q43" s="254"/>
      <c r="R43" s="254"/>
      <c r="S43" s="254"/>
      <c r="T43" s="254"/>
      <c r="U43" s="254"/>
      <c r="V43" s="254"/>
      <c r="W43" s="254"/>
      <c r="X43" s="254"/>
      <c r="Y43" s="254"/>
      <c r="Z43" s="255"/>
    </row>
    <row r="44" spans="1:26" ht="13.5" customHeight="1" thickBot="1" x14ac:dyDescent="0.3">
      <c r="A44" s="147" t="s">
        <v>15</v>
      </c>
      <c r="B44" s="153">
        <f>'W-BT Mielies '!F25</f>
        <v>14978.35111867034</v>
      </c>
      <c r="C44" s="140"/>
      <c r="D44" s="56"/>
      <c r="E44" s="57"/>
      <c r="F44" s="213"/>
      <c r="G44" s="58"/>
      <c r="H44" s="213"/>
      <c r="I44" s="213"/>
      <c r="J44" s="213" t="s">
        <v>16</v>
      </c>
      <c r="K44" s="214"/>
      <c r="L44" s="213"/>
      <c r="M44" s="214"/>
      <c r="N44" s="213"/>
      <c r="P44" s="56"/>
      <c r="Q44" s="57"/>
      <c r="R44" s="213"/>
      <c r="S44" s="58"/>
      <c r="T44" s="213"/>
      <c r="U44" s="213"/>
      <c r="V44" s="213" t="s">
        <v>16</v>
      </c>
      <c r="W44" s="214"/>
      <c r="X44" s="213"/>
      <c r="Y44" s="214"/>
      <c r="Z44" s="213"/>
    </row>
    <row r="45" spans="1:26" ht="13.5" customHeight="1" thickBot="1" x14ac:dyDescent="0.3">
      <c r="A45" s="147" t="s">
        <v>17</v>
      </c>
      <c r="B45" s="154">
        <f>'W-BT Mielies '!F27</f>
        <v>3052.36</v>
      </c>
      <c r="C45" s="140"/>
      <c r="D45" s="253" t="s">
        <v>18</v>
      </c>
      <c r="E45" s="255"/>
      <c r="F45" s="59">
        <f>G45-250</f>
        <v>3455</v>
      </c>
      <c r="G45" s="59">
        <f>H45-250</f>
        <v>3705</v>
      </c>
      <c r="H45" s="59">
        <f>I45-250</f>
        <v>3955</v>
      </c>
      <c r="I45" s="59">
        <f>J45-250</f>
        <v>4205</v>
      </c>
      <c r="J45" s="213">
        <f>B50</f>
        <v>4455</v>
      </c>
      <c r="K45" s="59">
        <f>J45+250</f>
        <v>4705</v>
      </c>
      <c r="L45" s="59">
        <f>K45+250</f>
        <v>4955</v>
      </c>
      <c r="M45" s="59">
        <f>L45+250</f>
        <v>5205</v>
      </c>
      <c r="N45" s="59">
        <f>M45+250</f>
        <v>5455</v>
      </c>
      <c r="P45" s="253" t="s">
        <v>18</v>
      </c>
      <c r="Q45" s="255"/>
      <c r="R45" s="59">
        <f>S45-250</f>
        <v>3455</v>
      </c>
      <c r="S45" s="59">
        <f>T45-250</f>
        <v>3705</v>
      </c>
      <c r="T45" s="59">
        <f>U45-250</f>
        <v>3955</v>
      </c>
      <c r="U45" s="59">
        <f>V45-250</f>
        <v>4205</v>
      </c>
      <c r="V45" s="213">
        <f>J45</f>
        <v>4455</v>
      </c>
      <c r="W45" s="59">
        <f>V45+250</f>
        <v>4705</v>
      </c>
      <c r="X45" s="59">
        <f>W45+250</f>
        <v>4955</v>
      </c>
      <c r="Y45" s="59">
        <f>X45+250</f>
        <v>5205</v>
      </c>
      <c r="Z45" s="59">
        <f>Y45+250</f>
        <v>5455</v>
      </c>
    </row>
    <row r="46" spans="1:26" ht="13.5" customHeight="1" thickBot="1" x14ac:dyDescent="0.3">
      <c r="A46" s="148" t="s">
        <v>19</v>
      </c>
      <c r="B46" s="155">
        <f>B45+B44</f>
        <v>18030.711118670341</v>
      </c>
      <c r="C46" s="141"/>
      <c r="D46" s="256" t="s">
        <v>20</v>
      </c>
      <c r="E46" s="257"/>
      <c r="F46" s="59">
        <f t="shared" ref="F46:N46" si="8">F45-$B$51</f>
        <v>3056</v>
      </c>
      <c r="G46" s="59">
        <f t="shared" si="8"/>
        <v>3306</v>
      </c>
      <c r="H46" s="59">
        <f t="shared" si="8"/>
        <v>3556</v>
      </c>
      <c r="I46" s="59">
        <f t="shared" si="8"/>
        <v>3806</v>
      </c>
      <c r="J46" s="213">
        <f t="shared" si="8"/>
        <v>4056</v>
      </c>
      <c r="K46" s="59">
        <f t="shared" si="8"/>
        <v>4306</v>
      </c>
      <c r="L46" s="59">
        <f t="shared" si="8"/>
        <v>4556</v>
      </c>
      <c r="M46" s="59">
        <f t="shared" si="8"/>
        <v>4806</v>
      </c>
      <c r="N46" s="59">
        <f t="shared" si="8"/>
        <v>5056</v>
      </c>
      <c r="P46" s="256" t="s">
        <v>20</v>
      </c>
      <c r="Q46" s="257"/>
      <c r="R46" s="59">
        <f t="shared" ref="R46:Z46" si="9">R45-$B$51</f>
        <v>3056</v>
      </c>
      <c r="S46" s="59">
        <f t="shared" si="9"/>
        <v>3306</v>
      </c>
      <c r="T46" s="59">
        <f t="shared" si="9"/>
        <v>3556</v>
      </c>
      <c r="U46" s="59">
        <f t="shared" si="9"/>
        <v>3806</v>
      </c>
      <c r="V46" s="213">
        <f t="shared" si="9"/>
        <v>4056</v>
      </c>
      <c r="W46" s="59">
        <f t="shared" si="9"/>
        <v>4306</v>
      </c>
      <c r="X46" s="59">
        <f t="shared" si="9"/>
        <v>4556</v>
      </c>
      <c r="Y46" s="59">
        <f t="shared" si="9"/>
        <v>4806</v>
      </c>
      <c r="Z46" s="59">
        <f t="shared" si="9"/>
        <v>5056</v>
      </c>
    </row>
    <row r="47" spans="1:26" ht="13.5" customHeight="1" thickBot="1" x14ac:dyDescent="0.3">
      <c r="A47" s="147"/>
      <c r="B47" s="140"/>
      <c r="C47" s="140"/>
      <c r="D47" s="258" t="s">
        <v>21</v>
      </c>
      <c r="E47" s="61">
        <f>E48-0.5</f>
        <v>3.5</v>
      </c>
      <c r="F47" s="62">
        <f t="shared" ref="F47:N51" si="10">F$33-($B$46/$E47)</f>
        <v>-2095.6317481915257</v>
      </c>
      <c r="G47" s="62">
        <f t="shared" si="10"/>
        <v>-1845.6317481915257</v>
      </c>
      <c r="H47" s="62">
        <f t="shared" si="10"/>
        <v>-1595.6317481915257</v>
      </c>
      <c r="I47" s="62">
        <f t="shared" si="10"/>
        <v>-1345.6317481915257</v>
      </c>
      <c r="J47" s="62">
        <f t="shared" si="10"/>
        <v>-1095.6317481915257</v>
      </c>
      <c r="K47" s="62">
        <f t="shared" si="10"/>
        <v>-845.63174819152573</v>
      </c>
      <c r="L47" s="62">
        <f t="shared" si="10"/>
        <v>-595.63174819152573</v>
      </c>
      <c r="M47" s="62">
        <f t="shared" si="10"/>
        <v>-345.63174819152573</v>
      </c>
      <c r="N47" s="62">
        <f t="shared" si="10"/>
        <v>-95.63174819152573</v>
      </c>
      <c r="P47" s="258" t="s">
        <v>21</v>
      </c>
      <c r="Q47" s="61">
        <f>Q48-0.5</f>
        <v>3.5</v>
      </c>
      <c r="R47" s="62">
        <f>R$33-($B$44/$E47)</f>
        <v>-1223.5288910486688</v>
      </c>
      <c r="S47" s="62">
        <f t="shared" ref="S47:Z47" si="11">S$33-($B$44/$E47)</f>
        <v>-973.52889104866881</v>
      </c>
      <c r="T47" s="62">
        <f t="shared" si="11"/>
        <v>-723.52889104866881</v>
      </c>
      <c r="U47" s="62">
        <f t="shared" si="11"/>
        <v>-473.52889104866881</v>
      </c>
      <c r="V47" s="62">
        <f t="shared" si="11"/>
        <v>-223.52889104866881</v>
      </c>
      <c r="W47" s="62">
        <f t="shared" si="11"/>
        <v>26.471108951331189</v>
      </c>
      <c r="X47" s="62">
        <f t="shared" si="11"/>
        <v>276.47110895133119</v>
      </c>
      <c r="Y47" s="62">
        <f t="shared" si="11"/>
        <v>526.47110895133119</v>
      </c>
      <c r="Z47" s="62">
        <f t="shared" si="11"/>
        <v>776.47110895133119</v>
      </c>
    </row>
    <row r="48" spans="1:26" ht="13.5" customHeight="1" thickBot="1" x14ac:dyDescent="0.3">
      <c r="A48" s="147" t="s">
        <v>22</v>
      </c>
      <c r="B48" s="218">
        <f>'W-BT Mielies '!F5</f>
        <v>4.5</v>
      </c>
      <c r="C48" s="140"/>
      <c r="D48" s="259"/>
      <c r="E48" s="61">
        <f>E49-0.5</f>
        <v>4</v>
      </c>
      <c r="F48" s="62">
        <f t="shared" si="10"/>
        <v>-1451.6777796675851</v>
      </c>
      <c r="G48" s="62">
        <f t="shared" si="10"/>
        <v>-1201.6777796675851</v>
      </c>
      <c r="H48" s="62">
        <f t="shared" si="10"/>
        <v>-951.67777966758513</v>
      </c>
      <c r="I48" s="62">
        <f t="shared" si="10"/>
        <v>-701.67777966758513</v>
      </c>
      <c r="J48" s="62">
        <f t="shared" si="10"/>
        <v>-451.67777966758513</v>
      </c>
      <c r="K48" s="62">
        <f t="shared" si="10"/>
        <v>-201.67777966758513</v>
      </c>
      <c r="L48" s="62">
        <f t="shared" si="10"/>
        <v>48.322220332414872</v>
      </c>
      <c r="M48" s="62">
        <f t="shared" si="10"/>
        <v>298.32222033241487</v>
      </c>
      <c r="N48" s="62">
        <f t="shared" si="10"/>
        <v>548.32222033241487</v>
      </c>
      <c r="P48" s="259"/>
      <c r="Q48" s="61">
        <f>Q49-0.5</f>
        <v>4</v>
      </c>
      <c r="R48" s="62">
        <f t="shared" ref="R48:Z51" si="12">R$33-($B$44/$E48)</f>
        <v>-688.58777966758498</v>
      </c>
      <c r="S48" s="62">
        <f t="shared" si="12"/>
        <v>-438.58777966758498</v>
      </c>
      <c r="T48" s="62">
        <f t="shared" si="12"/>
        <v>-188.58777966758498</v>
      </c>
      <c r="U48" s="62">
        <f t="shared" si="12"/>
        <v>61.412220332415018</v>
      </c>
      <c r="V48" s="62">
        <f t="shared" si="12"/>
        <v>311.41222033241502</v>
      </c>
      <c r="W48" s="62">
        <f t="shared" si="12"/>
        <v>561.41222033241502</v>
      </c>
      <c r="X48" s="62">
        <f t="shared" si="12"/>
        <v>811.41222033241502</v>
      </c>
      <c r="Y48" s="62">
        <f t="shared" si="12"/>
        <v>1061.412220332415</v>
      </c>
      <c r="Z48" s="62">
        <f t="shared" si="12"/>
        <v>1311.412220332415</v>
      </c>
    </row>
    <row r="49" spans="1:26" ht="13.5" customHeight="1" thickBot="1" x14ac:dyDescent="0.3">
      <c r="A49" s="147"/>
      <c r="B49" s="140"/>
      <c r="C49" s="140"/>
      <c r="D49" s="259"/>
      <c r="E49" s="219">
        <f>B48</f>
        <v>4.5</v>
      </c>
      <c r="F49" s="62">
        <f t="shared" si="10"/>
        <v>-950.82469303785365</v>
      </c>
      <c r="G49" s="62">
        <f t="shared" si="10"/>
        <v>-700.82469303785365</v>
      </c>
      <c r="H49" s="62">
        <f t="shared" si="10"/>
        <v>-450.82469303785365</v>
      </c>
      <c r="I49" s="62">
        <f>I$33-($B$46/$E49)</f>
        <v>-200.82469303785365</v>
      </c>
      <c r="J49" s="62">
        <f>J$33-($B$46/$E49)</f>
        <v>49.175306962146351</v>
      </c>
      <c r="K49" s="62">
        <f t="shared" si="10"/>
        <v>299.17530696214635</v>
      </c>
      <c r="L49" s="62">
        <f t="shared" si="10"/>
        <v>549.17530696214635</v>
      </c>
      <c r="M49" s="62">
        <f t="shared" si="10"/>
        <v>799.17530696214635</v>
      </c>
      <c r="N49" s="62">
        <f t="shared" si="10"/>
        <v>1049.1753069621464</v>
      </c>
      <c r="P49" s="259"/>
      <c r="Q49" s="219">
        <f>E49</f>
        <v>4.5</v>
      </c>
      <c r="R49" s="62">
        <f t="shared" si="12"/>
        <v>-272.5224708156311</v>
      </c>
      <c r="S49" s="62">
        <f t="shared" si="12"/>
        <v>-22.522470815631095</v>
      </c>
      <c r="T49" s="62">
        <f t="shared" si="12"/>
        <v>227.4775291843689</v>
      </c>
      <c r="U49" s="62">
        <f t="shared" si="12"/>
        <v>477.4775291843689</v>
      </c>
      <c r="V49" s="62">
        <f t="shared" si="12"/>
        <v>727.4775291843689</v>
      </c>
      <c r="W49" s="62">
        <f t="shared" si="12"/>
        <v>977.4775291843689</v>
      </c>
      <c r="X49" s="62">
        <f t="shared" si="12"/>
        <v>1227.4775291843689</v>
      </c>
      <c r="Y49" s="62">
        <f t="shared" si="12"/>
        <v>1477.4775291843689</v>
      </c>
      <c r="Z49" s="62">
        <f t="shared" si="12"/>
        <v>1727.4775291843689</v>
      </c>
    </row>
    <row r="50" spans="1:26" ht="13.5" customHeight="1" thickBot="1" x14ac:dyDescent="0.3">
      <c r="A50" s="147" t="s">
        <v>23</v>
      </c>
      <c r="B50" s="153">
        <f>B4</f>
        <v>4455</v>
      </c>
      <c r="C50" s="140"/>
      <c r="D50" s="259"/>
      <c r="E50" s="61">
        <f>E49+0.5</f>
        <v>5</v>
      </c>
      <c r="F50" s="62">
        <f t="shared" si="10"/>
        <v>-550.14222373406801</v>
      </c>
      <c r="G50" s="62">
        <f t="shared" si="10"/>
        <v>-300.14222373406801</v>
      </c>
      <c r="H50" s="62">
        <f t="shared" si="10"/>
        <v>-50.142223734068011</v>
      </c>
      <c r="I50" s="62">
        <f t="shared" si="10"/>
        <v>199.85777626593199</v>
      </c>
      <c r="J50" s="62">
        <f t="shared" si="10"/>
        <v>449.85777626593199</v>
      </c>
      <c r="K50" s="62">
        <f t="shared" si="10"/>
        <v>699.85777626593199</v>
      </c>
      <c r="L50" s="62">
        <f t="shared" si="10"/>
        <v>949.85777626593199</v>
      </c>
      <c r="M50" s="62">
        <f t="shared" si="10"/>
        <v>1199.857776265932</v>
      </c>
      <c r="N50" s="62">
        <f t="shared" si="10"/>
        <v>1449.857776265932</v>
      </c>
      <c r="P50" s="259"/>
      <c r="Q50" s="61">
        <f>Q49+0.5</f>
        <v>5</v>
      </c>
      <c r="R50" s="62">
        <f t="shared" si="12"/>
        <v>60.329776265932196</v>
      </c>
      <c r="S50" s="62">
        <f t="shared" si="12"/>
        <v>310.3297762659322</v>
      </c>
      <c r="T50" s="62">
        <f t="shared" si="12"/>
        <v>560.3297762659322</v>
      </c>
      <c r="U50" s="62">
        <f t="shared" si="12"/>
        <v>810.3297762659322</v>
      </c>
      <c r="V50" s="62">
        <f t="shared" si="12"/>
        <v>1060.3297762659322</v>
      </c>
      <c r="W50" s="62">
        <f t="shared" si="12"/>
        <v>1310.3297762659322</v>
      </c>
      <c r="X50" s="62">
        <f t="shared" si="12"/>
        <v>1560.3297762659322</v>
      </c>
      <c r="Y50" s="62">
        <f t="shared" si="12"/>
        <v>1810.3297762659322</v>
      </c>
      <c r="Z50" s="62">
        <f t="shared" si="12"/>
        <v>2060.3297762659322</v>
      </c>
    </row>
    <row r="51" spans="1:26" ht="13.5" customHeight="1" thickBot="1" x14ac:dyDescent="0.3">
      <c r="A51" s="149" t="s">
        <v>24</v>
      </c>
      <c r="B51" s="154">
        <f>D4</f>
        <v>399</v>
      </c>
      <c r="C51" s="140"/>
      <c r="D51" s="260"/>
      <c r="E51" s="61">
        <f>E50+0.5</f>
        <v>5.5</v>
      </c>
      <c r="F51" s="62">
        <f>F$33-($B$46/$E51)</f>
        <v>-222.31111248551633</v>
      </c>
      <c r="G51" s="62">
        <f t="shared" si="10"/>
        <v>27.688887514483667</v>
      </c>
      <c r="H51" s="62">
        <f t="shared" si="10"/>
        <v>277.68888751448367</v>
      </c>
      <c r="I51" s="62">
        <f t="shared" si="10"/>
        <v>527.68888751448367</v>
      </c>
      <c r="J51" s="62">
        <f t="shared" si="10"/>
        <v>777.68888751448367</v>
      </c>
      <c r="K51" s="62">
        <f t="shared" si="10"/>
        <v>1027.6888875144837</v>
      </c>
      <c r="L51" s="62">
        <f t="shared" si="10"/>
        <v>1277.6888875144837</v>
      </c>
      <c r="M51" s="62">
        <f t="shared" si="10"/>
        <v>1527.6888875144837</v>
      </c>
      <c r="N51" s="62">
        <f>N$33-($B$46/$E51)</f>
        <v>1777.6888875144837</v>
      </c>
      <c r="P51" s="260"/>
      <c r="Q51" s="61">
        <f>Q50+0.5</f>
        <v>5.5</v>
      </c>
      <c r="R51" s="62">
        <f t="shared" si="12"/>
        <v>332.66343296902915</v>
      </c>
      <c r="S51" s="62">
        <f t="shared" si="12"/>
        <v>582.66343296902915</v>
      </c>
      <c r="T51" s="62">
        <f t="shared" si="12"/>
        <v>832.66343296902915</v>
      </c>
      <c r="U51" s="62">
        <f t="shared" si="12"/>
        <v>1082.6634329690291</v>
      </c>
      <c r="V51" s="62">
        <f t="shared" si="12"/>
        <v>1332.6634329690291</v>
      </c>
      <c r="W51" s="62">
        <f t="shared" si="12"/>
        <v>1582.6634329690291</v>
      </c>
      <c r="X51" s="62">
        <f t="shared" si="12"/>
        <v>1832.6634329690291</v>
      </c>
      <c r="Y51" s="62">
        <f t="shared" si="12"/>
        <v>2082.6634329690291</v>
      </c>
      <c r="Z51" s="62">
        <f t="shared" si="12"/>
        <v>2332.6634329690291</v>
      </c>
    </row>
    <row r="52" spans="1:26" ht="13.5" customHeight="1" x14ac:dyDescent="0.25">
      <c r="A52" s="142" t="s">
        <v>25</v>
      </c>
      <c r="B52" s="155">
        <f>B50-B51</f>
        <v>4056</v>
      </c>
      <c r="C52" s="140"/>
      <c r="D52" s="74"/>
      <c r="E52" s="75"/>
      <c r="F52" s="76"/>
      <c r="G52" s="76"/>
      <c r="H52" s="76"/>
      <c r="I52" s="76"/>
      <c r="J52" s="76"/>
      <c r="K52" s="76"/>
      <c r="L52" s="76"/>
      <c r="P52" s="74"/>
      <c r="Q52" s="75"/>
      <c r="R52" s="76"/>
      <c r="S52" s="76"/>
      <c r="T52" s="76"/>
      <c r="U52" s="76"/>
      <c r="V52" s="76"/>
      <c r="W52" s="76"/>
      <c r="X52" s="76"/>
    </row>
    <row r="53" spans="1:26" ht="13.5" customHeight="1" x14ac:dyDescent="0.25">
      <c r="A53" s="142"/>
      <c r="B53" s="141"/>
      <c r="C53" s="140"/>
      <c r="D53" s="74"/>
      <c r="E53" s="75"/>
      <c r="F53" s="76"/>
      <c r="G53" s="76"/>
      <c r="H53" s="76"/>
      <c r="I53" s="76"/>
      <c r="J53" s="76"/>
      <c r="K53" s="76"/>
      <c r="L53" s="76"/>
      <c r="P53" s="74"/>
      <c r="Q53" s="75"/>
      <c r="R53" s="76"/>
      <c r="S53" s="76"/>
      <c r="T53" s="76"/>
      <c r="U53" s="76"/>
      <c r="V53" s="76"/>
      <c r="W53" s="76"/>
      <c r="X53" s="76"/>
    </row>
    <row r="54" spans="1:26" ht="13.5" customHeight="1" x14ac:dyDescent="0.25">
      <c r="A54" s="142"/>
      <c r="B54" s="141"/>
      <c r="C54" s="140"/>
      <c r="D54" s="74"/>
      <c r="E54" s="75"/>
      <c r="F54" s="76"/>
      <c r="G54" s="76"/>
      <c r="H54" s="76"/>
      <c r="I54" s="76"/>
      <c r="J54" s="76"/>
      <c r="K54" s="76"/>
      <c r="L54" s="76"/>
      <c r="P54" s="74"/>
      <c r="Q54" s="75"/>
      <c r="R54" s="76"/>
      <c r="S54" s="76"/>
      <c r="T54" s="76"/>
      <c r="U54" s="76"/>
      <c r="V54" s="76"/>
      <c r="W54" s="76"/>
      <c r="X54" s="76"/>
    </row>
    <row r="55" spans="1:26" ht="13.5" customHeight="1" x14ac:dyDescent="0.25">
      <c r="A55" s="142"/>
      <c r="B55" s="141"/>
      <c r="C55" s="140"/>
      <c r="D55" s="74"/>
      <c r="E55" s="75"/>
      <c r="F55" s="76"/>
      <c r="G55" s="76"/>
      <c r="H55" s="76"/>
      <c r="I55" s="76"/>
      <c r="J55" s="76"/>
      <c r="K55" s="76"/>
      <c r="L55" s="76"/>
      <c r="P55" s="74"/>
      <c r="Q55" s="75"/>
      <c r="R55" s="76"/>
      <c r="S55" s="76"/>
      <c r="T55" s="76"/>
      <c r="U55" s="76"/>
      <c r="V55" s="76"/>
      <c r="W55" s="76"/>
      <c r="X55" s="76"/>
    </row>
    <row r="56" spans="1:26" ht="13.5" customHeight="1" thickBot="1" x14ac:dyDescent="0.3">
      <c r="A56" s="261"/>
      <c r="B56" s="261"/>
      <c r="D56" s="74"/>
      <c r="E56" s="75"/>
      <c r="F56" s="76"/>
      <c r="G56" s="76"/>
      <c r="H56" s="76"/>
      <c r="I56" s="76"/>
      <c r="J56" s="76"/>
      <c r="K56" s="76"/>
      <c r="L56" s="76"/>
      <c r="P56" s="74"/>
      <c r="Q56" s="75"/>
      <c r="R56" s="76"/>
      <c r="S56" s="76"/>
      <c r="T56" s="76"/>
      <c r="U56" s="76"/>
      <c r="V56" s="76"/>
      <c r="W56" s="76"/>
      <c r="X56" s="76"/>
    </row>
    <row r="57" spans="1:26" ht="18.75" customHeight="1" thickBot="1" x14ac:dyDescent="0.3">
      <c r="A57" s="252" t="s">
        <v>28</v>
      </c>
      <c r="B57" s="252"/>
      <c r="C57" s="139"/>
      <c r="D57" s="253" t="s">
        <v>29</v>
      </c>
      <c r="E57" s="254"/>
      <c r="F57" s="254"/>
      <c r="G57" s="254"/>
      <c r="H57" s="254"/>
      <c r="I57" s="254"/>
      <c r="J57" s="254"/>
      <c r="K57" s="254"/>
      <c r="L57" s="254"/>
      <c r="M57" s="254"/>
      <c r="N57" s="255"/>
      <c r="P57" s="253" t="s">
        <v>30</v>
      </c>
      <c r="Q57" s="254"/>
      <c r="R57" s="254"/>
      <c r="S57" s="254"/>
      <c r="T57" s="254"/>
      <c r="U57" s="254"/>
      <c r="V57" s="254"/>
      <c r="W57" s="254"/>
      <c r="X57" s="254"/>
      <c r="Y57" s="254"/>
      <c r="Z57" s="255"/>
    </row>
    <row r="58" spans="1:26" ht="13.5" customHeight="1" thickBot="1" x14ac:dyDescent="0.3">
      <c r="A58" s="147" t="s">
        <v>15</v>
      </c>
      <c r="B58" s="153">
        <f>Sonneblom!F25</f>
        <v>10407.102264653946</v>
      </c>
      <c r="C58" s="140"/>
      <c r="D58" s="56"/>
      <c r="E58" s="57"/>
      <c r="F58" s="213"/>
      <c r="G58" s="58"/>
      <c r="H58" s="213"/>
      <c r="I58" s="213"/>
      <c r="J58" s="213" t="s">
        <v>16</v>
      </c>
      <c r="K58" s="214"/>
      <c r="L58" s="213"/>
      <c r="M58" s="214"/>
      <c r="N58" s="213"/>
      <c r="P58" s="56"/>
      <c r="Q58" s="57"/>
      <c r="R58" s="213"/>
      <c r="S58" s="58"/>
      <c r="T58" s="213"/>
      <c r="U58" s="213"/>
      <c r="V58" s="213" t="s">
        <v>16</v>
      </c>
      <c r="W58" s="214"/>
      <c r="X58" s="213"/>
      <c r="Y58" s="214"/>
      <c r="Z58" s="213"/>
    </row>
    <row r="59" spans="1:26" ht="13.5" customHeight="1" thickBot="1" x14ac:dyDescent="0.3">
      <c r="A59" s="147" t="s">
        <v>17</v>
      </c>
      <c r="B59" s="154">
        <f>Sonneblom!F27</f>
        <v>2980.94</v>
      </c>
      <c r="C59" s="140"/>
      <c r="D59" s="253" t="s">
        <v>18</v>
      </c>
      <c r="E59" s="255"/>
      <c r="F59" s="77">
        <f>G59-200</f>
        <v>8800</v>
      </c>
      <c r="G59" s="77">
        <f>H59-200</f>
        <v>9000</v>
      </c>
      <c r="H59" s="77">
        <f>I59-200</f>
        <v>9200</v>
      </c>
      <c r="I59" s="78">
        <f>J59-200</f>
        <v>9400</v>
      </c>
      <c r="J59" s="220">
        <f>B64</f>
        <v>9600</v>
      </c>
      <c r="K59" s="78">
        <f>J59+200</f>
        <v>9800</v>
      </c>
      <c r="L59" s="78">
        <f>K59+200</f>
        <v>10000</v>
      </c>
      <c r="M59" s="78">
        <f>L59+200</f>
        <v>10200</v>
      </c>
      <c r="N59" s="78">
        <f>M59+200</f>
        <v>10400</v>
      </c>
      <c r="P59" s="253" t="s">
        <v>18</v>
      </c>
      <c r="Q59" s="255"/>
      <c r="R59" s="77">
        <f>S59-200</f>
        <v>8800</v>
      </c>
      <c r="S59" s="77">
        <f>T59-200</f>
        <v>9000</v>
      </c>
      <c r="T59" s="77">
        <f>U59-200</f>
        <v>9200</v>
      </c>
      <c r="U59" s="78">
        <f>V59-200</f>
        <v>9400</v>
      </c>
      <c r="V59" s="220">
        <f>J59</f>
        <v>9600</v>
      </c>
      <c r="W59" s="78">
        <f>V59+200</f>
        <v>9800</v>
      </c>
      <c r="X59" s="78">
        <f>W59+200</f>
        <v>10000</v>
      </c>
      <c r="Y59" s="78">
        <f>X59+200</f>
        <v>10200</v>
      </c>
      <c r="Z59" s="78">
        <f>Y59+200</f>
        <v>10400</v>
      </c>
    </row>
    <row r="60" spans="1:26" ht="13.5" customHeight="1" thickBot="1" x14ac:dyDescent="0.3">
      <c r="A60" s="148" t="s">
        <v>19</v>
      </c>
      <c r="B60" s="155">
        <f>B59+B58</f>
        <v>13388.042264653946</v>
      </c>
      <c r="C60" s="141"/>
      <c r="D60" s="256" t="s">
        <v>20</v>
      </c>
      <c r="E60" s="257"/>
      <c r="F60" s="79">
        <f t="shared" ref="F60:N60" si="13">F59-$B$65</f>
        <v>8076</v>
      </c>
      <c r="G60" s="79">
        <f t="shared" si="13"/>
        <v>8276</v>
      </c>
      <c r="H60" s="79">
        <f t="shared" si="13"/>
        <v>8476</v>
      </c>
      <c r="I60" s="79">
        <f t="shared" si="13"/>
        <v>8676</v>
      </c>
      <c r="J60" s="221">
        <f t="shared" si="13"/>
        <v>8876</v>
      </c>
      <c r="K60" s="79">
        <f t="shared" si="13"/>
        <v>9076</v>
      </c>
      <c r="L60" s="79">
        <f t="shared" si="13"/>
        <v>9276</v>
      </c>
      <c r="M60" s="79">
        <f t="shared" si="13"/>
        <v>9476</v>
      </c>
      <c r="N60" s="79">
        <f t="shared" si="13"/>
        <v>9676</v>
      </c>
      <c r="P60" s="256" t="s">
        <v>20</v>
      </c>
      <c r="Q60" s="257"/>
      <c r="R60" s="79">
        <f t="shared" ref="R60:Z60" si="14">R59-$B$65</f>
        <v>8076</v>
      </c>
      <c r="S60" s="79">
        <f t="shared" si="14"/>
        <v>8276</v>
      </c>
      <c r="T60" s="79">
        <f t="shared" si="14"/>
        <v>8476</v>
      </c>
      <c r="U60" s="79">
        <f t="shared" si="14"/>
        <v>8676</v>
      </c>
      <c r="V60" s="221">
        <f t="shared" si="14"/>
        <v>8876</v>
      </c>
      <c r="W60" s="79">
        <f t="shared" si="14"/>
        <v>9076</v>
      </c>
      <c r="X60" s="79">
        <f t="shared" si="14"/>
        <v>9276</v>
      </c>
      <c r="Y60" s="79">
        <f t="shared" si="14"/>
        <v>9476</v>
      </c>
      <c r="Z60" s="79">
        <f t="shared" si="14"/>
        <v>9676</v>
      </c>
    </row>
    <row r="61" spans="1:26" ht="13.5" customHeight="1" thickBot="1" x14ac:dyDescent="0.3">
      <c r="A61" s="147"/>
      <c r="B61" s="140"/>
      <c r="C61" s="140"/>
      <c r="D61" s="258" t="s">
        <v>21</v>
      </c>
      <c r="E61" s="61">
        <f>E62-0.25</f>
        <v>1</v>
      </c>
      <c r="F61" s="62">
        <f t="shared" ref="F61:N65" si="15">F$60-($B$60/$E61)</f>
        <v>-5312.0422646539464</v>
      </c>
      <c r="G61" s="62">
        <f t="shared" si="15"/>
        <v>-5112.0422646539464</v>
      </c>
      <c r="H61" s="62">
        <f t="shared" si="15"/>
        <v>-4912.0422646539464</v>
      </c>
      <c r="I61" s="62">
        <f t="shared" si="15"/>
        <v>-4712.0422646539464</v>
      </c>
      <c r="J61" s="62">
        <f t="shared" si="15"/>
        <v>-4512.0422646539464</v>
      </c>
      <c r="K61" s="62">
        <f t="shared" si="15"/>
        <v>-4312.0422646539464</v>
      </c>
      <c r="L61" s="62">
        <f t="shared" si="15"/>
        <v>-4112.0422646539464</v>
      </c>
      <c r="M61" s="62">
        <f t="shared" si="15"/>
        <v>-3912.0422646539464</v>
      </c>
      <c r="N61" s="62">
        <f t="shared" si="15"/>
        <v>-3712.0422646539464</v>
      </c>
      <c r="P61" s="258" t="s">
        <v>21</v>
      </c>
      <c r="Q61" s="61">
        <f>Q62-0.25</f>
        <v>1</v>
      </c>
      <c r="R61" s="62">
        <f t="shared" ref="R61:Z65" si="16">R$60-($B$58/$E61)</f>
        <v>-2331.1022646539459</v>
      </c>
      <c r="S61" s="62">
        <f t="shared" si="16"/>
        <v>-2131.1022646539459</v>
      </c>
      <c r="T61" s="62">
        <f t="shared" si="16"/>
        <v>-1931.1022646539459</v>
      </c>
      <c r="U61" s="62">
        <f t="shared" si="16"/>
        <v>-1731.1022646539459</v>
      </c>
      <c r="V61" s="62">
        <f t="shared" si="16"/>
        <v>-1531.1022646539459</v>
      </c>
      <c r="W61" s="62">
        <f t="shared" si="16"/>
        <v>-1331.1022646539459</v>
      </c>
      <c r="X61" s="62">
        <f t="shared" si="16"/>
        <v>-1131.1022646539459</v>
      </c>
      <c r="Y61" s="62">
        <f t="shared" si="16"/>
        <v>-931.10226465394589</v>
      </c>
      <c r="Z61" s="62">
        <f t="shared" si="16"/>
        <v>-731.10226465394589</v>
      </c>
    </row>
    <row r="62" spans="1:26" ht="13.5" customHeight="1" thickBot="1" x14ac:dyDescent="0.3">
      <c r="A62" s="147" t="s">
        <v>22</v>
      </c>
      <c r="B62" s="218">
        <v>1.5</v>
      </c>
      <c r="C62" s="140"/>
      <c r="D62" s="259"/>
      <c r="E62" s="61">
        <f>E63-0.25</f>
        <v>1.25</v>
      </c>
      <c r="F62" s="62">
        <f t="shared" si="15"/>
        <v>-2634.4338117231564</v>
      </c>
      <c r="G62" s="62">
        <f t="shared" si="15"/>
        <v>-2434.4338117231564</v>
      </c>
      <c r="H62" s="62">
        <f t="shared" si="15"/>
        <v>-2234.4338117231564</v>
      </c>
      <c r="I62" s="62">
        <f t="shared" si="15"/>
        <v>-2034.4338117231564</v>
      </c>
      <c r="J62" s="62">
        <f t="shared" si="15"/>
        <v>-1834.4338117231564</v>
      </c>
      <c r="K62" s="62">
        <f t="shared" si="15"/>
        <v>-1634.4338117231564</v>
      </c>
      <c r="L62" s="62">
        <f t="shared" si="15"/>
        <v>-1434.4338117231564</v>
      </c>
      <c r="M62" s="62">
        <f t="shared" si="15"/>
        <v>-1234.4338117231564</v>
      </c>
      <c r="N62" s="62">
        <f t="shared" si="15"/>
        <v>-1034.4338117231564</v>
      </c>
      <c r="P62" s="259"/>
      <c r="Q62" s="61">
        <f>Q63-0.25</f>
        <v>1.25</v>
      </c>
      <c r="R62" s="62">
        <f t="shared" si="16"/>
        <v>-249.68181172315599</v>
      </c>
      <c r="S62" s="62">
        <f t="shared" si="16"/>
        <v>-49.681811723155988</v>
      </c>
      <c r="T62" s="62">
        <f t="shared" si="16"/>
        <v>150.31818827684401</v>
      </c>
      <c r="U62" s="62">
        <f t="shared" si="16"/>
        <v>350.31818827684401</v>
      </c>
      <c r="V62" s="62">
        <f t="shared" si="16"/>
        <v>550.31818827684401</v>
      </c>
      <c r="W62" s="62">
        <f t="shared" si="16"/>
        <v>750.31818827684401</v>
      </c>
      <c r="X62" s="62">
        <f t="shared" si="16"/>
        <v>950.31818827684401</v>
      </c>
      <c r="Y62" s="62">
        <f t="shared" si="16"/>
        <v>1150.318188276844</v>
      </c>
      <c r="Z62" s="62">
        <f t="shared" si="16"/>
        <v>1350.318188276844</v>
      </c>
    </row>
    <row r="63" spans="1:26" ht="13.5" customHeight="1" thickBot="1" x14ac:dyDescent="0.3">
      <c r="A63" s="147"/>
      <c r="B63" s="140"/>
      <c r="C63" s="140"/>
      <c r="D63" s="259"/>
      <c r="E63" s="219">
        <f>B62</f>
        <v>1.5</v>
      </c>
      <c r="F63" s="62">
        <f t="shared" si="15"/>
        <v>-849.36150976929821</v>
      </c>
      <c r="G63" s="62">
        <f t="shared" si="15"/>
        <v>-649.36150976929821</v>
      </c>
      <c r="H63" s="62">
        <f t="shared" si="15"/>
        <v>-449.36150976929821</v>
      </c>
      <c r="I63" s="62">
        <f t="shared" si="15"/>
        <v>-249.36150976929821</v>
      </c>
      <c r="J63" s="212">
        <f t="shared" si="15"/>
        <v>-49.361509769298209</v>
      </c>
      <c r="K63" s="62">
        <f t="shared" si="15"/>
        <v>150.63849023070179</v>
      </c>
      <c r="L63" s="62">
        <f>L$60-($B$60/$E63)</f>
        <v>350.63849023070179</v>
      </c>
      <c r="M63" s="62">
        <f t="shared" si="15"/>
        <v>550.63849023070179</v>
      </c>
      <c r="N63" s="62">
        <f t="shared" si="15"/>
        <v>750.63849023070179</v>
      </c>
      <c r="P63" s="259"/>
      <c r="Q63" s="219">
        <f>E63</f>
        <v>1.5</v>
      </c>
      <c r="R63" s="62">
        <f t="shared" si="16"/>
        <v>1137.9318235640358</v>
      </c>
      <c r="S63" s="62">
        <f t="shared" si="16"/>
        <v>1337.9318235640358</v>
      </c>
      <c r="T63" s="62">
        <f t="shared" si="16"/>
        <v>1537.9318235640358</v>
      </c>
      <c r="U63" s="62">
        <f t="shared" si="16"/>
        <v>1737.9318235640358</v>
      </c>
      <c r="V63" s="62">
        <f t="shared" si="16"/>
        <v>1937.9318235640358</v>
      </c>
      <c r="W63" s="62">
        <f t="shared" si="16"/>
        <v>2137.9318235640358</v>
      </c>
      <c r="X63" s="62">
        <f t="shared" si="16"/>
        <v>2337.9318235640358</v>
      </c>
      <c r="Y63" s="62">
        <f t="shared" si="16"/>
        <v>2537.9318235640358</v>
      </c>
      <c r="Z63" s="62">
        <f t="shared" si="16"/>
        <v>2737.9318235640358</v>
      </c>
    </row>
    <row r="64" spans="1:26" ht="13.5" customHeight="1" thickBot="1" x14ac:dyDescent="0.3">
      <c r="A64" s="147" t="s">
        <v>31</v>
      </c>
      <c r="B64" s="153">
        <f>B5</f>
        <v>9600</v>
      </c>
      <c r="C64" s="140"/>
      <c r="D64" s="259"/>
      <c r="E64" s="61">
        <f>E63+0.25</f>
        <v>1.75</v>
      </c>
      <c r="F64" s="62">
        <f t="shared" si="15"/>
        <v>425.69013448345959</v>
      </c>
      <c r="G64" s="62">
        <f t="shared" si="15"/>
        <v>625.69013448345959</v>
      </c>
      <c r="H64" s="62">
        <f t="shared" si="15"/>
        <v>825.69013448345959</v>
      </c>
      <c r="I64" s="62">
        <f t="shared" si="15"/>
        <v>1025.6901344834596</v>
      </c>
      <c r="J64" s="62">
        <f t="shared" si="15"/>
        <v>1225.6901344834596</v>
      </c>
      <c r="K64" s="62">
        <f t="shared" si="15"/>
        <v>1425.6901344834596</v>
      </c>
      <c r="L64" s="62">
        <f t="shared" si="15"/>
        <v>1625.6901344834596</v>
      </c>
      <c r="M64" s="62">
        <f t="shared" si="15"/>
        <v>1825.6901344834596</v>
      </c>
      <c r="N64" s="62">
        <f t="shared" si="15"/>
        <v>2025.6901344834596</v>
      </c>
      <c r="P64" s="259"/>
      <c r="Q64" s="61">
        <f>Q63+0.25</f>
        <v>1.75</v>
      </c>
      <c r="R64" s="62">
        <f t="shared" si="16"/>
        <v>2129.0844201977452</v>
      </c>
      <c r="S64" s="62">
        <f t="shared" si="16"/>
        <v>2329.0844201977452</v>
      </c>
      <c r="T64" s="62">
        <f t="shared" si="16"/>
        <v>2529.0844201977452</v>
      </c>
      <c r="U64" s="62">
        <f t="shared" si="16"/>
        <v>2729.0844201977452</v>
      </c>
      <c r="V64" s="62">
        <f t="shared" si="16"/>
        <v>2929.0844201977452</v>
      </c>
      <c r="W64" s="62">
        <f t="shared" si="16"/>
        <v>3129.0844201977452</v>
      </c>
      <c r="X64" s="62">
        <f t="shared" si="16"/>
        <v>3329.0844201977452</v>
      </c>
      <c r="Y64" s="62">
        <f t="shared" si="16"/>
        <v>3529.0844201977452</v>
      </c>
      <c r="Z64" s="62">
        <f t="shared" si="16"/>
        <v>3729.0844201977452</v>
      </c>
    </row>
    <row r="65" spans="1:26" ht="13.5" customHeight="1" thickBot="1" x14ac:dyDescent="0.3">
      <c r="A65" s="149" t="s">
        <v>24</v>
      </c>
      <c r="B65" s="154">
        <f>D5</f>
        <v>724</v>
      </c>
      <c r="C65" s="140"/>
      <c r="D65" s="260"/>
      <c r="E65" s="61">
        <f>E64+0.25</f>
        <v>2</v>
      </c>
      <c r="F65" s="62">
        <f>F$60-($B$60/$E65)</f>
        <v>1381.9788676730268</v>
      </c>
      <c r="G65" s="62">
        <f t="shared" si="15"/>
        <v>1581.9788676730268</v>
      </c>
      <c r="H65" s="62">
        <f t="shared" si="15"/>
        <v>1781.9788676730268</v>
      </c>
      <c r="I65" s="62">
        <f t="shared" si="15"/>
        <v>1981.9788676730268</v>
      </c>
      <c r="J65" s="62">
        <f t="shared" si="15"/>
        <v>2181.9788676730268</v>
      </c>
      <c r="K65" s="62">
        <f t="shared" si="15"/>
        <v>2381.9788676730268</v>
      </c>
      <c r="L65" s="62">
        <f t="shared" si="15"/>
        <v>2581.9788676730268</v>
      </c>
      <c r="M65" s="62">
        <f t="shared" si="15"/>
        <v>2781.9788676730268</v>
      </c>
      <c r="N65" s="62">
        <f>N$60-($B$60/$E65)</f>
        <v>2981.9788676730268</v>
      </c>
      <c r="P65" s="260"/>
      <c r="Q65" s="61">
        <f>Q64+0.25</f>
        <v>2</v>
      </c>
      <c r="R65" s="62">
        <f>R$60-($B$58/$E65)</f>
        <v>2872.4488676730271</v>
      </c>
      <c r="S65" s="62">
        <f t="shared" si="16"/>
        <v>3072.4488676730271</v>
      </c>
      <c r="T65" s="62">
        <f t="shared" si="16"/>
        <v>3272.4488676730271</v>
      </c>
      <c r="U65" s="62">
        <f t="shared" si="16"/>
        <v>3472.4488676730271</v>
      </c>
      <c r="V65" s="62">
        <f t="shared" si="16"/>
        <v>3672.4488676730271</v>
      </c>
      <c r="W65" s="62">
        <f t="shared" si="16"/>
        <v>3872.4488676730271</v>
      </c>
      <c r="X65" s="62">
        <f t="shared" si="16"/>
        <v>4072.4488676730271</v>
      </c>
      <c r="Y65" s="62">
        <f t="shared" si="16"/>
        <v>4272.4488676730271</v>
      </c>
      <c r="Z65" s="62">
        <f t="shared" si="16"/>
        <v>4472.4488676730271</v>
      </c>
    </row>
    <row r="66" spans="1:26" ht="13.5" customHeight="1" x14ac:dyDescent="0.25">
      <c r="A66" s="142" t="s">
        <v>25</v>
      </c>
      <c r="B66" s="155">
        <f>B64-B65</f>
        <v>8876</v>
      </c>
      <c r="C66" s="140"/>
      <c r="D66" s="74"/>
      <c r="E66" s="75"/>
      <c r="F66" s="76"/>
      <c r="G66" s="76"/>
      <c r="H66" s="76"/>
      <c r="I66" s="76"/>
      <c r="J66" s="76"/>
      <c r="K66" s="76"/>
      <c r="L66" s="76"/>
      <c r="P66" s="74"/>
      <c r="Q66" s="75"/>
      <c r="R66" s="76"/>
      <c r="S66" s="76"/>
      <c r="T66" s="76"/>
      <c r="U66" s="76"/>
      <c r="V66" s="76"/>
      <c r="W66" s="76"/>
      <c r="X66" s="76"/>
    </row>
    <row r="67" spans="1:26" ht="13.5" customHeight="1" x14ac:dyDescent="0.25">
      <c r="A67" s="142"/>
      <c r="B67" s="141"/>
      <c r="C67" s="140"/>
      <c r="D67" s="74"/>
      <c r="E67" s="75"/>
      <c r="F67" s="76"/>
      <c r="G67" s="76"/>
      <c r="H67" s="76"/>
      <c r="I67" s="76"/>
      <c r="J67" s="76"/>
      <c r="K67" s="76"/>
      <c r="L67" s="76"/>
      <c r="P67" s="74"/>
      <c r="Q67" s="75"/>
      <c r="R67" s="76"/>
      <c r="S67" s="76"/>
      <c r="T67" s="76"/>
      <c r="U67" s="76"/>
      <c r="V67" s="76"/>
      <c r="W67" s="76"/>
      <c r="X67" s="76"/>
    </row>
    <row r="68" spans="1:26" ht="13.5" customHeight="1" x14ac:dyDescent="0.25">
      <c r="D68" s="74"/>
      <c r="E68" s="75"/>
      <c r="F68" s="76"/>
      <c r="G68" s="76"/>
      <c r="H68" s="76"/>
      <c r="I68" s="76"/>
      <c r="J68" s="76"/>
      <c r="K68" s="76"/>
      <c r="L68" s="76"/>
      <c r="P68" s="74"/>
      <c r="Q68" s="75"/>
      <c r="R68" s="76"/>
      <c r="S68" s="76"/>
      <c r="T68" s="76"/>
      <c r="U68" s="76"/>
      <c r="V68" s="76"/>
      <c r="W68" s="76"/>
      <c r="X68" s="76"/>
    </row>
    <row r="69" spans="1:26" ht="13.5" customHeight="1" thickBot="1" x14ac:dyDescent="0.3">
      <c r="A69" s="261"/>
      <c r="B69" s="261"/>
    </row>
    <row r="70" spans="1:26" ht="19.5" customHeight="1" thickBot="1" x14ac:dyDescent="0.3">
      <c r="A70" s="252" t="s">
        <v>32</v>
      </c>
      <c r="B70" s="252"/>
      <c r="C70" s="139"/>
      <c r="D70" s="253" t="s">
        <v>33</v>
      </c>
      <c r="E70" s="254"/>
      <c r="F70" s="254"/>
      <c r="G70" s="254"/>
      <c r="H70" s="254"/>
      <c r="I70" s="254"/>
      <c r="J70" s="254"/>
      <c r="K70" s="254"/>
      <c r="L70" s="254"/>
      <c r="M70" s="254"/>
      <c r="N70" s="255"/>
      <c r="P70" s="253" t="s">
        <v>34</v>
      </c>
      <c r="Q70" s="254"/>
      <c r="R70" s="254"/>
      <c r="S70" s="254"/>
      <c r="T70" s="254"/>
      <c r="U70" s="254"/>
      <c r="V70" s="254"/>
      <c r="W70" s="254"/>
      <c r="X70" s="254"/>
      <c r="Y70" s="254"/>
      <c r="Z70" s="255"/>
    </row>
    <row r="71" spans="1:26" ht="13.5" customHeight="1" thickBot="1" x14ac:dyDescent="0.3">
      <c r="A71" s="147" t="s">
        <v>15</v>
      </c>
      <c r="B71" s="153">
        <f>Sojabone!G25</f>
        <v>13153.531182540522</v>
      </c>
      <c r="C71" s="143"/>
      <c r="D71" s="56"/>
      <c r="E71" s="57"/>
      <c r="F71" s="213"/>
      <c r="G71" s="58"/>
      <c r="H71" s="213"/>
      <c r="I71" s="213"/>
      <c r="J71" s="213" t="s">
        <v>35</v>
      </c>
      <c r="K71" s="214"/>
      <c r="L71" s="213"/>
      <c r="M71" s="214"/>
      <c r="N71" s="213"/>
      <c r="P71" s="56"/>
      <c r="Q71" s="57"/>
      <c r="R71" s="213"/>
      <c r="S71" s="58"/>
      <c r="T71" s="213"/>
      <c r="U71" s="213"/>
      <c r="V71" s="213" t="s">
        <v>35</v>
      </c>
      <c r="W71" s="214"/>
      <c r="X71" s="213"/>
      <c r="Y71" s="214"/>
      <c r="Z71" s="213"/>
    </row>
    <row r="72" spans="1:26" ht="13.5" customHeight="1" thickBot="1" x14ac:dyDescent="0.3">
      <c r="A72" s="147" t="s">
        <v>17</v>
      </c>
      <c r="B72" s="154">
        <f>'Crop Comparison'!F30</f>
        <v>2477.4699999999998</v>
      </c>
      <c r="C72" s="143"/>
      <c r="D72" s="253" t="s">
        <v>18</v>
      </c>
      <c r="E72" s="255"/>
      <c r="F72" s="59">
        <f>G72-200</f>
        <v>6600</v>
      </c>
      <c r="G72" s="59">
        <f>H72-200</f>
        <v>6800</v>
      </c>
      <c r="H72" s="59">
        <f>I72-200</f>
        <v>7000</v>
      </c>
      <c r="I72" s="59">
        <f>J72-200</f>
        <v>7200</v>
      </c>
      <c r="J72" s="213">
        <f>B77</f>
        <v>7400</v>
      </c>
      <c r="K72" s="59">
        <f>J72+200</f>
        <v>7600</v>
      </c>
      <c r="L72" s="59">
        <f>K72+200</f>
        <v>7800</v>
      </c>
      <c r="M72" s="59">
        <f>L72+200</f>
        <v>8000</v>
      </c>
      <c r="N72" s="59">
        <f>M72+200</f>
        <v>8200</v>
      </c>
      <c r="P72" s="253" t="s">
        <v>18</v>
      </c>
      <c r="Q72" s="255"/>
      <c r="R72" s="59">
        <f>S72-200</f>
        <v>6600</v>
      </c>
      <c r="S72" s="59">
        <f>T72-200</f>
        <v>6800</v>
      </c>
      <c r="T72" s="59">
        <f>U72-200</f>
        <v>7000</v>
      </c>
      <c r="U72" s="59">
        <f>V72-200</f>
        <v>7200</v>
      </c>
      <c r="V72" s="213">
        <f>J72</f>
        <v>7400</v>
      </c>
      <c r="W72" s="59">
        <f>V72+200</f>
        <v>7600</v>
      </c>
      <c r="X72" s="59">
        <f>W72+200</f>
        <v>7800</v>
      </c>
      <c r="Y72" s="59">
        <f>X72+200</f>
        <v>8000</v>
      </c>
      <c r="Z72" s="59">
        <f>Y72+200</f>
        <v>8200</v>
      </c>
    </row>
    <row r="73" spans="1:26" ht="13.5" customHeight="1" thickBot="1" x14ac:dyDescent="0.3">
      <c r="A73" s="148" t="s">
        <v>19</v>
      </c>
      <c r="B73" s="155">
        <f>B72+B71</f>
        <v>15631.001182540522</v>
      </c>
      <c r="C73" s="132"/>
      <c r="D73" s="256" t="s">
        <v>20</v>
      </c>
      <c r="E73" s="257"/>
      <c r="F73" s="80">
        <f t="shared" ref="F73:N73" si="17">F72-$B$78</f>
        <v>6231</v>
      </c>
      <c r="G73" s="60">
        <f t="shared" si="17"/>
        <v>6431</v>
      </c>
      <c r="H73" s="60">
        <f t="shared" si="17"/>
        <v>6631</v>
      </c>
      <c r="I73" s="60">
        <f t="shared" si="17"/>
        <v>6831</v>
      </c>
      <c r="J73" s="216">
        <f>J72-$B$78</f>
        <v>7031</v>
      </c>
      <c r="K73" s="60">
        <f t="shared" si="17"/>
        <v>7231</v>
      </c>
      <c r="L73" s="60">
        <f t="shared" si="17"/>
        <v>7431</v>
      </c>
      <c r="M73" s="60">
        <f t="shared" si="17"/>
        <v>7631</v>
      </c>
      <c r="N73" s="60">
        <f t="shared" si="17"/>
        <v>7831</v>
      </c>
      <c r="P73" s="256" t="s">
        <v>20</v>
      </c>
      <c r="Q73" s="257"/>
      <c r="R73" s="60">
        <f t="shared" ref="R73:Z73" si="18">R72-$B$78</f>
        <v>6231</v>
      </c>
      <c r="S73" s="60">
        <f t="shared" si="18"/>
        <v>6431</v>
      </c>
      <c r="T73" s="60">
        <f t="shared" si="18"/>
        <v>6631</v>
      </c>
      <c r="U73" s="60">
        <f t="shared" si="18"/>
        <v>6831</v>
      </c>
      <c r="V73" s="217">
        <f t="shared" si="18"/>
        <v>7031</v>
      </c>
      <c r="W73" s="60">
        <f t="shared" si="18"/>
        <v>7231</v>
      </c>
      <c r="X73" s="60">
        <f t="shared" si="18"/>
        <v>7431</v>
      </c>
      <c r="Y73" s="60">
        <f t="shared" si="18"/>
        <v>7631</v>
      </c>
      <c r="Z73" s="60">
        <f t="shared" si="18"/>
        <v>7831</v>
      </c>
    </row>
    <row r="74" spans="1:26" ht="13.5" customHeight="1" thickBot="1" x14ac:dyDescent="0.3">
      <c r="A74" s="147"/>
      <c r="B74" s="140"/>
      <c r="C74" s="144"/>
      <c r="D74" s="258" t="s">
        <v>21</v>
      </c>
      <c r="E74" s="61">
        <f>E75-0.25</f>
        <v>1.5</v>
      </c>
      <c r="F74" s="62">
        <f>F$73-($B$73/$E74)</f>
        <v>-4189.6674550270145</v>
      </c>
      <c r="G74" s="63">
        <f t="shared" ref="F74:N78" si="19">G$73-($B$73/$E74)</f>
        <v>-3989.6674550270145</v>
      </c>
      <c r="H74" s="63">
        <f t="shared" si="19"/>
        <v>-3789.6674550270145</v>
      </c>
      <c r="I74" s="63">
        <f t="shared" si="19"/>
        <v>-3589.6674550270145</v>
      </c>
      <c r="J74" s="63">
        <f t="shared" si="19"/>
        <v>-3389.6674550270145</v>
      </c>
      <c r="K74" s="63">
        <f t="shared" si="19"/>
        <v>-3189.6674550270145</v>
      </c>
      <c r="L74" s="63">
        <f t="shared" si="19"/>
        <v>-2989.6674550270145</v>
      </c>
      <c r="M74" s="64">
        <f t="shared" si="19"/>
        <v>-2789.6674550270145</v>
      </c>
      <c r="N74" s="65">
        <f t="shared" si="19"/>
        <v>-2589.6674550270145</v>
      </c>
      <c r="P74" s="258" t="s">
        <v>21</v>
      </c>
      <c r="Q74" s="61">
        <f>Q75-0.25</f>
        <v>1.5</v>
      </c>
      <c r="R74" s="62">
        <f>R$73-($B$71/$E74)</f>
        <v>-2538.0207883603489</v>
      </c>
      <c r="S74" s="62">
        <f t="shared" ref="S74:Z74" si="20">S$73-($B$71/$E74)</f>
        <v>-2338.0207883603489</v>
      </c>
      <c r="T74" s="62">
        <f t="shared" si="20"/>
        <v>-2138.0207883603489</v>
      </c>
      <c r="U74" s="62">
        <f t="shared" si="20"/>
        <v>-1938.0207883603489</v>
      </c>
      <c r="V74" s="62">
        <f t="shared" si="20"/>
        <v>-1738.0207883603489</v>
      </c>
      <c r="W74" s="62">
        <f t="shared" si="20"/>
        <v>-1538.0207883603489</v>
      </c>
      <c r="X74" s="62">
        <f t="shared" si="20"/>
        <v>-1338.0207883603489</v>
      </c>
      <c r="Y74" s="62">
        <f t="shared" si="20"/>
        <v>-1138.0207883603489</v>
      </c>
      <c r="Z74" s="62">
        <f t="shared" si="20"/>
        <v>-938.02078836034889</v>
      </c>
    </row>
    <row r="75" spans="1:26" ht="13.5" customHeight="1" thickBot="1" x14ac:dyDescent="0.3">
      <c r="A75" s="147" t="s">
        <v>22</v>
      </c>
      <c r="B75" s="218">
        <v>2</v>
      </c>
      <c r="C75" s="145"/>
      <c r="D75" s="259"/>
      <c r="E75" s="61">
        <f>E76-0.25</f>
        <v>1.75</v>
      </c>
      <c r="F75" s="66">
        <f t="shared" si="19"/>
        <v>-2701.0006757374413</v>
      </c>
      <c r="G75" s="67">
        <f t="shared" si="19"/>
        <v>-2501.0006757374413</v>
      </c>
      <c r="H75" s="67">
        <f t="shared" si="19"/>
        <v>-2301.0006757374413</v>
      </c>
      <c r="I75" s="67">
        <f t="shared" si="19"/>
        <v>-2101.0006757374413</v>
      </c>
      <c r="J75" s="67">
        <f t="shared" si="19"/>
        <v>-1901.0006757374413</v>
      </c>
      <c r="K75" s="68">
        <f t="shared" si="19"/>
        <v>-1701.0006757374413</v>
      </c>
      <c r="L75" s="68">
        <f t="shared" si="19"/>
        <v>-1501.0006757374413</v>
      </c>
      <c r="M75" s="68">
        <f t="shared" si="19"/>
        <v>-1301.0006757374413</v>
      </c>
      <c r="N75" s="69">
        <f t="shared" si="19"/>
        <v>-1101.0006757374413</v>
      </c>
      <c r="P75" s="259"/>
      <c r="Q75" s="61">
        <f>Q76-0.25</f>
        <v>1.75</v>
      </c>
      <c r="R75" s="62">
        <f t="shared" ref="R75:Z78" si="21">R$73-($B$71/$E75)</f>
        <v>-1285.3035328802989</v>
      </c>
      <c r="S75" s="62">
        <f t="shared" si="21"/>
        <v>-1085.3035328802989</v>
      </c>
      <c r="T75" s="62">
        <f t="shared" si="21"/>
        <v>-885.30353288029892</v>
      </c>
      <c r="U75" s="62">
        <f t="shared" si="21"/>
        <v>-685.30353288029892</v>
      </c>
      <c r="V75" s="62">
        <f t="shared" si="21"/>
        <v>-485.30353288029892</v>
      </c>
      <c r="W75" s="62">
        <f t="shared" si="21"/>
        <v>-285.30353288029892</v>
      </c>
      <c r="X75" s="62">
        <f t="shared" si="21"/>
        <v>-85.303532880298917</v>
      </c>
      <c r="Y75" s="62">
        <f t="shared" si="21"/>
        <v>114.69646711970108</v>
      </c>
      <c r="Z75" s="62">
        <f t="shared" si="21"/>
        <v>314.69646711970108</v>
      </c>
    </row>
    <row r="76" spans="1:26" ht="13.5" customHeight="1" thickBot="1" x14ac:dyDescent="0.3">
      <c r="A76" s="147"/>
      <c r="B76" s="140"/>
      <c r="C76" s="144"/>
      <c r="D76" s="259"/>
      <c r="E76" s="219">
        <f>B75</f>
        <v>2</v>
      </c>
      <c r="F76" s="66">
        <f t="shared" si="19"/>
        <v>-1584.5005912702609</v>
      </c>
      <c r="G76" s="67">
        <f t="shared" si="19"/>
        <v>-1384.5005912702609</v>
      </c>
      <c r="H76" s="67">
        <f t="shared" si="19"/>
        <v>-1184.5005912702609</v>
      </c>
      <c r="I76" s="67">
        <f t="shared" si="19"/>
        <v>-984.50059127026088</v>
      </c>
      <c r="J76" s="68">
        <f>J$73-($B$73/$E76)</f>
        <v>-784.50059127026088</v>
      </c>
      <c r="K76" s="68">
        <f t="shared" si="19"/>
        <v>-584.50059127026088</v>
      </c>
      <c r="L76" s="68">
        <f t="shared" si="19"/>
        <v>-384.50059127026088</v>
      </c>
      <c r="M76" s="68">
        <f t="shared" si="19"/>
        <v>-184.50059127026088</v>
      </c>
      <c r="N76" s="69">
        <f t="shared" si="19"/>
        <v>15.499408729739116</v>
      </c>
      <c r="P76" s="259"/>
      <c r="Q76" s="219">
        <f>E76</f>
        <v>2</v>
      </c>
      <c r="R76" s="62">
        <f>R$73-($B$71/$E76)</f>
        <v>-345.76559127026121</v>
      </c>
      <c r="S76" s="62">
        <f t="shared" si="21"/>
        <v>-145.76559127026121</v>
      </c>
      <c r="T76" s="62">
        <f t="shared" si="21"/>
        <v>54.234408729738789</v>
      </c>
      <c r="U76" s="62">
        <f t="shared" si="21"/>
        <v>254.23440872973879</v>
      </c>
      <c r="V76" s="62">
        <f t="shared" si="21"/>
        <v>454.23440872973879</v>
      </c>
      <c r="W76" s="62">
        <f t="shared" si="21"/>
        <v>654.23440872973879</v>
      </c>
      <c r="X76" s="62">
        <f t="shared" si="21"/>
        <v>854.23440872973879</v>
      </c>
      <c r="Y76" s="62">
        <f t="shared" si="21"/>
        <v>1054.2344087297388</v>
      </c>
      <c r="Z76" s="62">
        <f t="shared" si="21"/>
        <v>1254.2344087297388</v>
      </c>
    </row>
    <row r="77" spans="1:26" ht="13.5" customHeight="1" thickBot="1" x14ac:dyDescent="0.3">
      <c r="A77" s="147" t="s">
        <v>36</v>
      </c>
      <c r="B77" s="153">
        <f>B6</f>
        <v>7400</v>
      </c>
      <c r="C77" s="144"/>
      <c r="D77" s="259"/>
      <c r="E77" s="61">
        <f>E76+0.25</f>
        <v>2.25</v>
      </c>
      <c r="F77" s="66">
        <f t="shared" si="19"/>
        <v>-716.11163668467634</v>
      </c>
      <c r="G77" s="67">
        <f t="shared" si="19"/>
        <v>-516.11163668467634</v>
      </c>
      <c r="H77" s="67">
        <f t="shared" si="19"/>
        <v>-316.11163668467634</v>
      </c>
      <c r="I77" s="68">
        <f t="shared" si="19"/>
        <v>-116.11163668467634</v>
      </c>
      <c r="J77" s="68">
        <f t="shared" si="19"/>
        <v>83.888363315323659</v>
      </c>
      <c r="K77" s="68">
        <f t="shared" si="19"/>
        <v>283.88836331532366</v>
      </c>
      <c r="L77" s="68">
        <f t="shared" si="19"/>
        <v>483.88836331532366</v>
      </c>
      <c r="M77" s="68">
        <f t="shared" si="19"/>
        <v>683.88836331532366</v>
      </c>
      <c r="N77" s="69">
        <f t="shared" si="19"/>
        <v>883.88836331532366</v>
      </c>
      <c r="P77" s="259"/>
      <c r="Q77" s="61">
        <f>Q76+0.25</f>
        <v>2.25</v>
      </c>
      <c r="R77" s="62">
        <f t="shared" si="21"/>
        <v>384.98614109310074</v>
      </c>
      <c r="S77" s="62">
        <f t="shared" si="21"/>
        <v>584.98614109310074</v>
      </c>
      <c r="T77" s="62">
        <f t="shared" si="21"/>
        <v>784.98614109310074</v>
      </c>
      <c r="U77" s="62">
        <f t="shared" si="21"/>
        <v>984.98614109310074</v>
      </c>
      <c r="V77" s="62">
        <f t="shared" si="21"/>
        <v>1184.9861410931007</v>
      </c>
      <c r="W77" s="62">
        <f t="shared" si="21"/>
        <v>1384.9861410931007</v>
      </c>
      <c r="X77" s="62">
        <f t="shared" si="21"/>
        <v>1584.9861410931007</v>
      </c>
      <c r="Y77" s="62">
        <f t="shared" si="21"/>
        <v>1784.9861410931007</v>
      </c>
      <c r="Z77" s="62">
        <f t="shared" si="21"/>
        <v>1984.9861410931007</v>
      </c>
    </row>
    <row r="78" spans="1:26" ht="13.5" customHeight="1" thickBot="1" x14ac:dyDescent="0.3">
      <c r="A78" s="149" t="s">
        <v>24</v>
      </c>
      <c r="B78" s="154">
        <f>D6</f>
        <v>369</v>
      </c>
      <c r="C78" s="146"/>
      <c r="D78" s="260"/>
      <c r="E78" s="61">
        <f>E77+0.25</f>
        <v>2.5</v>
      </c>
      <c r="F78" s="70">
        <f t="shared" si="19"/>
        <v>-21.400473016208707</v>
      </c>
      <c r="G78" s="71">
        <f>G$73-($B$73/$E78)</f>
        <v>178.59952698379129</v>
      </c>
      <c r="H78" s="72">
        <f t="shared" si="19"/>
        <v>378.59952698379129</v>
      </c>
      <c r="I78" s="72">
        <f t="shared" si="19"/>
        <v>578.59952698379129</v>
      </c>
      <c r="J78" s="72">
        <f t="shared" si="19"/>
        <v>778.59952698379129</v>
      </c>
      <c r="K78" s="72">
        <f t="shared" si="19"/>
        <v>978.59952698379129</v>
      </c>
      <c r="L78" s="72">
        <f t="shared" si="19"/>
        <v>1178.5995269837913</v>
      </c>
      <c r="M78" s="72">
        <f t="shared" si="19"/>
        <v>1378.5995269837913</v>
      </c>
      <c r="N78" s="73">
        <f>N$73-($B$73/$E78)</f>
        <v>1578.5995269837913</v>
      </c>
      <c r="P78" s="260"/>
      <c r="Q78" s="61">
        <f>Q77+0.25</f>
        <v>2.5</v>
      </c>
      <c r="R78" s="62">
        <f t="shared" si="21"/>
        <v>969.58752698379067</v>
      </c>
      <c r="S78" s="62">
        <f>S$73-($B$71/$E78)</f>
        <v>1169.5875269837907</v>
      </c>
      <c r="T78" s="62">
        <f t="shared" si="21"/>
        <v>1369.5875269837907</v>
      </c>
      <c r="U78" s="62">
        <f t="shared" si="21"/>
        <v>1569.5875269837907</v>
      </c>
      <c r="V78" s="62">
        <f t="shared" si="21"/>
        <v>1769.5875269837907</v>
      </c>
      <c r="W78" s="62">
        <f t="shared" si="21"/>
        <v>1969.5875269837907</v>
      </c>
      <c r="X78" s="62">
        <f t="shared" si="21"/>
        <v>2169.5875269837907</v>
      </c>
      <c r="Y78" s="62">
        <f t="shared" si="21"/>
        <v>2369.5875269837907</v>
      </c>
      <c r="Z78" s="62">
        <f t="shared" si="21"/>
        <v>2569.5875269837907</v>
      </c>
    </row>
    <row r="79" spans="1:26" ht="13.5" customHeight="1" x14ac:dyDescent="0.25">
      <c r="A79" s="142" t="s">
        <v>25</v>
      </c>
      <c r="B79" s="155">
        <f>B77-B78</f>
        <v>7031</v>
      </c>
      <c r="C79" s="146"/>
    </row>
    <row r="80" spans="1:26" ht="13.5" customHeight="1" x14ac:dyDescent="0.25"/>
    <row r="81" spans="1:26" ht="13.5" customHeight="1" x14ac:dyDescent="0.25"/>
    <row r="82" spans="1:26" ht="13.5" customHeight="1" thickBot="1" x14ac:dyDescent="0.3">
      <c r="A82" s="261"/>
      <c r="B82" s="261"/>
    </row>
    <row r="83" spans="1:26" ht="19.5" customHeight="1" thickBot="1" x14ac:dyDescent="0.3">
      <c r="A83" s="252" t="s">
        <v>37</v>
      </c>
      <c r="B83" s="252"/>
      <c r="C83" s="139"/>
      <c r="D83" s="253" t="s">
        <v>38</v>
      </c>
      <c r="E83" s="254"/>
      <c r="F83" s="254"/>
      <c r="G83" s="254"/>
      <c r="H83" s="254"/>
      <c r="I83" s="254"/>
      <c r="J83" s="254"/>
      <c r="K83" s="254"/>
      <c r="L83" s="254"/>
      <c r="M83" s="254"/>
      <c r="N83" s="255"/>
      <c r="P83" s="253" t="s">
        <v>39</v>
      </c>
      <c r="Q83" s="254"/>
      <c r="R83" s="254"/>
      <c r="S83" s="254"/>
      <c r="T83" s="254"/>
      <c r="U83" s="254"/>
      <c r="V83" s="254"/>
      <c r="W83" s="254"/>
      <c r="X83" s="254"/>
      <c r="Y83" s="254"/>
      <c r="Z83" s="255"/>
    </row>
    <row r="84" spans="1:26" ht="13.5" customHeight="1" thickBot="1" x14ac:dyDescent="0.3">
      <c r="A84" s="147" t="s">
        <v>15</v>
      </c>
      <c r="B84" s="153">
        <f>Graansorghum!F25</f>
        <v>10053.191887966301</v>
      </c>
      <c r="C84" s="143"/>
      <c r="D84" s="56"/>
      <c r="E84" s="57"/>
      <c r="F84" s="213"/>
      <c r="G84" s="58"/>
      <c r="H84" s="213"/>
      <c r="I84" s="213"/>
      <c r="J84" s="213" t="s">
        <v>35</v>
      </c>
      <c r="K84" s="214"/>
      <c r="L84" s="213"/>
      <c r="M84" s="214"/>
      <c r="N84" s="213"/>
      <c r="P84" s="56"/>
      <c r="Q84" s="57"/>
      <c r="R84" s="213"/>
      <c r="S84" s="58"/>
      <c r="T84" s="213"/>
      <c r="U84" s="213"/>
      <c r="V84" s="213" t="s">
        <v>35</v>
      </c>
      <c r="W84" s="214"/>
      <c r="X84" s="213"/>
      <c r="Y84" s="214"/>
      <c r="Z84" s="213"/>
    </row>
    <row r="85" spans="1:26" ht="13.5" customHeight="1" thickBot="1" x14ac:dyDescent="0.3">
      <c r="A85" s="147" t="s">
        <v>17</v>
      </c>
      <c r="B85" s="154">
        <f>Graansorghum!F27</f>
        <v>2574.2000000000003</v>
      </c>
      <c r="C85" s="143"/>
      <c r="D85" s="253" t="s">
        <v>18</v>
      </c>
      <c r="E85" s="255"/>
      <c r="F85" s="59">
        <f>G85-200</f>
        <v>4193</v>
      </c>
      <c r="G85" s="59">
        <f>H85-200</f>
        <v>4393</v>
      </c>
      <c r="H85" s="59">
        <f>I85-200</f>
        <v>4593</v>
      </c>
      <c r="I85" s="59">
        <f>J85-200</f>
        <v>4793</v>
      </c>
      <c r="J85" s="213">
        <f>B90</f>
        <v>4993</v>
      </c>
      <c r="K85" s="59">
        <f>J85+200</f>
        <v>5193</v>
      </c>
      <c r="L85" s="59">
        <f>K85+200</f>
        <v>5393</v>
      </c>
      <c r="M85" s="59">
        <f>L85+200</f>
        <v>5593</v>
      </c>
      <c r="N85" s="59">
        <f>M85+200</f>
        <v>5793</v>
      </c>
      <c r="P85" s="253" t="s">
        <v>18</v>
      </c>
      <c r="Q85" s="255"/>
      <c r="R85" s="59">
        <f>S85-200</f>
        <v>4193</v>
      </c>
      <c r="S85" s="59">
        <f>T85-200</f>
        <v>4393</v>
      </c>
      <c r="T85" s="59">
        <f>U85-200</f>
        <v>4593</v>
      </c>
      <c r="U85" s="59">
        <f>V85-200</f>
        <v>4793</v>
      </c>
      <c r="V85" s="213">
        <f>J85</f>
        <v>4993</v>
      </c>
      <c r="W85" s="59">
        <f>V85+200</f>
        <v>5193</v>
      </c>
      <c r="X85" s="59">
        <f>W85+200</f>
        <v>5393</v>
      </c>
      <c r="Y85" s="59">
        <f>X85+200</f>
        <v>5593</v>
      </c>
      <c r="Z85" s="59">
        <f>Y85+200</f>
        <v>5793</v>
      </c>
    </row>
    <row r="86" spans="1:26" ht="13.5" customHeight="1" thickBot="1" x14ac:dyDescent="0.3">
      <c r="A86" s="148" t="s">
        <v>19</v>
      </c>
      <c r="B86" s="155">
        <f>B85+B84</f>
        <v>12627.391887966302</v>
      </c>
      <c r="C86" s="132"/>
      <c r="D86" s="256" t="s">
        <v>20</v>
      </c>
      <c r="E86" s="257"/>
      <c r="F86" s="80">
        <f t="shared" ref="F86:N86" si="22">F85-$B$78</f>
        <v>3824</v>
      </c>
      <c r="G86" s="60">
        <f t="shared" si="22"/>
        <v>4024</v>
      </c>
      <c r="H86" s="60">
        <f t="shared" si="22"/>
        <v>4224</v>
      </c>
      <c r="I86" s="60">
        <f t="shared" si="22"/>
        <v>4424</v>
      </c>
      <c r="J86" s="213">
        <f>J85-$B$78</f>
        <v>4624</v>
      </c>
      <c r="K86" s="60">
        <f t="shared" si="22"/>
        <v>4824</v>
      </c>
      <c r="L86" s="60">
        <f t="shared" si="22"/>
        <v>5024</v>
      </c>
      <c r="M86" s="60">
        <f t="shared" si="22"/>
        <v>5224</v>
      </c>
      <c r="N86" s="60">
        <f t="shared" si="22"/>
        <v>5424</v>
      </c>
      <c r="P86" s="256" t="s">
        <v>20</v>
      </c>
      <c r="Q86" s="257"/>
      <c r="R86" s="60">
        <f t="shared" ref="R86:Z86" si="23">R85-$B$78</f>
        <v>3824</v>
      </c>
      <c r="S86" s="60">
        <f t="shared" si="23"/>
        <v>4024</v>
      </c>
      <c r="T86" s="60">
        <f t="shared" si="23"/>
        <v>4224</v>
      </c>
      <c r="U86" s="60">
        <f t="shared" si="23"/>
        <v>4424</v>
      </c>
      <c r="V86" s="217">
        <f t="shared" si="23"/>
        <v>4624</v>
      </c>
      <c r="W86" s="60">
        <f t="shared" si="23"/>
        <v>4824</v>
      </c>
      <c r="X86" s="60">
        <f t="shared" si="23"/>
        <v>5024</v>
      </c>
      <c r="Y86" s="60">
        <f t="shared" si="23"/>
        <v>5224</v>
      </c>
      <c r="Z86" s="60">
        <f t="shared" si="23"/>
        <v>5424</v>
      </c>
    </row>
    <row r="87" spans="1:26" ht="13.5" customHeight="1" thickBot="1" x14ac:dyDescent="0.3">
      <c r="A87" s="147"/>
      <c r="B87" s="140"/>
      <c r="C87" s="144"/>
      <c r="D87" s="258" t="s">
        <v>21</v>
      </c>
      <c r="E87" s="61">
        <f>E88-0.25</f>
        <v>2.5</v>
      </c>
      <c r="F87" s="62">
        <f>F$86-($B$86/$E87)</f>
        <v>-1226.9567551865202</v>
      </c>
      <c r="G87" s="62">
        <f t="shared" ref="G87:N87" si="24">G$86-($B$86/$E87)</f>
        <v>-1026.9567551865202</v>
      </c>
      <c r="H87" s="62">
        <f t="shared" si="24"/>
        <v>-826.95675518652024</v>
      </c>
      <c r="I87" s="62">
        <f t="shared" si="24"/>
        <v>-626.95675518652024</v>
      </c>
      <c r="J87" s="62">
        <f t="shared" si="24"/>
        <v>-426.95675518652024</v>
      </c>
      <c r="K87" s="62">
        <f t="shared" si="24"/>
        <v>-226.95675518652024</v>
      </c>
      <c r="L87" s="62">
        <f>L$86-($B$86/$E87)</f>
        <v>-26.95675518652024</v>
      </c>
      <c r="M87" s="62">
        <f t="shared" si="24"/>
        <v>173.04324481347976</v>
      </c>
      <c r="N87" s="62">
        <f t="shared" si="24"/>
        <v>373.04324481347976</v>
      </c>
      <c r="P87" s="258" t="s">
        <v>21</v>
      </c>
      <c r="Q87" s="61">
        <f>Q88-0.25</f>
        <v>2.5</v>
      </c>
      <c r="R87" s="62">
        <f>R$86-($B$84/$E87)</f>
        <v>-197.2767551865204</v>
      </c>
      <c r="S87" s="62">
        <f t="shared" ref="S87:Z87" si="25">S$86-($B$84/$E87)</f>
        <v>2.7232448134795959</v>
      </c>
      <c r="T87" s="62">
        <f t="shared" si="25"/>
        <v>202.7232448134796</v>
      </c>
      <c r="U87" s="62">
        <f t="shared" si="25"/>
        <v>402.7232448134796</v>
      </c>
      <c r="V87" s="62">
        <f t="shared" si="25"/>
        <v>602.7232448134796</v>
      </c>
      <c r="W87" s="62">
        <f t="shared" si="25"/>
        <v>802.7232448134796</v>
      </c>
      <c r="X87" s="62">
        <f t="shared" si="25"/>
        <v>1002.7232448134796</v>
      </c>
      <c r="Y87" s="62">
        <f t="shared" si="25"/>
        <v>1202.7232448134796</v>
      </c>
      <c r="Z87" s="62">
        <f t="shared" si="25"/>
        <v>1402.7232448134796</v>
      </c>
    </row>
    <row r="88" spans="1:26" ht="13.5" customHeight="1" thickBot="1" x14ac:dyDescent="0.3">
      <c r="A88" s="147" t="s">
        <v>22</v>
      </c>
      <c r="B88" s="218">
        <v>3</v>
      </c>
      <c r="C88" s="145"/>
      <c r="D88" s="259"/>
      <c r="E88" s="61">
        <f>E89-0.25</f>
        <v>2.75</v>
      </c>
      <c r="F88" s="62">
        <f t="shared" ref="F88:N91" si="26">F$86-($B$86/$E88)</f>
        <v>-767.7788683513827</v>
      </c>
      <c r="G88" s="62">
        <f t="shared" si="26"/>
        <v>-567.7788683513827</v>
      </c>
      <c r="H88" s="62">
        <f t="shared" si="26"/>
        <v>-367.7788683513827</v>
      </c>
      <c r="I88" s="62">
        <f t="shared" si="26"/>
        <v>-167.7788683513827</v>
      </c>
      <c r="J88" s="62">
        <f t="shared" si="26"/>
        <v>32.221131648617302</v>
      </c>
      <c r="K88" s="62">
        <f t="shared" si="26"/>
        <v>232.2211316486173</v>
      </c>
      <c r="L88" s="62">
        <f t="shared" si="26"/>
        <v>432.2211316486173</v>
      </c>
      <c r="M88" s="62">
        <f t="shared" si="26"/>
        <v>632.2211316486173</v>
      </c>
      <c r="N88" s="62">
        <f t="shared" si="26"/>
        <v>832.2211316486173</v>
      </c>
      <c r="P88" s="259"/>
      <c r="Q88" s="61">
        <f>Q89-0.25</f>
        <v>2.75</v>
      </c>
      <c r="R88" s="62">
        <f t="shared" ref="R88:Z91" si="27">R$86-($B$84/$E88)</f>
        <v>168.29385892134496</v>
      </c>
      <c r="S88" s="62">
        <f t="shared" si="27"/>
        <v>368.29385892134496</v>
      </c>
      <c r="T88" s="62">
        <f t="shared" si="27"/>
        <v>568.29385892134496</v>
      </c>
      <c r="U88" s="62">
        <f t="shared" si="27"/>
        <v>768.29385892134496</v>
      </c>
      <c r="V88" s="62">
        <f t="shared" si="27"/>
        <v>968.29385892134496</v>
      </c>
      <c r="W88" s="62">
        <f t="shared" si="27"/>
        <v>1168.293858921345</v>
      </c>
      <c r="X88" s="62">
        <f t="shared" si="27"/>
        <v>1368.293858921345</v>
      </c>
      <c r="Y88" s="62">
        <f t="shared" si="27"/>
        <v>1568.293858921345</v>
      </c>
      <c r="Z88" s="62">
        <f t="shared" si="27"/>
        <v>1768.293858921345</v>
      </c>
    </row>
    <row r="89" spans="1:26" ht="13.5" customHeight="1" thickBot="1" x14ac:dyDescent="0.3">
      <c r="A89" s="147"/>
      <c r="B89" s="140"/>
      <c r="C89" s="144"/>
      <c r="D89" s="259"/>
      <c r="E89" s="219">
        <f>B88</f>
        <v>3</v>
      </c>
      <c r="F89" s="62">
        <f t="shared" si="26"/>
        <v>-385.1306293221005</v>
      </c>
      <c r="G89" s="62">
        <f t="shared" si="26"/>
        <v>-185.1306293221005</v>
      </c>
      <c r="H89" s="62">
        <f t="shared" si="26"/>
        <v>14.869370677899497</v>
      </c>
      <c r="I89" s="62">
        <f t="shared" si="26"/>
        <v>214.8693706778995</v>
      </c>
      <c r="J89" s="62">
        <f t="shared" si="26"/>
        <v>414.8693706778995</v>
      </c>
      <c r="K89" s="62">
        <f t="shared" si="26"/>
        <v>614.8693706778995</v>
      </c>
      <c r="L89" s="62">
        <f t="shared" si="26"/>
        <v>814.8693706778995</v>
      </c>
      <c r="M89" s="62">
        <f t="shared" si="26"/>
        <v>1014.8693706778995</v>
      </c>
      <c r="N89" s="62">
        <f t="shared" si="26"/>
        <v>1214.8693706778995</v>
      </c>
      <c r="P89" s="259"/>
      <c r="Q89" s="219">
        <f>E89</f>
        <v>3</v>
      </c>
      <c r="R89" s="62">
        <f t="shared" si="27"/>
        <v>472.93603734456656</v>
      </c>
      <c r="S89" s="62">
        <f t="shared" si="27"/>
        <v>672.93603734456656</v>
      </c>
      <c r="T89" s="62">
        <f t="shared" si="27"/>
        <v>872.93603734456656</v>
      </c>
      <c r="U89" s="62">
        <f t="shared" si="27"/>
        <v>1072.9360373445666</v>
      </c>
      <c r="V89" s="62">
        <f t="shared" si="27"/>
        <v>1272.9360373445666</v>
      </c>
      <c r="W89" s="62">
        <f t="shared" si="27"/>
        <v>1472.9360373445666</v>
      </c>
      <c r="X89" s="62">
        <f t="shared" si="27"/>
        <v>1672.9360373445666</v>
      </c>
      <c r="Y89" s="62">
        <f t="shared" si="27"/>
        <v>1872.9360373445666</v>
      </c>
      <c r="Z89" s="62">
        <f t="shared" si="27"/>
        <v>2072.9360373445666</v>
      </c>
    </row>
    <row r="90" spans="1:26" ht="13.5" customHeight="1" thickBot="1" x14ac:dyDescent="0.3">
      <c r="A90" s="147" t="s">
        <v>40</v>
      </c>
      <c r="B90" s="153">
        <f>B7</f>
        <v>4993</v>
      </c>
      <c r="C90" s="144"/>
      <c r="D90" s="259"/>
      <c r="E90" s="61">
        <f>E89+0.25</f>
        <v>3.25</v>
      </c>
      <c r="F90" s="62">
        <f t="shared" si="26"/>
        <v>-61.351350143477248</v>
      </c>
      <c r="G90" s="62">
        <f t="shared" si="26"/>
        <v>138.64864985652275</v>
      </c>
      <c r="H90" s="62">
        <f t="shared" si="26"/>
        <v>338.64864985652275</v>
      </c>
      <c r="I90" s="62">
        <f t="shared" si="26"/>
        <v>538.64864985652275</v>
      </c>
      <c r="J90" s="62">
        <f t="shared" si="26"/>
        <v>738.64864985652275</v>
      </c>
      <c r="K90" s="62">
        <f t="shared" si="26"/>
        <v>938.64864985652275</v>
      </c>
      <c r="L90" s="62">
        <f t="shared" si="26"/>
        <v>1138.6486498565228</v>
      </c>
      <c r="M90" s="62">
        <f t="shared" si="26"/>
        <v>1338.6486498565228</v>
      </c>
      <c r="N90" s="62">
        <f t="shared" si="26"/>
        <v>1538.6486498565228</v>
      </c>
      <c r="P90" s="259"/>
      <c r="Q90" s="61">
        <f>Q89+0.25</f>
        <v>3.25</v>
      </c>
      <c r="R90" s="62">
        <f t="shared" si="27"/>
        <v>730.71018831806123</v>
      </c>
      <c r="S90" s="62">
        <f t="shared" si="27"/>
        <v>930.71018831806123</v>
      </c>
      <c r="T90" s="62">
        <f t="shared" si="27"/>
        <v>1130.7101883180612</v>
      </c>
      <c r="U90" s="62">
        <f t="shared" si="27"/>
        <v>1330.7101883180612</v>
      </c>
      <c r="V90" s="62">
        <f t="shared" si="27"/>
        <v>1530.7101883180612</v>
      </c>
      <c r="W90" s="62">
        <f t="shared" si="27"/>
        <v>1730.7101883180612</v>
      </c>
      <c r="X90" s="62">
        <f t="shared" si="27"/>
        <v>1930.7101883180612</v>
      </c>
      <c r="Y90" s="62">
        <f t="shared" si="27"/>
        <v>2130.7101883180612</v>
      </c>
      <c r="Z90" s="62">
        <f t="shared" si="27"/>
        <v>2330.7101883180612</v>
      </c>
    </row>
    <row r="91" spans="1:26" ht="13.5" customHeight="1" thickBot="1" x14ac:dyDescent="0.3">
      <c r="A91" s="149" t="s">
        <v>24</v>
      </c>
      <c r="B91" s="154">
        <f>D7</f>
        <v>63</v>
      </c>
      <c r="C91" s="146"/>
      <c r="D91" s="260"/>
      <c r="E91" s="61">
        <f>E90+0.25</f>
        <v>3.5</v>
      </c>
      <c r="F91" s="62">
        <f t="shared" si="26"/>
        <v>216.17374629534243</v>
      </c>
      <c r="G91" s="62">
        <f>G$86-($B$86/$E91)</f>
        <v>416.17374629534243</v>
      </c>
      <c r="H91" s="62">
        <f t="shared" si="26"/>
        <v>616.17374629534243</v>
      </c>
      <c r="I91" s="62">
        <f t="shared" si="26"/>
        <v>816.17374629534243</v>
      </c>
      <c r="J91" s="62">
        <f t="shared" si="26"/>
        <v>1016.1737462953424</v>
      </c>
      <c r="K91" s="62">
        <f t="shared" si="26"/>
        <v>1216.1737462953424</v>
      </c>
      <c r="L91" s="62">
        <f t="shared" si="26"/>
        <v>1416.1737462953424</v>
      </c>
      <c r="M91" s="62">
        <f t="shared" si="26"/>
        <v>1616.1737462953424</v>
      </c>
      <c r="N91" s="62">
        <f>N$86-($B$86/$E91)</f>
        <v>1816.1737462953424</v>
      </c>
      <c r="P91" s="260"/>
      <c r="Q91" s="61">
        <f>Q90+0.25</f>
        <v>3.5</v>
      </c>
      <c r="R91" s="62">
        <f t="shared" si="27"/>
        <v>951.65946058105692</v>
      </c>
      <c r="S91" s="62">
        <f>S$86-($B$84/$E91)</f>
        <v>1151.6594605810569</v>
      </c>
      <c r="T91" s="62">
        <f t="shared" si="27"/>
        <v>1351.6594605810569</v>
      </c>
      <c r="U91" s="62">
        <f t="shared" si="27"/>
        <v>1551.6594605810569</v>
      </c>
      <c r="V91" s="62">
        <f t="shared" si="27"/>
        <v>1751.6594605810569</v>
      </c>
      <c r="W91" s="62">
        <f t="shared" si="27"/>
        <v>1951.6594605810569</v>
      </c>
      <c r="X91" s="62">
        <f t="shared" si="27"/>
        <v>2151.6594605810569</v>
      </c>
      <c r="Y91" s="62">
        <f t="shared" si="27"/>
        <v>2351.6594605810569</v>
      </c>
      <c r="Z91" s="62">
        <f t="shared" si="27"/>
        <v>2551.6594605810569</v>
      </c>
    </row>
    <row r="92" spans="1:26" ht="13.5" customHeight="1" x14ac:dyDescent="0.25">
      <c r="A92" s="142" t="s">
        <v>25</v>
      </c>
      <c r="B92" s="155">
        <f>B90-B91</f>
        <v>4930</v>
      </c>
      <c r="C92" s="146"/>
    </row>
  </sheetData>
  <sheetProtection selectLockedCells="1"/>
  <mergeCells count="60">
    <mergeCell ref="A82:B82"/>
    <mergeCell ref="A16:B16"/>
    <mergeCell ref="A29:B29"/>
    <mergeCell ref="A42:B42"/>
    <mergeCell ref="A56:B56"/>
    <mergeCell ref="A69:B69"/>
    <mergeCell ref="A17:B17"/>
    <mergeCell ref="A30:B30"/>
    <mergeCell ref="A43:B43"/>
    <mergeCell ref="A57:B57"/>
    <mergeCell ref="A70:B70"/>
    <mergeCell ref="D74:D78"/>
    <mergeCell ref="P74:P78"/>
    <mergeCell ref="D87:D91"/>
    <mergeCell ref="P87:P91"/>
    <mergeCell ref="D83:N83"/>
    <mergeCell ref="P83:Z83"/>
    <mergeCell ref="D85:E85"/>
    <mergeCell ref="P85:Q85"/>
    <mergeCell ref="D86:E86"/>
    <mergeCell ref="P86:Q86"/>
    <mergeCell ref="D70:N70"/>
    <mergeCell ref="P70:Z70"/>
    <mergeCell ref="D72:E72"/>
    <mergeCell ref="P72:Q72"/>
    <mergeCell ref="D73:E73"/>
    <mergeCell ref="P73:Q73"/>
    <mergeCell ref="D59:E59"/>
    <mergeCell ref="P59:Q59"/>
    <mergeCell ref="D60:E60"/>
    <mergeCell ref="P60:Q60"/>
    <mergeCell ref="D61:D65"/>
    <mergeCell ref="P61:P65"/>
    <mergeCell ref="D46:E46"/>
    <mergeCell ref="P46:Q46"/>
    <mergeCell ref="D47:D51"/>
    <mergeCell ref="P47:P51"/>
    <mergeCell ref="D57:N57"/>
    <mergeCell ref="P57:Z57"/>
    <mergeCell ref="P34:P38"/>
    <mergeCell ref="D43:N43"/>
    <mergeCell ref="P43:Z43"/>
    <mergeCell ref="D45:E45"/>
    <mergeCell ref="P45:Q45"/>
    <mergeCell ref="A83:B83"/>
    <mergeCell ref="D17:N17"/>
    <mergeCell ref="P17:Z17"/>
    <mergeCell ref="D19:E19"/>
    <mergeCell ref="P19:Q19"/>
    <mergeCell ref="D20:E20"/>
    <mergeCell ref="P20:Q20"/>
    <mergeCell ref="D21:D25"/>
    <mergeCell ref="P21:P25"/>
    <mergeCell ref="D30:N30"/>
    <mergeCell ref="P30:Z30"/>
    <mergeCell ref="D32:E32"/>
    <mergeCell ref="P32:Q32"/>
    <mergeCell ref="D33:E33"/>
    <mergeCell ref="P33:Q33"/>
    <mergeCell ref="D34:D38"/>
  </mergeCells>
  <conditionalFormatting sqref="F21:N25">
    <cfRule type="cellIs" dxfId="47" priority="59" stopIfTrue="1" operator="lessThan">
      <formula>1</formula>
    </cfRule>
    <cfRule type="cellIs" dxfId="46" priority="58" stopIfTrue="1" operator="greaterThan">
      <formula>1</formula>
    </cfRule>
    <cfRule type="cellIs" dxfId="45" priority="57" stopIfTrue="1" operator="lessThan">
      <formula>1</formula>
    </cfRule>
    <cfRule type="cellIs" dxfId="44" priority="60" stopIfTrue="1" operator="greaterThan">
      <formula>1</formula>
    </cfRule>
  </conditionalFormatting>
  <conditionalFormatting sqref="F34:N38">
    <cfRule type="cellIs" dxfId="43" priority="33" stopIfTrue="1" operator="lessThan">
      <formula>1</formula>
    </cfRule>
    <cfRule type="cellIs" dxfId="42" priority="34" stopIfTrue="1" operator="greaterThan">
      <formula>1</formula>
    </cfRule>
    <cfRule type="cellIs" dxfId="41" priority="35" stopIfTrue="1" operator="lessThan">
      <formula>1</formula>
    </cfRule>
    <cfRule type="cellIs" dxfId="40" priority="36" stopIfTrue="1" operator="greaterThan">
      <formula>1</formula>
    </cfRule>
  </conditionalFormatting>
  <conditionalFormatting sqref="F47:N51">
    <cfRule type="cellIs" dxfId="39" priority="25" stopIfTrue="1" operator="lessThan">
      <formula>1</formula>
    </cfRule>
    <cfRule type="cellIs" dxfId="38" priority="26" stopIfTrue="1" operator="greaterThan">
      <formula>1</formula>
    </cfRule>
    <cfRule type="cellIs" dxfId="37" priority="27" stopIfTrue="1" operator="lessThan">
      <formula>1</formula>
    </cfRule>
    <cfRule type="cellIs" dxfId="36" priority="28" stopIfTrue="1" operator="greaterThan">
      <formula>1</formula>
    </cfRule>
  </conditionalFormatting>
  <conditionalFormatting sqref="F61:N65">
    <cfRule type="cellIs" dxfId="35" priority="44" stopIfTrue="1" operator="greaterThan">
      <formula>1</formula>
    </cfRule>
    <cfRule type="cellIs" dxfId="34" priority="42" stopIfTrue="1" operator="greaterThan">
      <formula>1</formula>
    </cfRule>
    <cfRule type="cellIs" dxfId="33" priority="43" stopIfTrue="1" operator="lessThan">
      <formula>1</formula>
    </cfRule>
    <cfRule type="cellIs" dxfId="32" priority="41" stopIfTrue="1" operator="lessThan">
      <formula>1</formula>
    </cfRule>
  </conditionalFormatting>
  <conditionalFormatting sqref="F74:N78">
    <cfRule type="cellIs" dxfId="31" priority="54" stopIfTrue="1" operator="greaterThan">
      <formula>1</formula>
    </cfRule>
    <cfRule type="cellIs" dxfId="30" priority="56" stopIfTrue="1" operator="greaterThan">
      <formula>1</formula>
    </cfRule>
    <cfRule type="cellIs" dxfId="29" priority="55" stopIfTrue="1" operator="lessThan">
      <formula>1</formula>
    </cfRule>
    <cfRule type="cellIs" dxfId="28" priority="53" stopIfTrue="1" operator="lessThan">
      <formula>1</formula>
    </cfRule>
  </conditionalFormatting>
  <conditionalFormatting sqref="F87:N91">
    <cfRule type="cellIs" dxfId="27" priority="11" stopIfTrue="1" operator="lessThan">
      <formula>1</formula>
    </cfRule>
    <cfRule type="cellIs" dxfId="26" priority="9" stopIfTrue="1" operator="lessThan">
      <formula>1</formula>
    </cfRule>
    <cfRule type="cellIs" dxfId="25" priority="10" stopIfTrue="1" operator="greaterThan">
      <formula>1</formula>
    </cfRule>
    <cfRule type="cellIs" dxfId="24" priority="12" stopIfTrue="1" operator="greaterThan">
      <formula>1</formula>
    </cfRule>
  </conditionalFormatting>
  <conditionalFormatting sqref="R21:Z25">
    <cfRule type="cellIs" dxfId="23" priority="49" stopIfTrue="1" operator="lessThan">
      <formula>1</formula>
    </cfRule>
    <cfRule type="cellIs" dxfId="22" priority="50" stopIfTrue="1" operator="greaterThan">
      <formula>1</formula>
    </cfRule>
    <cfRule type="cellIs" dxfId="21" priority="51" stopIfTrue="1" operator="lessThan">
      <formula>1</formula>
    </cfRule>
    <cfRule type="cellIs" dxfId="20" priority="52" stopIfTrue="1" operator="greaterThan">
      <formula>1</formula>
    </cfRule>
  </conditionalFormatting>
  <conditionalFormatting sqref="R34:Z38">
    <cfRule type="cellIs" dxfId="19" priority="32" stopIfTrue="1" operator="greaterThan">
      <formula>1</formula>
    </cfRule>
    <cfRule type="cellIs" dxfId="18" priority="30" stopIfTrue="1" operator="greaterThan">
      <formula>1</formula>
    </cfRule>
    <cfRule type="cellIs" dxfId="17" priority="29" stopIfTrue="1" operator="lessThan">
      <formula>1</formula>
    </cfRule>
    <cfRule type="cellIs" dxfId="16" priority="31" stopIfTrue="1" operator="lessThan">
      <formula>1</formula>
    </cfRule>
  </conditionalFormatting>
  <conditionalFormatting sqref="R47:Z51">
    <cfRule type="cellIs" dxfId="15" priority="24" stopIfTrue="1" operator="greaterThan">
      <formula>1</formula>
    </cfRule>
    <cfRule type="cellIs" dxfId="14" priority="23" stopIfTrue="1" operator="lessThan">
      <formula>1</formula>
    </cfRule>
    <cfRule type="cellIs" dxfId="13" priority="22" stopIfTrue="1" operator="greaterThan">
      <formula>1</formula>
    </cfRule>
    <cfRule type="cellIs" dxfId="12" priority="21" stopIfTrue="1" operator="lessThan">
      <formula>1</formula>
    </cfRule>
  </conditionalFormatting>
  <conditionalFormatting sqref="R61:Z65">
    <cfRule type="cellIs" dxfId="11" priority="38" stopIfTrue="1" operator="greaterThan">
      <formula>1</formula>
    </cfRule>
    <cfRule type="cellIs" dxfId="10" priority="39" stopIfTrue="1" operator="lessThan">
      <formula>1</formula>
    </cfRule>
    <cfRule type="cellIs" dxfId="9" priority="40" stopIfTrue="1" operator="greaterThan">
      <formula>1</formula>
    </cfRule>
    <cfRule type="cellIs" dxfId="8" priority="37" stopIfTrue="1" operator="lessThan">
      <formula>1</formula>
    </cfRule>
  </conditionalFormatting>
  <conditionalFormatting sqref="R74:Z78">
    <cfRule type="cellIs" dxfId="7" priority="45" stopIfTrue="1" operator="lessThan">
      <formula>1</formula>
    </cfRule>
    <cfRule type="cellIs" dxfId="6" priority="46" stopIfTrue="1" operator="greaterThan">
      <formula>1</formula>
    </cfRule>
    <cfRule type="cellIs" dxfId="5" priority="47" stopIfTrue="1" operator="lessThan">
      <formula>1</formula>
    </cfRule>
    <cfRule type="cellIs" dxfId="4" priority="48" stopIfTrue="1" operator="greaterThan">
      <formula>1</formula>
    </cfRule>
  </conditionalFormatting>
  <conditionalFormatting sqref="R87:Z91">
    <cfRule type="cellIs" dxfId="3" priority="2" stopIfTrue="1" operator="greaterThan">
      <formula>1</formula>
    </cfRule>
    <cfRule type="cellIs" dxfId="2" priority="1" stopIfTrue="1" operator="lessThan">
      <formula>1</formula>
    </cfRule>
    <cfRule type="cellIs" dxfId="1" priority="4" stopIfTrue="1" operator="greaterThan">
      <formula>1</formula>
    </cfRule>
    <cfRule type="cellIs" dxfId="0" priority="3" stopIfTrue="1" operator="lessThan">
      <formula>1</formula>
    </cfRule>
  </conditionalFormatting>
  <dataValidations count="6">
    <dataValidation type="list" allowBlank="1" showInputMessage="1" showErrorMessage="1" sqref="B88" xr:uid="{00000000-0002-0000-0000-000000000000}">
      <formula1>Sorgopbrengspeil</formula1>
    </dataValidation>
    <dataValidation type="list" allowBlank="1" showInputMessage="1" showErrorMessage="1" sqref="B75" xr:uid="{00000000-0002-0000-0000-000001000000}">
      <formula1>Sojaopbrengspeil</formula1>
    </dataValidation>
    <dataValidation type="list" allowBlank="1" showInputMessage="1" showErrorMessage="1" sqref="B62" xr:uid="{00000000-0002-0000-0000-000002000000}">
      <formula1>Sonopbrengspeil</formula1>
    </dataValidation>
    <dataValidation type="list" allowBlank="1" showInputMessage="1" showErrorMessage="1" sqref="B48" xr:uid="{00000000-0002-0000-0000-000003000000}">
      <formula1>BTopbrengspeil</formula1>
    </dataValidation>
    <dataValidation type="list" allowBlank="1" showInputMessage="1" showErrorMessage="1" sqref="B35" xr:uid="{00000000-0002-0000-0000-000004000000}">
      <formula1>RRHpbrengspeil</formula1>
    </dataValidation>
    <dataValidation type="list" allowBlank="1" showInputMessage="1" showErrorMessage="1" sqref="B22" xr:uid="{00000000-0002-0000-0000-000005000000}">
      <formula1>RRLopbrengspeil</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47"/>
  <sheetViews>
    <sheetView zoomScale="70" zoomScaleNormal="70" workbookViewId="0">
      <selection activeCell="J25" sqref="J25"/>
    </sheetView>
  </sheetViews>
  <sheetFormatPr defaultColWidth="9.109375" defaultRowHeight="13.2" x14ac:dyDescent="0.25"/>
  <cols>
    <col min="1" max="1" width="42.88671875" style="1" customWidth="1"/>
    <col min="2" max="2" width="15.6640625" style="1" bestFit="1" customWidth="1"/>
    <col min="3" max="4" width="14.44140625" style="1" customWidth="1"/>
    <col min="5" max="5" width="16.33203125" style="1" customWidth="1"/>
    <col min="6" max="9" width="14.33203125" style="1" customWidth="1"/>
    <col min="10" max="10" width="14.44140625" style="1" customWidth="1"/>
    <col min="11" max="11" width="12.6640625" style="1" customWidth="1"/>
    <col min="12" max="26" width="12.6640625" style="1" hidden="1" customWidth="1"/>
    <col min="27" max="27" width="0" style="1" hidden="1" customWidth="1"/>
    <col min="28" max="16384" width="9.109375" style="1"/>
  </cols>
  <sheetData>
    <row r="1" spans="1:9" ht="32.25" customHeight="1" thickBot="1" x14ac:dyDescent="0.3">
      <c r="A1" s="314" t="s">
        <v>146</v>
      </c>
      <c r="B1" s="315"/>
      <c r="C1" s="315"/>
      <c r="D1" s="315"/>
      <c r="E1" s="316" t="s">
        <v>42</v>
      </c>
      <c r="F1" s="316"/>
      <c r="G1" s="316"/>
      <c r="H1" s="164"/>
      <c r="I1" s="165"/>
    </row>
    <row r="2" spans="1:9" ht="16.2" thickBot="1" x14ac:dyDescent="0.35">
      <c r="A2" s="9"/>
      <c r="B2" s="10"/>
      <c r="C2" s="11"/>
      <c r="D2" s="11"/>
      <c r="E2" s="6"/>
      <c r="F2" s="6"/>
      <c r="G2" s="6"/>
      <c r="H2" s="6"/>
      <c r="I2" s="2"/>
    </row>
    <row r="3" spans="1:9" ht="39.75" customHeight="1" thickBot="1" x14ac:dyDescent="0.3">
      <c r="A3" s="265" t="s">
        <v>43</v>
      </c>
      <c r="B3" s="281"/>
      <c r="C3" s="281"/>
      <c r="D3" s="169"/>
      <c r="E3" s="170">
        <f>'Pryse + Sensatiwiteitsanali'!B26</f>
        <v>4056</v>
      </c>
      <c r="F3" s="169" t="s">
        <v>44</v>
      </c>
      <c r="G3" s="171"/>
      <c r="H3" s="171"/>
      <c r="I3" s="172"/>
    </row>
    <row r="4" spans="1:9" ht="13.8" thickBot="1" x14ac:dyDescent="0.3">
      <c r="A4" s="34"/>
      <c r="B4" s="43"/>
      <c r="C4" s="43"/>
      <c r="D4" s="3"/>
      <c r="E4" s="5"/>
      <c r="F4" s="12"/>
      <c r="G4" s="4"/>
      <c r="H4" s="13"/>
      <c r="I4" s="13"/>
    </row>
    <row r="5" spans="1:9" ht="13.8" thickBot="1" x14ac:dyDescent="0.3">
      <c r="A5" s="34" t="s">
        <v>45</v>
      </c>
      <c r="B5" s="43"/>
      <c r="C5" s="43"/>
      <c r="D5" s="26">
        <v>8</v>
      </c>
      <c r="E5" s="26">
        <v>10</v>
      </c>
      <c r="F5" s="26">
        <v>12</v>
      </c>
      <c r="G5" s="26">
        <v>14</v>
      </c>
      <c r="H5" s="26">
        <v>16</v>
      </c>
      <c r="I5" s="26">
        <v>18</v>
      </c>
    </row>
    <row r="6" spans="1:9" ht="13.8" thickBot="1" x14ac:dyDescent="0.3">
      <c r="A6" s="173" t="s">
        <v>46</v>
      </c>
      <c r="B6" s="184"/>
      <c r="C6" s="185"/>
      <c r="D6" s="176">
        <f t="shared" ref="D6:I6" si="0">$E$3*D5</f>
        <v>32448</v>
      </c>
      <c r="E6" s="176">
        <f t="shared" si="0"/>
        <v>40560</v>
      </c>
      <c r="F6" s="176">
        <f t="shared" si="0"/>
        <v>48672</v>
      </c>
      <c r="G6" s="176">
        <f t="shared" si="0"/>
        <v>56784</v>
      </c>
      <c r="H6" s="176">
        <f t="shared" si="0"/>
        <v>64896</v>
      </c>
      <c r="I6" s="176">
        <f t="shared" si="0"/>
        <v>73008</v>
      </c>
    </row>
    <row r="7" spans="1:9" ht="13.8" thickBot="1" x14ac:dyDescent="0.3">
      <c r="A7" s="36"/>
      <c r="B7" s="37"/>
      <c r="C7" s="37"/>
      <c r="D7" s="25"/>
      <c r="E7" s="25"/>
      <c r="F7" s="25"/>
      <c r="G7" s="25"/>
      <c r="H7" s="25"/>
      <c r="I7" s="25"/>
    </row>
    <row r="8" spans="1:9" ht="27.75" customHeight="1" thickBot="1" x14ac:dyDescent="0.3">
      <c r="A8" s="307" t="s">
        <v>48</v>
      </c>
      <c r="B8" s="308"/>
      <c r="C8" s="309"/>
      <c r="D8" s="186"/>
      <c r="E8" s="186"/>
      <c r="F8" s="186"/>
      <c r="G8" s="186"/>
      <c r="H8" s="186"/>
      <c r="I8" s="186"/>
    </row>
    <row r="9" spans="1:9" x14ac:dyDescent="0.25">
      <c r="A9" s="38" t="s">
        <v>52</v>
      </c>
      <c r="B9" s="39"/>
      <c r="C9" s="39"/>
      <c r="D9" s="105">
        <v>4896.375</v>
      </c>
      <c r="E9" s="105">
        <v>5786.625</v>
      </c>
      <c r="F9" s="105">
        <v>6676.8750000000009</v>
      </c>
      <c r="G9" s="105">
        <v>7122.0000000000009</v>
      </c>
      <c r="H9" s="105">
        <v>7122.0000000000009</v>
      </c>
      <c r="I9" s="105">
        <v>7122.0000000000009</v>
      </c>
    </row>
    <row r="10" spans="1:9" x14ac:dyDescent="0.25">
      <c r="A10" s="35" t="s">
        <v>53</v>
      </c>
      <c r="B10" s="40"/>
      <c r="C10" s="40"/>
      <c r="D10" s="104">
        <v>8204.7200000000012</v>
      </c>
      <c r="E10" s="104">
        <v>10183.9</v>
      </c>
      <c r="F10" s="104">
        <v>12163.080000000002</v>
      </c>
      <c r="G10" s="104">
        <v>14116.660000000002</v>
      </c>
      <c r="H10" s="104">
        <v>16095.84</v>
      </c>
      <c r="I10" s="104">
        <v>18075.02</v>
      </c>
    </row>
    <row r="11" spans="1:9" x14ac:dyDescent="0.25">
      <c r="A11" s="35" t="s">
        <v>54</v>
      </c>
      <c r="B11" s="40"/>
      <c r="C11" s="40"/>
      <c r="D11" s="104">
        <v>179.48700000000002</v>
      </c>
      <c r="E11" s="104">
        <v>179.48700000000002</v>
      </c>
      <c r="F11" s="104">
        <v>179.48700000000002</v>
      </c>
      <c r="G11" s="104">
        <v>179.48700000000002</v>
      </c>
      <c r="H11" s="104">
        <v>179.48700000000002</v>
      </c>
      <c r="I11" s="104">
        <v>179.48700000000002</v>
      </c>
    </row>
    <row r="12" spans="1:9" x14ac:dyDescent="0.25">
      <c r="A12" s="35" t="s">
        <v>55</v>
      </c>
      <c r="B12" s="40"/>
      <c r="C12" s="40"/>
      <c r="D12" s="104">
        <v>1721.9755500000001</v>
      </c>
      <c r="E12" s="104">
        <v>1810.7435500000001</v>
      </c>
      <c r="F12" s="104">
        <v>1899.5115500000002</v>
      </c>
      <c r="G12" s="104">
        <v>1988.2795500000002</v>
      </c>
      <c r="H12" s="104">
        <v>2077.0475500000002</v>
      </c>
      <c r="I12" s="104">
        <v>2165.8155500000003</v>
      </c>
    </row>
    <row r="13" spans="1:9" x14ac:dyDescent="0.25">
      <c r="A13" s="35" t="s">
        <v>56</v>
      </c>
      <c r="B13" s="40"/>
      <c r="C13" s="40"/>
      <c r="D13" s="104">
        <v>687.66288715740018</v>
      </c>
      <c r="E13" s="104">
        <v>704.07340023740016</v>
      </c>
      <c r="F13" s="104">
        <v>720.48391331740015</v>
      </c>
      <c r="G13" s="104">
        <v>736.89442639740014</v>
      </c>
      <c r="H13" s="104">
        <v>753.30493947740013</v>
      </c>
      <c r="I13" s="104">
        <v>769.71545255740011</v>
      </c>
    </row>
    <row r="14" spans="1:9" x14ac:dyDescent="0.25">
      <c r="A14" s="35" t="s">
        <v>57</v>
      </c>
      <c r="B14" s="40"/>
      <c r="C14" s="40"/>
      <c r="D14" s="104">
        <v>1355.2874502537215</v>
      </c>
      <c r="E14" s="104">
        <v>1355.2874502537215</v>
      </c>
      <c r="F14" s="104">
        <v>1355.2874502537215</v>
      </c>
      <c r="G14" s="104">
        <v>1355.2874502537215</v>
      </c>
      <c r="H14" s="104">
        <v>1355.2874502537215</v>
      </c>
      <c r="I14" s="104">
        <v>1355.2874502537215</v>
      </c>
    </row>
    <row r="15" spans="1:9" x14ac:dyDescent="0.25">
      <c r="A15" s="35" t="s">
        <v>58</v>
      </c>
      <c r="B15" s="40"/>
      <c r="C15" s="40"/>
      <c r="D15" s="104">
        <v>1062.494929408</v>
      </c>
      <c r="E15" s="104">
        <v>1062.494929408</v>
      </c>
      <c r="F15" s="104">
        <v>1062.494929408</v>
      </c>
      <c r="G15" s="104">
        <v>1062.494929408</v>
      </c>
      <c r="H15" s="104">
        <v>1062.494929408</v>
      </c>
      <c r="I15" s="104">
        <v>1062.494929408</v>
      </c>
    </row>
    <row r="16" spans="1:9" x14ac:dyDescent="0.25">
      <c r="A16" s="35" t="s">
        <v>59</v>
      </c>
      <c r="B16" s="40"/>
      <c r="C16" s="40"/>
      <c r="D16" s="104">
        <v>0</v>
      </c>
      <c r="E16" s="104">
        <v>0</v>
      </c>
      <c r="F16" s="104">
        <v>0</v>
      </c>
      <c r="G16" s="104">
        <v>0</v>
      </c>
      <c r="H16" s="104">
        <v>0</v>
      </c>
      <c r="I16" s="104">
        <v>0</v>
      </c>
    </row>
    <row r="17" spans="1:10" x14ac:dyDescent="0.25">
      <c r="A17" s="35" t="s">
        <v>121</v>
      </c>
      <c r="B17" s="40"/>
      <c r="C17" s="40"/>
      <c r="D17" s="104">
        <v>8086.3746640000008</v>
      </c>
      <c r="E17" s="104">
        <v>8086.3746640000008</v>
      </c>
      <c r="F17" s="104">
        <v>8086.3746640000008</v>
      </c>
      <c r="G17" s="104">
        <v>8086.3746640000008</v>
      </c>
      <c r="H17" s="104">
        <v>8086.3746640000008</v>
      </c>
      <c r="I17" s="104">
        <v>8086.3746640000008</v>
      </c>
    </row>
    <row r="18" spans="1:10" x14ac:dyDescent="0.25">
      <c r="A18" s="35" t="s">
        <v>60</v>
      </c>
      <c r="B18" s="40"/>
      <c r="C18" s="40"/>
      <c r="D18" s="104">
        <v>2876.104838385013</v>
      </c>
      <c r="E18" s="104">
        <v>3214.9197865850128</v>
      </c>
      <c r="F18" s="104">
        <v>3553.7347347850136</v>
      </c>
      <c r="G18" s="104">
        <v>3842.4725553254389</v>
      </c>
      <c r="H18" s="104">
        <v>4086.580056716929</v>
      </c>
      <c r="I18" s="104">
        <v>4330.6875581084178</v>
      </c>
    </row>
    <row r="19" spans="1:10" x14ac:dyDescent="0.25">
      <c r="A19" s="35" t="s">
        <v>61</v>
      </c>
      <c r="B19" s="40"/>
      <c r="C19" s="40"/>
      <c r="D19" s="104">
        <v>0</v>
      </c>
      <c r="E19" s="104">
        <v>0</v>
      </c>
      <c r="F19" s="104">
        <v>0</v>
      </c>
      <c r="G19" s="104">
        <v>0</v>
      </c>
      <c r="H19" s="104">
        <v>0</v>
      </c>
      <c r="I19" s="104">
        <v>0</v>
      </c>
    </row>
    <row r="20" spans="1:10" x14ac:dyDescent="0.25">
      <c r="A20" s="35" t="s">
        <v>62</v>
      </c>
      <c r="B20" s="40"/>
      <c r="C20" s="40"/>
      <c r="D20" s="104">
        <v>841.00800000000004</v>
      </c>
      <c r="E20" s="104">
        <v>1051.26</v>
      </c>
      <c r="F20" s="104">
        <v>1261.5119999999999</v>
      </c>
      <c r="G20" s="104">
        <v>1471.7640000000001</v>
      </c>
      <c r="H20" s="104">
        <v>1682.0160000000001</v>
      </c>
      <c r="I20" s="104">
        <v>1892.268</v>
      </c>
    </row>
    <row r="21" spans="1:10" x14ac:dyDescent="0.25">
      <c r="A21" s="35" t="s">
        <v>63</v>
      </c>
      <c r="B21" s="40"/>
      <c r="C21" s="40"/>
      <c r="D21" s="104">
        <v>0</v>
      </c>
      <c r="E21" s="104">
        <v>0</v>
      </c>
      <c r="F21" s="104">
        <v>0</v>
      </c>
      <c r="G21" s="104">
        <v>0</v>
      </c>
      <c r="H21" s="104">
        <v>0</v>
      </c>
      <c r="I21" s="104">
        <v>0</v>
      </c>
    </row>
    <row r="22" spans="1:10" s="8" customFormat="1" x14ac:dyDescent="0.25">
      <c r="A22" s="35" t="s">
        <v>64</v>
      </c>
      <c r="B22" s="40"/>
      <c r="C22" s="40"/>
      <c r="D22" s="104">
        <v>0</v>
      </c>
      <c r="E22" s="104">
        <v>0</v>
      </c>
      <c r="F22" s="104">
        <v>0</v>
      </c>
      <c r="G22" s="104">
        <v>0</v>
      </c>
      <c r="H22" s="104">
        <v>0</v>
      </c>
      <c r="I22" s="104">
        <v>0</v>
      </c>
      <c r="J22" s="1"/>
    </row>
    <row r="23" spans="1:10" s="8" customFormat="1" x14ac:dyDescent="0.25">
      <c r="A23" s="35" t="s">
        <v>65</v>
      </c>
      <c r="B23" s="40"/>
      <c r="C23" s="40"/>
      <c r="D23" s="104">
        <v>0</v>
      </c>
      <c r="E23" s="104">
        <v>0</v>
      </c>
      <c r="F23" s="104">
        <v>0</v>
      </c>
      <c r="G23" s="104">
        <v>0</v>
      </c>
      <c r="H23" s="104">
        <v>0</v>
      </c>
      <c r="I23" s="104">
        <v>0</v>
      </c>
      <c r="J23" s="1"/>
    </row>
    <row r="24" spans="1:10" s="8" customFormat="1" x14ac:dyDescent="0.25">
      <c r="A24" s="35" t="s">
        <v>66</v>
      </c>
      <c r="B24" s="40"/>
      <c r="C24" s="40"/>
      <c r="D24" s="104">
        <v>0</v>
      </c>
      <c r="E24" s="104">
        <v>0</v>
      </c>
      <c r="F24" s="104">
        <v>0</v>
      </c>
      <c r="G24" s="104">
        <v>0</v>
      </c>
      <c r="H24" s="104">
        <v>0</v>
      </c>
      <c r="I24" s="104">
        <v>0</v>
      </c>
      <c r="J24" s="1"/>
    </row>
    <row r="25" spans="1:10" s="8" customFormat="1" ht="13.8" thickBot="1" x14ac:dyDescent="0.3">
      <c r="A25" s="35" t="s">
        <v>67</v>
      </c>
      <c r="B25" s="40"/>
      <c r="C25" s="40"/>
      <c r="D25" s="104">
        <v>1757.3000562532427</v>
      </c>
      <c r="E25" s="104">
        <v>1964.3159896034433</v>
      </c>
      <c r="F25" s="104">
        <v>2171.3319229536432</v>
      </c>
      <c r="G25" s="104">
        <v>2347.7507313038432</v>
      </c>
      <c r="H25" s="104">
        <v>2496.9004146540433</v>
      </c>
      <c r="I25" s="104">
        <v>2646.050098004243</v>
      </c>
      <c r="J25" s="1"/>
    </row>
    <row r="26" spans="1:10" s="8" customFormat="1" ht="26.25" customHeight="1" thickBot="1" x14ac:dyDescent="0.3">
      <c r="A26" s="265" t="s">
        <v>68</v>
      </c>
      <c r="B26" s="266"/>
      <c r="C26" s="267"/>
      <c r="D26" s="177">
        <f t="shared" ref="D26:I26" si="1">SUM(D9:D25)</f>
        <v>31668.790375457382</v>
      </c>
      <c r="E26" s="177">
        <f t="shared" si="1"/>
        <v>35399.481770087579</v>
      </c>
      <c r="F26" s="177">
        <f t="shared" si="1"/>
        <v>39130.173164717788</v>
      </c>
      <c r="G26" s="177">
        <f t="shared" si="1"/>
        <v>42309.465306688413</v>
      </c>
      <c r="H26" s="177">
        <f t="shared" si="1"/>
        <v>44997.333004510103</v>
      </c>
      <c r="I26" s="177">
        <f t="shared" si="1"/>
        <v>47685.200702331786</v>
      </c>
      <c r="J26" s="1"/>
    </row>
    <row r="27" spans="1:10" s="8" customFormat="1" ht="13.8" thickBot="1" x14ac:dyDescent="0.3">
      <c r="A27" s="41"/>
      <c r="B27" s="42"/>
      <c r="C27" s="42"/>
      <c r="D27" s="21"/>
      <c r="E27" s="21"/>
      <c r="F27" s="21"/>
      <c r="G27" s="21"/>
      <c r="H27" s="21"/>
      <c r="I27" s="21"/>
      <c r="J27" s="1"/>
    </row>
    <row r="28" spans="1:10" ht="13.8" thickBot="1" x14ac:dyDescent="0.3">
      <c r="A28" s="262" t="s">
        <v>69</v>
      </c>
      <c r="B28" s="263"/>
      <c r="C28" s="264"/>
      <c r="D28" s="178">
        <f>'[4]Bes-mielies'!$D$226</f>
        <v>4692.28</v>
      </c>
      <c r="E28" s="179">
        <f>D28</f>
        <v>4692.28</v>
      </c>
      <c r="F28" s="179">
        <f>E28</f>
        <v>4692.28</v>
      </c>
      <c r="G28" s="179">
        <f>F28</f>
        <v>4692.28</v>
      </c>
      <c r="H28" s="179">
        <f>G28</f>
        <v>4692.28</v>
      </c>
      <c r="I28" s="179">
        <f>H28</f>
        <v>4692.28</v>
      </c>
      <c r="J28" s="17"/>
    </row>
    <row r="29" spans="1:10" ht="13.8" thickBot="1" x14ac:dyDescent="0.3">
      <c r="A29" s="41"/>
      <c r="B29" s="42"/>
      <c r="C29" s="42"/>
      <c r="D29" s="21"/>
      <c r="E29" s="21"/>
      <c r="F29" s="21"/>
      <c r="G29" s="21"/>
      <c r="H29" s="21"/>
      <c r="I29" s="21"/>
    </row>
    <row r="30" spans="1:10" ht="26.25" customHeight="1" thickBot="1" x14ac:dyDescent="0.3">
      <c r="A30" s="265" t="s">
        <v>70</v>
      </c>
      <c r="B30" s="266"/>
      <c r="C30" s="267"/>
      <c r="D30" s="177">
        <f t="shared" ref="D30:I30" si="2">D26+D28</f>
        <v>36361.070375457384</v>
      </c>
      <c r="E30" s="177">
        <f t="shared" si="2"/>
        <v>40091.761770087578</v>
      </c>
      <c r="F30" s="177">
        <f t="shared" si="2"/>
        <v>43822.453164717786</v>
      </c>
      <c r="G30" s="177">
        <f t="shared" si="2"/>
        <v>47001.745306688412</v>
      </c>
      <c r="H30" s="177">
        <f t="shared" si="2"/>
        <v>49689.613004510102</v>
      </c>
      <c r="I30" s="177">
        <f t="shared" si="2"/>
        <v>52377.480702331784</v>
      </c>
    </row>
    <row r="31" spans="1:10" ht="13.8" thickBot="1" x14ac:dyDescent="0.3">
      <c r="A31" s="36"/>
      <c r="B31" s="37"/>
      <c r="C31" s="37"/>
      <c r="D31" s="22"/>
      <c r="E31" s="22"/>
      <c r="F31" s="22"/>
      <c r="G31" s="22"/>
      <c r="H31" s="22"/>
      <c r="I31" s="22"/>
    </row>
    <row r="32" spans="1:10" ht="26.25" customHeight="1" thickBot="1" x14ac:dyDescent="0.3">
      <c r="A32" s="265" t="s">
        <v>71</v>
      </c>
      <c r="B32" s="281"/>
      <c r="C32" s="282"/>
      <c r="D32" s="177">
        <f t="shared" ref="D32:I32" si="3">D30/D5</f>
        <v>4545.133796932173</v>
      </c>
      <c r="E32" s="177">
        <f t="shared" si="3"/>
        <v>4009.1761770087578</v>
      </c>
      <c r="F32" s="177">
        <f t="shared" si="3"/>
        <v>3651.8710970598154</v>
      </c>
      <c r="G32" s="177">
        <f t="shared" si="3"/>
        <v>3357.2675219063153</v>
      </c>
      <c r="H32" s="177">
        <f t="shared" si="3"/>
        <v>3105.6008127818814</v>
      </c>
      <c r="I32" s="177">
        <f t="shared" si="3"/>
        <v>2909.8600390184324</v>
      </c>
    </row>
    <row r="33" spans="1:10" ht="13.8" thickBot="1" x14ac:dyDescent="0.3">
      <c r="A33" s="36"/>
      <c r="B33" s="37"/>
      <c r="C33" s="37"/>
      <c r="D33" s="22"/>
      <c r="E33" s="22"/>
      <c r="F33" s="22"/>
      <c r="G33" s="22"/>
      <c r="H33" s="22"/>
      <c r="I33" s="22"/>
    </row>
    <row r="34" spans="1:10" ht="13.8" thickBot="1" x14ac:dyDescent="0.3">
      <c r="A34" s="173" t="s">
        <v>72</v>
      </c>
      <c r="B34" s="184"/>
      <c r="C34" s="184"/>
      <c r="D34" s="177">
        <f>'Pryse + Sensatiwiteitsanali'!D4</f>
        <v>399</v>
      </c>
      <c r="E34" s="177">
        <f>$D$34</f>
        <v>399</v>
      </c>
      <c r="F34" s="177">
        <f>$D$34</f>
        <v>399</v>
      </c>
      <c r="G34" s="177">
        <f>$D$34</f>
        <v>399</v>
      </c>
      <c r="H34" s="177">
        <f>$D$34</f>
        <v>399</v>
      </c>
      <c r="I34" s="177">
        <f>$D$34</f>
        <v>399</v>
      </c>
    </row>
    <row r="35" spans="1:10" ht="13.8" thickBot="1" x14ac:dyDescent="0.3">
      <c r="A35" s="36"/>
      <c r="B35" s="37"/>
      <c r="C35" s="37"/>
      <c r="D35" s="22"/>
      <c r="E35" s="22"/>
      <c r="F35" s="22"/>
      <c r="G35" s="22"/>
      <c r="H35" s="22"/>
      <c r="I35" s="22"/>
    </row>
    <row r="36" spans="1:10" ht="23.25" customHeight="1" thickBot="1" x14ac:dyDescent="0.3">
      <c r="A36" s="298" t="s">
        <v>73</v>
      </c>
      <c r="B36" s="299"/>
      <c r="C36" s="300"/>
      <c r="D36" s="167">
        <f t="shared" ref="D36:I36" si="4">D32+D34</f>
        <v>4944.133796932173</v>
      </c>
      <c r="E36" s="167">
        <f t="shared" si="4"/>
        <v>4408.1761770087578</v>
      </c>
      <c r="F36" s="167">
        <f t="shared" si="4"/>
        <v>4050.8710970598154</v>
      </c>
      <c r="G36" s="167">
        <f t="shared" si="4"/>
        <v>3756.2675219063153</v>
      </c>
      <c r="H36" s="167">
        <f t="shared" si="4"/>
        <v>3504.6008127818814</v>
      </c>
      <c r="I36" s="167">
        <f t="shared" si="4"/>
        <v>3308.8600390184324</v>
      </c>
    </row>
    <row r="37" spans="1:10" ht="13.8" thickBot="1" x14ac:dyDescent="0.3">
      <c r="A37" s="181" t="s">
        <v>74</v>
      </c>
      <c r="B37" s="182"/>
      <c r="C37" s="183"/>
      <c r="D37" s="167">
        <f>'Pryse + Sensatiwiteitsanali'!B4</f>
        <v>4455</v>
      </c>
      <c r="E37" s="167">
        <f>$D$37</f>
        <v>4455</v>
      </c>
      <c r="F37" s="167">
        <v>3000</v>
      </c>
      <c r="G37" s="167">
        <v>3000</v>
      </c>
      <c r="H37" s="167">
        <v>3000</v>
      </c>
      <c r="I37" s="167">
        <v>3000</v>
      </c>
    </row>
    <row r="38" spans="1:10" ht="13.8" thickBot="1" x14ac:dyDescent="0.3"/>
    <row r="39" spans="1:10" customFormat="1" ht="14.4" x14ac:dyDescent="0.3">
      <c r="A39" s="291" t="s">
        <v>75</v>
      </c>
      <c r="B39" s="301"/>
      <c r="C39" s="302"/>
      <c r="D39" s="158">
        <f>D6-D26</f>
        <v>779.20962454261826</v>
      </c>
      <c r="E39" s="158">
        <f>E6-E26</f>
        <v>5160.5182299124208</v>
      </c>
      <c r="F39" s="158">
        <f>F6-F26</f>
        <v>9541.8268352822124</v>
      </c>
      <c r="G39" s="158">
        <f t="shared" ref="G39:I39" si="5">G6-G26</f>
        <v>14474.534693311587</v>
      </c>
      <c r="H39" s="158">
        <f t="shared" si="5"/>
        <v>19898.666995489897</v>
      </c>
      <c r="I39" s="158">
        <f t="shared" si="5"/>
        <v>25322.799297668214</v>
      </c>
    </row>
    <row r="40" spans="1:10" customFormat="1" ht="15" thickBot="1" x14ac:dyDescent="0.35">
      <c r="A40" s="293" t="s">
        <v>76</v>
      </c>
      <c r="B40" s="303"/>
      <c r="C40" s="304"/>
      <c r="D40" s="161">
        <f>D6-D30</f>
        <v>-3913.0703754573842</v>
      </c>
      <c r="E40" s="161">
        <f>E6-E30</f>
        <v>468.23822991242196</v>
      </c>
      <c r="F40" s="161">
        <f>F6-F30</f>
        <v>4849.5468352822136</v>
      </c>
      <c r="G40" s="161">
        <f t="shared" ref="G40:I40" si="6">G6-G30</f>
        <v>9782.2546933115882</v>
      </c>
      <c r="H40" s="161">
        <f t="shared" si="6"/>
        <v>15206.386995489898</v>
      </c>
      <c r="I40" s="161">
        <f t="shared" si="6"/>
        <v>20630.519297668216</v>
      </c>
    </row>
    <row r="41" spans="1:10" ht="14.4" x14ac:dyDescent="0.25">
      <c r="A41" s="45" t="s">
        <v>77</v>
      </c>
      <c r="B41" s="46"/>
      <c r="C41" s="46"/>
      <c r="D41" s="46"/>
      <c r="E41" s="46"/>
      <c r="F41" s="46"/>
      <c r="G41" s="46"/>
      <c r="H41" s="47"/>
      <c r="I41" s="44"/>
      <c r="J41" s="44"/>
    </row>
    <row r="42" spans="1:10" ht="14.4" x14ac:dyDescent="0.25">
      <c r="A42" s="48" t="s">
        <v>78</v>
      </c>
      <c r="B42" s="49"/>
      <c r="C42" s="49"/>
      <c r="D42" s="49"/>
      <c r="E42" s="49"/>
      <c r="F42" s="49"/>
      <c r="G42" s="49"/>
      <c r="H42" s="50"/>
      <c r="I42" s="44"/>
      <c r="J42" s="44"/>
    </row>
    <row r="43" spans="1:10" ht="15" thickBot="1" x14ac:dyDescent="0.3">
      <c r="A43" s="51" t="s">
        <v>79</v>
      </c>
      <c r="B43" s="52"/>
      <c r="C43" s="52"/>
      <c r="D43" s="52"/>
      <c r="E43" s="52"/>
      <c r="F43" s="52"/>
      <c r="G43" s="52"/>
      <c r="H43" s="53"/>
      <c r="I43" s="44"/>
      <c r="J43" s="44"/>
    </row>
    <row r="44" spans="1:10" x14ac:dyDescent="0.25">
      <c r="A44" s="269" t="s">
        <v>80</v>
      </c>
      <c r="B44" s="270"/>
      <c r="C44" s="270"/>
      <c r="D44" s="270"/>
      <c r="E44" s="270"/>
      <c r="F44" s="270"/>
      <c r="G44" s="270"/>
      <c r="H44" s="271"/>
    </row>
    <row r="45" spans="1:10" x14ac:dyDescent="0.25">
      <c r="A45" s="272"/>
      <c r="B45" s="273"/>
      <c r="C45" s="273"/>
      <c r="D45" s="273"/>
      <c r="E45" s="273"/>
      <c r="F45" s="273"/>
      <c r="G45" s="273"/>
      <c r="H45" s="274"/>
    </row>
    <row r="46" spans="1:10" x14ac:dyDescent="0.25">
      <c r="A46" s="272"/>
      <c r="B46" s="273"/>
      <c r="C46" s="273"/>
      <c r="D46" s="273"/>
      <c r="E46" s="273"/>
      <c r="F46" s="273"/>
      <c r="G46" s="273"/>
      <c r="H46" s="274"/>
    </row>
    <row r="47" spans="1:10" ht="13.8" thickBot="1" x14ac:dyDescent="0.3">
      <c r="A47" s="275"/>
      <c r="B47" s="276"/>
      <c r="C47" s="276"/>
      <c r="D47" s="276"/>
      <c r="E47" s="276"/>
      <c r="F47" s="276"/>
      <c r="G47" s="276"/>
      <c r="H47" s="277"/>
    </row>
  </sheetData>
  <mergeCells count="12">
    <mergeCell ref="A44:H47"/>
    <mergeCell ref="A1:D1"/>
    <mergeCell ref="E1:G1"/>
    <mergeCell ref="A36:C36"/>
    <mergeCell ref="A3:C3"/>
    <mergeCell ref="A8:C8"/>
    <mergeCell ref="A26:C26"/>
    <mergeCell ref="A28:C28"/>
    <mergeCell ref="A30:C30"/>
    <mergeCell ref="A32:C32"/>
    <mergeCell ref="A39:C39"/>
    <mergeCell ref="A40:C40"/>
  </mergeCells>
  <phoneticPr fontId="0" type="noConversion"/>
  <conditionalFormatting sqref="D39:I4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1" fitToHeight="0" orientation="portrait" verticalDpi="300" r:id="rId1"/>
  <headerFooter alignWithMargins="0">
    <oddHeader>&amp;F</oddHeader>
    <oddFooter>&amp;A&amp;RPage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F190A-0CC6-4019-959C-7DE2F04DCDD8}">
  <dimension ref="A1:F77"/>
  <sheetViews>
    <sheetView topLeftCell="A13" zoomScale="58" zoomScaleNormal="58" workbookViewId="0">
      <selection activeCell="AE56" sqref="AE56"/>
    </sheetView>
  </sheetViews>
  <sheetFormatPr defaultColWidth="9.109375" defaultRowHeight="14.4" x14ac:dyDescent="0.3"/>
  <cols>
    <col min="1" max="1" width="17.6640625" style="200" bestFit="1" customWidth="1"/>
    <col min="2" max="2" width="17.6640625" style="200" customWidth="1"/>
    <col min="3" max="16384" width="9.109375" style="200"/>
  </cols>
  <sheetData>
    <row r="1" spans="1:6" x14ac:dyDescent="0.3">
      <c r="A1" s="317" t="s">
        <v>147</v>
      </c>
      <c r="B1" s="318"/>
      <c r="C1" s="319"/>
      <c r="D1" s="317" t="s">
        <v>148</v>
      </c>
      <c r="E1" s="318"/>
      <c r="F1" s="319"/>
    </row>
    <row r="2" spans="1:6" x14ac:dyDescent="0.3">
      <c r="A2" s="201" t="s">
        <v>149</v>
      </c>
      <c r="B2" s="200">
        <v>0</v>
      </c>
      <c r="C2" s="202">
        <v>0</v>
      </c>
      <c r="D2" s="200" t="s">
        <v>150</v>
      </c>
      <c r="F2" s="203">
        <f>((B4+B3+F7)/B7)*100</f>
        <v>54.09038705607643</v>
      </c>
    </row>
    <row r="3" spans="1:6" x14ac:dyDescent="0.3">
      <c r="A3" s="201" t="s">
        <v>151</v>
      </c>
      <c r="B3" s="204">
        <f>'Crop Comparison'!C28</f>
        <v>17675.195159612522</v>
      </c>
      <c r="C3" s="203">
        <f>B3/$B$7*100</f>
        <v>39.490216748249892</v>
      </c>
      <c r="D3" s="200" t="s">
        <v>148</v>
      </c>
      <c r="F3" s="202">
        <v>1</v>
      </c>
    </row>
    <row r="4" spans="1:6" x14ac:dyDescent="0.3">
      <c r="A4" s="201" t="s">
        <v>152</v>
      </c>
      <c r="B4" s="204">
        <f>'Crop Comparison'!C30</f>
        <v>2873.22</v>
      </c>
      <c r="C4" s="203">
        <f>B4/$B$7*100</f>
        <v>6.4193961956736834</v>
      </c>
      <c r="D4" s="200" t="s">
        <v>153</v>
      </c>
      <c r="F4" s="203">
        <f>C7-F3-F2</f>
        <v>144.90961294392358</v>
      </c>
    </row>
    <row r="5" spans="1:6" x14ac:dyDescent="0.3">
      <c r="A5" s="201" t="s">
        <v>154</v>
      </c>
      <c r="B5" s="204">
        <f>'Crop Comparison'!C8</f>
        <v>24210</v>
      </c>
      <c r="C5" s="203">
        <f>B5/$B$7*100</f>
        <v>54.09038705607643</v>
      </c>
      <c r="D5" s="201"/>
      <c r="F5" s="202"/>
    </row>
    <row r="6" spans="1:6" x14ac:dyDescent="0.3">
      <c r="A6" s="201" t="s">
        <v>155</v>
      </c>
      <c r="C6" s="202">
        <v>100</v>
      </c>
      <c r="D6" s="201"/>
      <c r="F6" s="202"/>
    </row>
    <row r="7" spans="1:6" ht="15" thickBot="1" x14ac:dyDescent="0.35">
      <c r="A7" s="205" t="s">
        <v>156</v>
      </c>
      <c r="B7" s="206">
        <f>SUM(B3:B5)</f>
        <v>44758.415159612523</v>
      </c>
      <c r="C7" s="207">
        <f>SUM(C2:C6)</f>
        <v>200</v>
      </c>
      <c r="D7" s="205" t="s">
        <v>157</v>
      </c>
      <c r="E7" s="208"/>
      <c r="F7" s="209">
        <f>B5-(B3+B4)</f>
        <v>3661.584840387477</v>
      </c>
    </row>
    <row r="16" spans="1:6" ht="15" thickBot="1" x14ac:dyDescent="0.35"/>
    <row r="17" spans="1:6" x14ac:dyDescent="0.3">
      <c r="A17" s="317" t="s">
        <v>158</v>
      </c>
      <c r="B17" s="318"/>
      <c r="C17" s="319"/>
      <c r="D17" s="317" t="s">
        <v>148</v>
      </c>
      <c r="E17" s="318"/>
      <c r="F17" s="319"/>
    </row>
    <row r="18" spans="1:6" x14ac:dyDescent="0.3">
      <c r="A18" s="201" t="s">
        <v>149</v>
      </c>
      <c r="B18" s="200">
        <v>0</v>
      </c>
      <c r="C18" s="202">
        <v>0</v>
      </c>
      <c r="D18" s="200" t="s">
        <v>150</v>
      </c>
      <c r="F18" s="203">
        <f>((B20+B19+F23)/B23)*100</f>
        <v>49.318625302474089</v>
      </c>
    </row>
    <row r="19" spans="1:6" x14ac:dyDescent="0.3">
      <c r="A19" s="201" t="s">
        <v>151</v>
      </c>
      <c r="B19" s="204">
        <f>'Crop Comparison'!B28</f>
        <v>13571.282999069645</v>
      </c>
      <c r="C19" s="203">
        <f>B19/$B$23*100</f>
        <v>41.469456078373767</v>
      </c>
      <c r="D19" s="200" t="s">
        <v>148</v>
      </c>
      <c r="F19" s="202">
        <v>1</v>
      </c>
    </row>
    <row r="20" spans="1:6" x14ac:dyDescent="0.3">
      <c r="A20" s="201" t="s">
        <v>152</v>
      </c>
      <c r="B20" s="204">
        <f>'Crop Comparison'!B30</f>
        <v>3014.6900000000005</v>
      </c>
      <c r="C20" s="203">
        <f>B20/$B$23*100</f>
        <v>9.2119186191521454</v>
      </c>
      <c r="D20" s="200" t="s">
        <v>153</v>
      </c>
      <c r="F20" s="203">
        <f>C23-F19-F18</f>
        <v>149.68137469752591</v>
      </c>
    </row>
    <row r="21" spans="1:6" x14ac:dyDescent="0.3">
      <c r="A21" s="201" t="s">
        <v>154</v>
      </c>
      <c r="B21" s="204">
        <f>'Crop Comparison'!B8</f>
        <v>16140</v>
      </c>
      <c r="C21" s="203">
        <f>B21/$B$23*100</f>
        <v>49.318625302474089</v>
      </c>
      <c r="D21" s="201"/>
      <c r="F21" s="202"/>
    </row>
    <row r="22" spans="1:6" x14ac:dyDescent="0.3">
      <c r="A22" s="201" t="s">
        <v>155</v>
      </c>
      <c r="C22" s="203">
        <v>100</v>
      </c>
      <c r="D22" s="201"/>
      <c r="F22" s="202"/>
    </row>
    <row r="23" spans="1:6" ht="15" thickBot="1" x14ac:dyDescent="0.35">
      <c r="A23" s="205" t="s">
        <v>156</v>
      </c>
      <c r="B23" s="206">
        <f>SUM(B19:B21)</f>
        <v>32725.972999069643</v>
      </c>
      <c r="C23" s="207">
        <f>SUM(C18:C22)</f>
        <v>200</v>
      </c>
      <c r="D23" s="205" t="s">
        <v>157</v>
      </c>
      <c r="E23" s="208"/>
      <c r="F23" s="209">
        <f>B21-(B19+B20)</f>
        <v>-445.97299906964327</v>
      </c>
    </row>
    <row r="33" spans="1:6" ht="15" thickBot="1" x14ac:dyDescent="0.35"/>
    <row r="34" spans="1:6" x14ac:dyDescent="0.3">
      <c r="A34" s="317" t="s">
        <v>159</v>
      </c>
      <c r="B34" s="318"/>
      <c r="C34" s="319"/>
      <c r="D34" s="317" t="s">
        <v>148</v>
      </c>
      <c r="E34" s="318"/>
      <c r="F34" s="319"/>
    </row>
    <row r="35" spans="1:6" x14ac:dyDescent="0.3">
      <c r="A35" s="201" t="s">
        <v>149</v>
      </c>
      <c r="B35" s="200">
        <v>0</v>
      </c>
      <c r="C35" s="202">
        <v>0</v>
      </c>
      <c r="D35" s="200" t="s">
        <v>150</v>
      </c>
      <c r="F35" s="203">
        <f>((B37+B36+F40)/B40)*100</f>
        <v>52.748347222914113</v>
      </c>
    </row>
    <row r="36" spans="1:6" x14ac:dyDescent="0.3">
      <c r="A36" s="201" t="s">
        <v>151</v>
      </c>
      <c r="B36" s="204">
        <f>'Crop Comparison'!E28</f>
        <v>10933.428150432577</v>
      </c>
      <c r="C36" s="203">
        <f>B36/$B$40*100</f>
        <v>37.128710771634665</v>
      </c>
      <c r="D36" s="200" t="s">
        <v>148</v>
      </c>
      <c r="F36" s="202">
        <v>1</v>
      </c>
    </row>
    <row r="37" spans="1:6" x14ac:dyDescent="0.3">
      <c r="A37" s="201" t="s">
        <v>152</v>
      </c>
      <c r="B37" s="204">
        <f>'Crop Comparison'!E30</f>
        <v>2980.94</v>
      </c>
      <c r="C37" s="203">
        <f>B37/$B$40*100</f>
        <v>10.122942005451208</v>
      </c>
      <c r="D37" s="200" t="s">
        <v>153</v>
      </c>
      <c r="F37" s="203">
        <f>C40-F36-F35</f>
        <v>146.25165277708589</v>
      </c>
    </row>
    <row r="38" spans="1:6" x14ac:dyDescent="0.3">
      <c r="A38" s="201" t="s">
        <v>154</v>
      </c>
      <c r="B38" s="204">
        <f>'Crop Comparison'!E8</f>
        <v>15533</v>
      </c>
      <c r="C38" s="203">
        <f>B38/$B$40*100</f>
        <v>52.748347222914113</v>
      </c>
      <c r="D38" s="201"/>
      <c r="F38" s="202"/>
    </row>
    <row r="39" spans="1:6" x14ac:dyDescent="0.3">
      <c r="A39" s="201" t="s">
        <v>155</v>
      </c>
      <c r="C39" s="202">
        <v>100</v>
      </c>
      <c r="D39" s="201"/>
      <c r="F39" s="202"/>
    </row>
    <row r="40" spans="1:6" ht="15" thickBot="1" x14ac:dyDescent="0.35">
      <c r="A40" s="205" t="s">
        <v>156</v>
      </c>
      <c r="B40" s="206">
        <f>SUM(B36:B38)</f>
        <v>29447.36815043258</v>
      </c>
      <c r="C40" s="207">
        <f>SUM(C35:C39)</f>
        <v>200</v>
      </c>
      <c r="D40" s="205" t="s">
        <v>157</v>
      </c>
      <c r="E40" s="208"/>
      <c r="F40" s="209">
        <f>B38-(B36+B37)</f>
        <v>1618.6318495674223</v>
      </c>
    </row>
    <row r="50" spans="1:6" ht="15" thickBot="1" x14ac:dyDescent="0.35"/>
    <row r="51" spans="1:6" x14ac:dyDescent="0.3">
      <c r="A51" s="317" t="s">
        <v>160</v>
      </c>
      <c r="B51" s="318"/>
      <c r="C51" s="319"/>
      <c r="D51" s="317" t="s">
        <v>148</v>
      </c>
      <c r="E51" s="318"/>
      <c r="F51" s="319"/>
    </row>
    <row r="52" spans="1:6" x14ac:dyDescent="0.3">
      <c r="A52" s="201" t="s">
        <v>149</v>
      </c>
      <c r="B52" s="200">
        <v>0</v>
      </c>
      <c r="C52" s="202">
        <v>0</v>
      </c>
      <c r="D52" s="200" t="s">
        <v>150</v>
      </c>
      <c r="F52" s="203">
        <f>((B54+B53+F57)/B57)*100</f>
        <v>49.97113480934982</v>
      </c>
    </row>
    <row r="53" spans="1:6" x14ac:dyDescent="0.3">
      <c r="A53" s="201" t="s">
        <v>151</v>
      </c>
      <c r="B53" s="204">
        <f>'Crop Comparison'!F28</f>
        <v>13700.698659420732</v>
      </c>
      <c r="C53" s="203">
        <f>B53/$B$57*100</f>
        <v>42.367614077922696</v>
      </c>
      <c r="D53" s="200" t="s">
        <v>148</v>
      </c>
      <c r="F53" s="202">
        <v>1</v>
      </c>
    </row>
    <row r="54" spans="1:6" x14ac:dyDescent="0.3">
      <c r="A54" s="201" t="s">
        <v>152</v>
      </c>
      <c r="B54" s="204">
        <f>'Crop Comparison'!F30</f>
        <v>2477.4699999999998</v>
      </c>
      <c r="C54" s="203">
        <f>B54/$B$57*100</f>
        <v>7.6612511127274905</v>
      </c>
      <c r="D54" s="200" t="s">
        <v>153</v>
      </c>
      <c r="F54" s="203">
        <f>C57-F53-F52</f>
        <v>149.02886519065018</v>
      </c>
    </row>
    <row r="55" spans="1:6" x14ac:dyDescent="0.3">
      <c r="A55" s="201" t="s">
        <v>154</v>
      </c>
      <c r="B55" s="204">
        <f>'Crop Comparison'!F8</f>
        <v>16159.5</v>
      </c>
      <c r="C55" s="203">
        <f>B55/$B$57*100</f>
        <v>49.97113480934982</v>
      </c>
      <c r="D55" s="201"/>
      <c r="F55" s="202"/>
    </row>
    <row r="56" spans="1:6" x14ac:dyDescent="0.3">
      <c r="A56" s="201" t="s">
        <v>155</v>
      </c>
      <c r="C56" s="202">
        <v>100</v>
      </c>
      <c r="D56" s="201"/>
      <c r="F56" s="202"/>
    </row>
    <row r="57" spans="1:6" ht="15" thickBot="1" x14ac:dyDescent="0.35">
      <c r="A57" s="205" t="s">
        <v>156</v>
      </c>
      <c r="B57" s="206">
        <f>SUM(B53:B55)</f>
        <v>32337.668659420731</v>
      </c>
      <c r="C57" s="207">
        <f>SUM(C52:C56)</f>
        <v>200</v>
      </c>
      <c r="D57" s="205" t="s">
        <v>157</v>
      </c>
      <c r="E57" s="208"/>
      <c r="F57" s="209">
        <f>B55-(B53+B54)</f>
        <v>-18.668659420731274</v>
      </c>
    </row>
    <row r="70" spans="1:6" ht="15" thickBot="1" x14ac:dyDescent="0.35"/>
    <row r="71" spans="1:6" x14ac:dyDescent="0.3">
      <c r="A71" s="317" t="s">
        <v>161</v>
      </c>
      <c r="B71" s="318"/>
      <c r="C71" s="319"/>
      <c r="D71" s="317" t="s">
        <v>148</v>
      </c>
      <c r="E71" s="318"/>
      <c r="F71" s="319"/>
    </row>
    <row r="72" spans="1:6" x14ac:dyDescent="0.3">
      <c r="A72" s="201" t="s">
        <v>149</v>
      </c>
      <c r="B72" s="200">
        <v>0</v>
      </c>
      <c r="C72" s="202">
        <v>0</v>
      </c>
      <c r="D72" s="200" t="s">
        <v>150</v>
      </c>
      <c r="F72" s="203">
        <f>((B74+B73+F77)/B77)*100</f>
        <v>53.943861839358398</v>
      </c>
    </row>
    <row r="73" spans="1:6" x14ac:dyDescent="0.3">
      <c r="A73" s="201" t="s">
        <v>151</v>
      </c>
      <c r="B73" s="204">
        <f>'Crop Comparison'!G28</f>
        <v>10053.191887966301</v>
      </c>
      <c r="C73" s="203">
        <f>B73/$B$77*100</f>
        <v>36.667207183841292</v>
      </c>
      <c r="D73" s="200" t="s">
        <v>148</v>
      </c>
      <c r="F73" s="202">
        <v>1</v>
      </c>
    </row>
    <row r="74" spans="1:6" x14ac:dyDescent="0.3">
      <c r="A74" s="201" t="s">
        <v>152</v>
      </c>
      <c r="B74" s="204">
        <f>'Crop Comparison'!G30</f>
        <v>2574.2000000000003</v>
      </c>
      <c r="C74" s="203">
        <f t="shared" ref="C74:C75" si="0">B74/$B$77*100</f>
        <v>9.3889309768002978</v>
      </c>
      <c r="D74" s="200" t="s">
        <v>153</v>
      </c>
      <c r="F74" s="203">
        <f>C77-F73-F72</f>
        <v>145.05613816064161</v>
      </c>
    </row>
    <row r="75" spans="1:6" x14ac:dyDescent="0.3">
      <c r="A75" s="201" t="s">
        <v>154</v>
      </c>
      <c r="B75" s="204">
        <f>'Crop Comparison'!G8</f>
        <v>14790</v>
      </c>
      <c r="C75" s="203">
        <f t="shared" si="0"/>
        <v>53.943861839358398</v>
      </c>
      <c r="D75" s="201"/>
      <c r="F75" s="202"/>
    </row>
    <row r="76" spans="1:6" x14ac:dyDescent="0.3">
      <c r="A76" s="201" t="s">
        <v>155</v>
      </c>
      <c r="C76" s="202">
        <v>100</v>
      </c>
      <c r="D76" s="201"/>
      <c r="F76" s="202"/>
    </row>
    <row r="77" spans="1:6" ht="15" thickBot="1" x14ac:dyDescent="0.35">
      <c r="A77" s="205" t="s">
        <v>156</v>
      </c>
      <c r="B77" s="206">
        <f>SUM(B73:B75)</f>
        <v>27417.391887966303</v>
      </c>
      <c r="C77" s="207">
        <f>SUM(C72:C76)</f>
        <v>200</v>
      </c>
      <c r="D77" s="205" t="s">
        <v>157</v>
      </c>
      <c r="E77" s="208"/>
      <c r="F77" s="209">
        <f>B75-(B73+B74)</f>
        <v>2162.6081120336985</v>
      </c>
    </row>
  </sheetData>
  <mergeCells count="10">
    <mergeCell ref="A51:C51"/>
    <mergeCell ref="D51:F51"/>
    <mergeCell ref="A71:C71"/>
    <mergeCell ref="D71:F71"/>
    <mergeCell ref="A1:C1"/>
    <mergeCell ref="D1:F1"/>
    <mergeCell ref="A17:C17"/>
    <mergeCell ref="D17:F17"/>
    <mergeCell ref="A34:C34"/>
    <mergeCell ref="D34:F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6"/>
  <sheetViews>
    <sheetView zoomScale="85" zoomScaleNormal="85" zoomScaleSheetLayoutView="90" workbookViewId="0">
      <selection activeCell="G9" sqref="G9:G24"/>
    </sheetView>
  </sheetViews>
  <sheetFormatPr defaultColWidth="9.109375" defaultRowHeight="13.2" x14ac:dyDescent="0.25"/>
  <cols>
    <col min="1" max="1" width="41.6640625" style="1" customWidth="1"/>
    <col min="2" max="2" width="18.33203125" style="1" customWidth="1"/>
    <col min="3" max="3" width="17.33203125" style="1" customWidth="1"/>
    <col min="4" max="4" width="13.109375" style="1" customWidth="1"/>
    <col min="5" max="5" width="14" style="1" customWidth="1"/>
    <col min="6" max="8" width="11.88671875" style="1" customWidth="1"/>
    <col min="9" max="9" width="12.88671875" style="1" bestFit="1" customWidth="1"/>
    <col min="10" max="10" width="12.44140625" style="1" bestFit="1" customWidth="1"/>
    <col min="11" max="15" width="12.6640625" style="1" hidden="1" customWidth="1"/>
    <col min="16" max="26" width="12.6640625" style="1" customWidth="1"/>
    <col min="27" max="16384" width="9.109375" style="1"/>
  </cols>
  <sheetData>
    <row r="1" spans="1:15" ht="31.5" customHeight="1" thickBot="1" x14ac:dyDescent="0.3">
      <c r="A1" s="278" t="s">
        <v>41</v>
      </c>
      <c r="B1" s="279"/>
      <c r="C1" s="279"/>
      <c r="D1" s="279"/>
      <c r="E1" s="280" t="s">
        <v>166</v>
      </c>
      <c r="F1" s="280"/>
      <c r="G1" s="280"/>
      <c r="H1" s="164"/>
      <c r="I1" s="165"/>
    </row>
    <row r="2" spans="1:15" ht="16.2" thickBot="1" x14ac:dyDescent="0.35">
      <c r="A2" s="9"/>
      <c r="B2" s="10"/>
      <c r="C2" s="11"/>
      <c r="D2" s="11"/>
      <c r="E2" s="6"/>
      <c r="F2" s="6"/>
      <c r="G2" s="6"/>
      <c r="H2" s="6"/>
      <c r="I2" s="2"/>
    </row>
    <row r="3" spans="1:15" ht="25.5" customHeight="1" thickBot="1" x14ac:dyDescent="0.3">
      <c r="A3" s="286" t="s">
        <v>43</v>
      </c>
      <c r="B3" s="287"/>
      <c r="C3" s="287"/>
      <c r="D3" s="169"/>
      <c r="E3" s="170">
        <f>'Pryse + Sensatiwiteitsanali'!B26</f>
        <v>4056</v>
      </c>
      <c r="F3" s="169" t="s">
        <v>44</v>
      </c>
      <c r="G3" s="171"/>
      <c r="H3" s="171"/>
      <c r="I3" s="172"/>
    </row>
    <row r="4" spans="1:15" ht="13.8" thickBot="1" x14ac:dyDescent="0.3">
      <c r="A4" s="33"/>
      <c r="B4" s="4"/>
      <c r="C4" s="4"/>
      <c r="D4" s="3"/>
      <c r="E4" s="5"/>
      <c r="F4" s="12"/>
      <c r="G4" s="4"/>
      <c r="H4" s="13"/>
      <c r="I4" s="13"/>
    </row>
    <row r="5" spans="1:15" ht="13.8" thickBot="1" x14ac:dyDescent="0.3">
      <c r="A5" s="34" t="s">
        <v>45</v>
      </c>
      <c r="B5" s="4"/>
      <c r="C5" s="4"/>
      <c r="D5" s="26">
        <v>3</v>
      </c>
      <c r="E5" s="26">
        <v>3.5</v>
      </c>
      <c r="F5" s="26">
        <v>4</v>
      </c>
      <c r="G5" s="26">
        <v>4.5</v>
      </c>
      <c r="H5" s="26">
        <v>5</v>
      </c>
      <c r="I5" s="26">
        <v>5.5</v>
      </c>
      <c r="M5" s="28"/>
      <c r="N5" s="28"/>
    </row>
    <row r="6" spans="1:15" ht="13.8" thickBot="1" x14ac:dyDescent="0.3">
      <c r="A6" s="173" t="s">
        <v>46</v>
      </c>
      <c r="B6" s="174"/>
      <c r="C6" s="175"/>
      <c r="D6" s="176">
        <f>$E$3*D5</f>
        <v>12168</v>
      </c>
      <c r="E6" s="176">
        <f t="shared" ref="E6:I6" si="0">$E$3*E5</f>
        <v>14196</v>
      </c>
      <c r="F6" s="176">
        <f t="shared" si="0"/>
        <v>16224</v>
      </c>
      <c r="G6" s="176">
        <f t="shared" si="0"/>
        <v>18252</v>
      </c>
      <c r="H6" s="176">
        <f t="shared" si="0"/>
        <v>20280</v>
      </c>
      <c r="I6" s="176">
        <f t="shared" si="0"/>
        <v>22308</v>
      </c>
      <c r="M6" s="29"/>
      <c r="N6" s="29"/>
    </row>
    <row r="7" spans="1:15" ht="15" thickBot="1" x14ac:dyDescent="0.35">
      <c r="A7" s="31"/>
      <c r="B7" s="32"/>
      <c r="C7" s="32"/>
      <c r="D7" s="15"/>
      <c r="E7" s="15"/>
      <c r="F7" s="15"/>
      <c r="G7" s="15"/>
      <c r="H7" s="15"/>
      <c r="I7" s="15"/>
      <c r="M7" s="268" t="s">
        <v>47</v>
      </c>
      <c r="N7" s="268"/>
      <c r="O7" s="268"/>
    </row>
    <row r="8" spans="1:15" ht="15" thickBot="1" x14ac:dyDescent="0.35">
      <c r="A8" s="288" t="s">
        <v>48</v>
      </c>
      <c r="B8" s="289"/>
      <c r="C8" s="290"/>
      <c r="D8" s="166"/>
      <c r="E8" s="166"/>
      <c r="F8" s="166"/>
      <c r="G8" s="166"/>
      <c r="H8" s="166"/>
      <c r="I8" s="166"/>
      <c r="M8" s="93" t="s">
        <v>49</v>
      </c>
      <c r="N8" s="93" t="s">
        <v>50</v>
      </c>
      <c r="O8" s="93" t="s">
        <v>51</v>
      </c>
    </row>
    <row r="9" spans="1:15" ht="14.4" x14ac:dyDescent="0.3">
      <c r="A9" s="38" t="s">
        <v>52</v>
      </c>
      <c r="B9" s="39"/>
      <c r="C9" s="39"/>
      <c r="D9" s="105">
        <v>1532.7</v>
      </c>
      <c r="E9" s="105">
        <v>1532.7</v>
      </c>
      <c r="F9" s="105">
        <v>1703</v>
      </c>
      <c r="G9" s="105">
        <v>2043.6000000000001</v>
      </c>
      <c r="H9" s="105">
        <v>2086.1750000000002</v>
      </c>
      <c r="I9" s="105">
        <v>2213.9</v>
      </c>
      <c r="K9" s="18"/>
      <c r="M9" s="94">
        <f>D5</f>
        <v>3</v>
      </c>
      <c r="N9" s="94">
        <f>D25</f>
        <v>11685.037988637767</v>
      </c>
      <c r="O9" s="94">
        <f>D27</f>
        <v>3014.6900000000005</v>
      </c>
    </row>
    <row r="10" spans="1:15" ht="14.4" x14ac:dyDescent="0.3">
      <c r="A10" s="35" t="s">
        <v>53</v>
      </c>
      <c r="B10" s="40"/>
      <c r="C10" s="40"/>
      <c r="D10" s="104">
        <v>3359.3</v>
      </c>
      <c r="E10" s="104">
        <v>3965.8999999999996</v>
      </c>
      <c r="F10" s="104">
        <v>4572.5</v>
      </c>
      <c r="G10" s="104">
        <v>5179.1000000000004</v>
      </c>
      <c r="H10" s="104">
        <v>5754.8</v>
      </c>
      <c r="I10" s="104">
        <v>6968</v>
      </c>
      <c r="K10" s="18"/>
      <c r="M10" s="94">
        <f>E5</f>
        <v>3.5</v>
      </c>
      <c r="N10" s="94">
        <f>E25</f>
        <v>12530.101877715884</v>
      </c>
      <c r="O10" s="94">
        <f>E27</f>
        <v>3014.6900000000005</v>
      </c>
    </row>
    <row r="11" spans="1:15" ht="14.4" x14ac:dyDescent="0.3">
      <c r="A11" s="35" t="s">
        <v>54</v>
      </c>
      <c r="B11" s="40"/>
      <c r="C11" s="40"/>
      <c r="D11" s="104">
        <v>760</v>
      </c>
      <c r="E11" s="104">
        <v>760</v>
      </c>
      <c r="F11" s="104">
        <v>760</v>
      </c>
      <c r="G11" s="104">
        <v>760</v>
      </c>
      <c r="H11" s="104">
        <v>760</v>
      </c>
      <c r="I11" s="104">
        <v>760</v>
      </c>
      <c r="K11" s="18"/>
      <c r="M11" s="94">
        <f>F5</f>
        <v>4</v>
      </c>
      <c r="N11" s="94">
        <f>F25</f>
        <v>13571.282999069645</v>
      </c>
      <c r="O11" s="94">
        <f>F27</f>
        <v>3014.6900000000005</v>
      </c>
    </row>
    <row r="12" spans="1:15" ht="14.4" x14ac:dyDescent="0.3">
      <c r="A12" s="35" t="s">
        <v>55</v>
      </c>
      <c r="B12" s="40"/>
      <c r="C12" s="40"/>
      <c r="D12" s="104">
        <v>1330.8209200000001</v>
      </c>
      <c r="E12" s="104">
        <v>1357.98342</v>
      </c>
      <c r="F12" s="104">
        <v>1385.1459199999999</v>
      </c>
      <c r="G12" s="104">
        <v>1412.3084200000001</v>
      </c>
      <c r="H12" s="104">
        <v>1439.47092</v>
      </c>
      <c r="I12" s="104">
        <v>1466.6334200000001</v>
      </c>
      <c r="K12" s="18"/>
      <c r="M12" s="94">
        <f>G5</f>
        <v>4.5</v>
      </c>
      <c r="N12" s="94">
        <f>G25</f>
        <v>14808.581352699046</v>
      </c>
      <c r="O12" s="94">
        <f>G27</f>
        <v>3014.6900000000005</v>
      </c>
    </row>
    <row r="13" spans="1:15" ht="14.4" x14ac:dyDescent="0.3">
      <c r="A13" s="35" t="s">
        <v>56</v>
      </c>
      <c r="B13" s="40"/>
      <c r="C13" s="40"/>
      <c r="D13" s="104">
        <v>1356.7492291200001</v>
      </c>
      <c r="E13" s="104">
        <v>1360.7268573900001</v>
      </c>
      <c r="F13" s="104">
        <v>1364.70448566</v>
      </c>
      <c r="G13" s="104">
        <v>1368.68211393</v>
      </c>
      <c r="H13" s="104">
        <v>1372.6597422</v>
      </c>
      <c r="I13" s="104">
        <v>1376.63737047</v>
      </c>
      <c r="K13" s="18"/>
      <c r="M13" s="94">
        <f>H5</f>
        <v>5</v>
      </c>
      <c r="N13" s="94">
        <f>H25</f>
        <v>15667.090154794303</v>
      </c>
      <c r="O13" s="94">
        <f>H27</f>
        <v>3014.6900000000005</v>
      </c>
    </row>
    <row r="14" spans="1:15" ht="14.4" x14ac:dyDescent="0.3">
      <c r="A14" s="35" t="s">
        <v>57</v>
      </c>
      <c r="B14" s="40"/>
      <c r="C14" s="40"/>
      <c r="D14" s="104">
        <v>1230.7600000000002</v>
      </c>
      <c r="E14" s="104">
        <v>1230.7600000000002</v>
      </c>
      <c r="F14" s="104">
        <v>1230.7600000000002</v>
      </c>
      <c r="G14" s="104">
        <v>1230.7600000000002</v>
      </c>
      <c r="H14" s="104">
        <v>1230.7600000000002</v>
      </c>
      <c r="I14" s="104">
        <v>1230.7600000000002</v>
      </c>
      <c r="K14" s="18"/>
      <c r="M14" s="94">
        <f>I5</f>
        <v>5.5</v>
      </c>
      <c r="N14" s="94">
        <f>I25</f>
        <v>17357.801645697495</v>
      </c>
      <c r="O14" s="94">
        <f>I27</f>
        <v>3014.6900000000005</v>
      </c>
    </row>
    <row r="15" spans="1:15" x14ac:dyDescent="0.25">
      <c r="A15" s="35" t="s">
        <v>58</v>
      </c>
      <c r="B15" s="40"/>
      <c r="C15" s="40"/>
      <c r="D15" s="104">
        <v>0</v>
      </c>
      <c r="E15" s="104">
        <v>0</v>
      </c>
      <c r="F15" s="104">
        <v>0</v>
      </c>
      <c r="G15" s="104">
        <v>0</v>
      </c>
      <c r="H15" s="104">
        <v>0</v>
      </c>
      <c r="I15" s="104">
        <v>0</v>
      </c>
      <c r="K15" s="18"/>
      <c r="M15" s="23"/>
      <c r="N15" s="23"/>
    </row>
    <row r="16" spans="1:15" x14ac:dyDescent="0.25">
      <c r="A16" s="35" t="s">
        <v>59</v>
      </c>
      <c r="B16" s="40"/>
      <c r="C16" s="40"/>
      <c r="D16" s="104">
        <v>237.27599999999998</v>
      </c>
      <c r="E16" s="104">
        <v>276.822</v>
      </c>
      <c r="F16" s="104">
        <v>316.36799999999999</v>
      </c>
      <c r="G16" s="104">
        <v>355.91399999999999</v>
      </c>
      <c r="H16" s="104">
        <v>395.46000000000004</v>
      </c>
      <c r="I16" s="104">
        <v>435.00599999999997</v>
      </c>
      <c r="K16" s="18"/>
      <c r="M16" s="23"/>
      <c r="N16" s="23"/>
    </row>
    <row r="17" spans="1:14" x14ac:dyDescent="0.25">
      <c r="A17" s="35" t="s">
        <v>60</v>
      </c>
      <c r="B17" s="40"/>
      <c r="C17" s="40"/>
      <c r="D17" s="104">
        <v>837.96141716697127</v>
      </c>
      <c r="E17" s="104">
        <v>898.56292610319394</v>
      </c>
      <c r="F17" s="104">
        <v>973.22846068044214</v>
      </c>
      <c r="G17" s="104">
        <v>1061.9580208987163</v>
      </c>
      <c r="H17" s="104">
        <v>1123.523696008509</v>
      </c>
      <c r="I17" s="104">
        <v>1244.7685732879268</v>
      </c>
      <c r="K17" s="18"/>
      <c r="M17" s="23"/>
      <c r="N17" s="23"/>
    </row>
    <row r="18" spans="1:14" x14ac:dyDescent="0.25">
      <c r="A18" s="35" t="s">
        <v>61</v>
      </c>
      <c r="B18" s="40"/>
      <c r="C18" s="40"/>
      <c r="D18" s="104">
        <v>0</v>
      </c>
      <c r="E18" s="104">
        <v>0</v>
      </c>
      <c r="F18" s="104">
        <v>0</v>
      </c>
      <c r="G18" s="104">
        <v>0</v>
      </c>
      <c r="H18" s="104">
        <v>0</v>
      </c>
      <c r="I18" s="104">
        <v>0</v>
      </c>
      <c r="K18" s="18"/>
      <c r="M18" s="23"/>
      <c r="N18" s="23"/>
    </row>
    <row r="19" spans="1:14" x14ac:dyDescent="0.25">
      <c r="A19" s="35" t="s">
        <v>62</v>
      </c>
      <c r="B19" s="40"/>
      <c r="C19" s="40"/>
      <c r="D19" s="104">
        <v>339.19200000000001</v>
      </c>
      <c r="E19" s="104">
        <v>395.72399999999999</v>
      </c>
      <c r="F19" s="104">
        <v>452.25600000000003</v>
      </c>
      <c r="G19" s="104">
        <v>508.78800000000001</v>
      </c>
      <c r="H19" s="104">
        <v>565.32000000000005</v>
      </c>
      <c r="I19" s="104">
        <v>621.85199999999998</v>
      </c>
      <c r="K19" s="18"/>
      <c r="M19" s="23"/>
      <c r="N19" s="23"/>
    </row>
    <row r="20" spans="1:14" x14ac:dyDescent="0.25">
      <c r="A20" s="35" t="s">
        <v>63</v>
      </c>
      <c r="B20" s="40"/>
      <c r="C20" s="40"/>
      <c r="D20" s="104">
        <v>0</v>
      </c>
      <c r="E20" s="104">
        <v>0</v>
      </c>
      <c r="F20" s="104">
        <v>0</v>
      </c>
      <c r="G20" s="104">
        <v>0</v>
      </c>
      <c r="H20" s="104">
        <v>0</v>
      </c>
      <c r="I20" s="104">
        <v>0</v>
      </c>
      <c r="K20" s="18"/>
      <c r="M20" s="23"/>
      <c r="N20" s="23"/>
    </row>
    <row r="21" spans="1:14" x14ac:dyDescent="0.25">
      <c r="A21" s="35" t="s">
        <v>64</v>
      </c>
      <c r="B21" s="40"/>
      <c r="C21" s="40"/>
      <c r="D21" s="104">
        <v>0</v>
      </c>
      <c r="E21" s="104">
        <v>0</v>
      </c>
      <c r="F21" s="104">
        <v>0</v>
      </c>
      <c r="G21" s="104">
        <v>0</v>
      </c>
      <c r="H21" s="104">
        <v>0</v>
      </c>
      <c r="I21" s="104">
        <v>0</v>
      </c>
      <c r="K21" s="18"/>
      <c r="M21" s="23"/>
      <c r="N21" s="23"/>
    </row>
    <row r="22" spans="1:14" x14ac:dyDescent="0.25">
      <c r="A22" s="35" t="s">
        <v>65</v>
      </c>
      <c r="B22" s="40"/>
      <c r="C22" s="40"/>
      <c r="D22" s="104">
        <v>0</v>
      </c>
      <c r="E22" s="104">
        <v>0</v>
      </c>
      <c r="F22" s="104">
        <v>0</v>
      </c>
      <c r="G22" s="104">
        <v>0</v>
      </c>
      <c r="H22" s="104">
        <v>0</v>
      </c>
      <c r="I22" s="104">
        <v>0</v>
      </c>
      <c r="K22" s="18"/>
      <c r="M22" s="23"/>
      <c r="N22" s="23"/>
    </row>
    <row r="23" spans="1:14" x14ac:dyDescent="0.25">
      <c r="A23" s="35" t="s">
        <v>66</v>
      </c>
      <c r="B23" s="40"/>
      <c r="C23" s="40"/>
      <c r="D23" s="104">
        <v>0</v>
      </c>
      <c r="E23" s="104">
        <v>0</v>
      </c>
      <c r="F23" s="104">
        <v>0</v>
      </c>
      <c r="G23" s="104">
        <v>0</v>
      </c>
      <c r="H23" s="104">
        <v>0</v>
      </c>
      <c r="I23" s="104">
        <v>0</v>
      </c>
      <c r="K23" s="18"/>
      <c r="M23" s="23"/>
      <c r="N23" s="23"/>
    </row>
    <row r="24" spans="1:14" ht="13.8" thickBot="1" x14ac:dyDescent="0.3">
      <c r="A24" s="35" t="s">
        <v>67</v>
      </c>
      <c r="B24" s="40"/>
      <c r="C24" s="40"/>
      <c r="D24" s="104">
        <v>700.27842235079459</v>
      </c>
      <c r="E24" s="104">
        <v>750.92267422269106</v>
      </c>
      <c r="F24" s="104">
        <v>813.32013272920324</v>
      </c>
      <c r="G24" s="104">
        <v>887.47079787033056</v>
      </c>
      <c r="H24" s="104">
        <v>938.92079658579257</v>
      </c>
      <c r="I24" s="104">
        <v>1040.2442819395678</v>
      </c>
      <c r="K24" s="18"/>
      <c r="M24" s="23"/>
      <c r="N24" s="23"/>
    </row>
    <row r="25" spans="1:14" ht="26.25" customHeight="1" thickBot="1" x14ac:dyDescent="0.3">
      <c r="A25" s="265" t="s">
        <v>68</v>
      </c>
      <c r="B25" s="266"/>
      <c r="C25" s="267"/>
      <c r="D25" s="177">
        <f t="shared" ref="D25:I25" si="1">SUM(D9:D24)</f>
        <v>11685.037988637767</v>
      </c>
      <c r="E25" s="177">
        <f t="shared" si="1"/>
        <v>12530.101877715884</v>
      </c>
      <c r="F25" s="177">
        <f t="shared" si="1"/>
        <v>13571.282999069645</v>
      </c>
      <c r="G25" s="177">
        <f t="shared" si="1"/>
        <v>14808.581352699046</v>
      </c>
      <c r="H25" s="177">
        <f t="shared" si="1"/>
        <v>15667.090154794303</v>
      </c>
      <c r="I25" s="177">
        <f t="shared" si="1"/>
        <v>17357.801645697495</v>
      </c>
      <c r="K25" s="18"/>
      <c r="M25" s="28"/>
      <c r="N25" s="28"/>
    </row>
    <row r="26" spans="1:14" ht="13.8" thickBot="1" x14ac:dyDescent="0.3">
      <c r="A26" s="41"/>
      <c r="B26" s="42"/>
      <c r="C26" s="42"/>
      <c r="D26" s="21"/>
      <c r="E26" s="21"/>
      <c r="F26" s="21"/>
      <c r="G26" s="21"/>
      <c r="H26" s="21"/>
      <c r="I26" s="21"/>
      <c r="K26" s="18"/>
    </row>
    <row r="27" spans="1:14" ht="13.8" thickBot="1" x14ac:dyDescent="0.3">
      <c r="A27" s="262" t="s">
        <v>69</v>
      </c>
      <c r="B27" s="263"/>
      <c r="C27" s="264"/>
      <c r="D27" s="178">
        <v>3014.6900000000005</v>
      </c>
      <c r="E27" s="179">
        <v>3014.6900000000005</v>
      </c>
      <c r="F27" s="179">
        <v>3014.6900000000005</v>
      </c>
      <c r="G27" s="179">
        <v>3014.6900000000005</v>
      </c>
      <c r="H27" s="179">
        <v>3014.6900000000005</v>
      </c>
      <c r="I27" s="179">
        <v>3014.6900000000005</v>
      </c>
      <c r="K27" s="18"/>
    </row>
    <row r="28" spans="1:14" ht="13.8" thickBot="1" x14ac:dyDescent="0.3">
      <c r="A28" s="41"/>
      <c r="B28" s="42"/>
      <c r="C28" s="42"/>
      <c r="D28" s="21"/>
      <c r="E28" s="21"/>
      <c r="F28" s="21"/>
      <c r="G28" s="21"/>
      <c r="H28" s="21"/>
      <c r="I28" s="21"/>
      <c r="K28" s="18"/>
    </row>
    <row r="29" spans="1:14" ht="27" customHeight="1" thickBot="1" x14ac:dyDescent="0.3">
      <c r="A29" s="265" t="s">
        <v>70</v>
      </c>
      <c r="B29" s="266"/>
      <c r="C29" s="267"/>
      <c r="D29" s="177">
        <f t="shared" ref="D29:I29" si="2">D25+D27</f>
        <v>14699.727988637767</v>
      </c>
      <c r="E29" s="177">
        <f t="shared" si="2"/>
        <v>15544.791877715885</v>
      </c>
      <c r="F29" s="177">
        <f t="shared" si="2"/>
        <v>16585.972999069643</v>
      </c>
      <c r="G29" s="177">
        <f t="shared" si="2"/>
        <v>17823.271352699048</v>
      </c>
      <c r="H29" s="177">
        <f t="shared" si="2"/>
        <v>18681.780154794302</v>
      </c>
      <c r="I29" s="177">
        <f t="shared" si="2"/>
        <v>20372.491645697497</v>
      </c>
      <c r="K29" s="18"/>
    </row>
    <row r="30" spans="1:14" ht="13.8" thickBot="1" x14ac:dyDescent="0.3">
      <c r="A30" s="36"/>
      <c r="B30" s="37"/>
      <c r="C30" s="37"/>
      <c r="D30" s="22"/>
      <c r="E30" s="22"/>
      <c r="F30" s="22"/>
      <c r="G30" s="22"/>
      <c r="H30" s="22"/>
      <c r="I30" s="22"/>
      <c r="K30" s="18"/>
    </row>
    <row r="31" spans="1:14" ht="25.5" customHeight="1" thickBot="1" x14ac:dyDescent="0.3">
      <c r="A31" s="265" t="s">
        <v>71</v>
      </c>
      <c r="B31" s="281"/>
      <c r="C31" s="282"/>
      <c r="D31" s="177">
        <f t="shared" ref="D31:I31" si="3">D29/D5</f>
        <v>4899.9093295459224</v>
      </c>
      <c r="E31" s="177">
        <f t="shared" si="3"/>
        <v>4441.3691079188238</v>
      </c>
      <c r="F31" s="177">
        <f t="shared" si="3"/>
        <v>4146.4932497674108</v>
      </c>
      <c r="G31" s="177">
        <f t="shared" si="3"/>
        <v>3960.7269672664552</v>
      </c>
      <c r="H31" s="177">
        <f t="shared" si="3"/>
        <v>3736.3560309588602</v>
      </c>
      <c r="I31" s="177">
        <f t="shared" si="3"/>
        <v>3704.0893901268178</v>
      </c>
      <c r="K31" s="18"/>
    </row>
    <row r="32" spans="1:14" ht="13.8" thickBot="1" x14ac:dyDescent="0.3">
      <c r="A32" s="31"/>
      <c r="B32" s="32"/>
      <c r="C32" s="32"/>
      <c r="D32" s="22"/>
      <c r="E32" s="22"/>
      <c r="F32" s="22"/>
      <c r="G32" s="22"/>
      <c r="H32" s="22"/>
      <c r="I32" s="22"/>
      <c r="K32" s="18"/>
    </row>
    <row r="33" spans="1:11" ht="13.8" thickBot="1" x14ac:dyDescent="0.3">
      <c r="A33" s="180" t="s">
        <v>72</v>
      </c>
      <c r="B33" s="174"/>
      <c r="C33" s="174"/>
      <c r="D33" s="177">
        <f>'Pryse + Sensatiwiteitsanali'!D4</f>
        <v>399</v>
      </c>
      <c r="E33" s="177">
        <f>$D$33</f>
        <v>399</v>
      </c>
      <c r="F33" s="177">
        <f>$D$33</f>
        <v>399</v>
      </c>
      <c r="G33" s="177">
        <f>$D$33</f>
        <v>399</v>
      </c>
      <c r="H33" s="177">
        <f>$D$33</f>
        <v>399</v>
      </c>
      <c r="I33" s="177">
        <f>$D$33</f>
        <v>399</v>
      </c>
      <c r="K33" s="18"/>
    </row>
    <row r="34" spans="1:11" ht="13.8" thickBot="1" x14ac:dyDescent="0.3">
      <c r="A34" s="31"/>
      <c r="B34" s="32"/>
      <c r="C34" s="32"/>
      <c r="D34" s="22"/>
      <c r="E34" s="22"/>
      <c r="F34" s="22"/>
      <c r="G34" s="22"/>
      <c r="H34" s="22"/>
      <c r="I34" s="22"/>
      <c r="K34" s="18"/>
    </row>
    <row r="35" spans="1:11" ht="27.75" customHeight="1" thickBot="1" x14ac:dyDescent="0.3">
      <c r="A35" s="283" t="s">
        <v>73</v>
      </c>
      <c r="B35" s="284"/>
      <c r="C35" s="285"/>
      <c r="D35" s="239">
        <f t="shared" ref="D35:I35" si="4">D31+D33</f>
        <v>5298.9093295459224</v>
      </c>
      <c r="E35" s="239">
        <f t="shared" si="4"/>
        <v>4840.3691079188238</v>
      </c>
      <c r="F35" s="239">
        <f t="shared" si="4"/>
        <v>4545.4932497674108</v>
      </c>
      <c r="G35" s="239">
        <f t="shared" si="4"/>
        <v>4359.7269672664552</v>
      </c>
      <c r="H35" s="239">
        <f t="shared" si="4"/>
        <v>4135.3560309588602</v>
      </c>
      <c r="I35" s="239">
        <f t="shared" si="4"/>
        <v>4103.0893901268173</v>
      </c>
      <c r="K35" s="18"/>
    </row>
    <row r="36" spans="1:11" ht="13.8" thickBot="1" x14ac:dyDescent="0.3">
      <c r="A36" s="168" t="s">
        <v>74</v>
      </c>
      <c r="B36" s="240"/>
      <c r="C36" s="241"/>
      <c r="D36" s="239">
        <f>'Pryse + Sensatiwiteitsanali'!B4</f>
        <v>4455</v>
      </c>
      <c r="E36" s="239">
        <f>$D$36</f>
        <v>4455</v>
      </c>
      <c r="F36" s="239">
        <f>$D$36</f>
        <v>4455</v>
      </c>
      <c r="G36" s="239">
        <f>$D$36</f>
        <v>4455</v>
      </c>
      <c r="H36" s="239">
        <f>$D$36</f>
        <v>4455</v>
      </c>
      <c r="I36" s="239">
        <f>$D$36</f>
        <v>4455</v>
      </c>
      <c r="K36" s="18"/>
    </row>
    <row r="37" spans="1:11" ht="13.8" thickBot="1" x14ac:dyDescent="0.3"/>
    <row r="38" spans="1:11" customFormat="1" ht="14.4" x14ac:dyDescent="0.3">
      <c r="A38" s="291" t="s">
        <v>75</v>
      </c>
      <c r="B38" s="292"/>
      <c r="C38" s="292"/>
      <c r="D38" s="158">
        <f t="shared" ref="D38:I38" si="5">D6-D25</f>
        <v>482.96201136223317</v>
      </c>
      <c r="E38" s="159">
        <f t="shared" si="5"/>
        <v>1665.8981222841157</v>
      </c>
      <c r="F38" s="158">
        <f t="shared" si="5"/>
        <v>2652.7170009303554</v>
      </c>
      <c r="G38" s="159">
        <f t="shared" si="5"/>
        <v>3443.418647300954</v>
      </c>
      <c r="H38" s="158">
        <f t="shared" si="5"/>
        <v>4612.9098452056969</v>
      </c>
      <c r="I38" s="160">
        <f t="shared" si="5"/>
        <v>4950.1983543025053</v>
      </c>
    </row>
    <row r="39" spans="1:11" customFormat="1" ht="15" thickBot="1" x14ac:dyDescent="0.35">
      <c r="A39" s="293" t="s">
        <v>76</v>
      </c>
      <c r="B39" s="294"/>
      <c r="C39" s="294"/>
      <c r="D39" s="161">
        <f t="shared" ref="D39:I39" si="6">D6-D29</f>
        <v>-2531.7279886377673</v>
      </c>
      <c r="E39" s="162">
        <f t="shared" si="6"/>
        <v>-1348.7918777158848</v>
      </c>
      <c r="F39" s="161">
        <f t="shared" si="6"/>
        <v>-361.97299906964327</v>
      </c>
      <c r="G39" s="162">
        <f t="shared" si="6"/>
        <v>428.72864730095171</v>
      </c>
      <c r="H39" s="161">
        <f t="shared" si="6"/>
        <v>1598.2198452056982</v>
      </c>
      <c r="I39" s="163">
        <f t="shared" si="6"/>
        <v>1935.508354302503</v>
      </c>
    </row>
    <row r="40" spans="1:11" ht="14.4" x14ac:dyDescent="0.25">
      <c r="A40" s="45" t="s">
        <v>77</v>
      </c>
      <c r="B40" s="46"/>
      <c r="C40" s="46"/>
      <c r="D40" s="46"/>
      <c r="E40" s="46"/>
      <c r="F40" s="46"/>
      <c r="G40" s="46"/>
      <c r="H40" s="47"/>
      <c r="I40" s="44"/>
      <c r="J40" s="44"/>
    </row>
    <row r="41" spans="1:11" ht="14.4" x14ac:dyDescent="0.25">
      <c r="A41" s="48" t="s">
        <v>78</v>
      </c>
      <c r="B41" s="49"/>
      <c r="C41" s="49"/>
      <c r="D41" s="49"/>
      <c r="E41" s="49"/>
      <c r="F41" s="49"/>
      <c r="G41" s="49"/>
      <c r="H41" s="50"/>
      <c r="I41" s="44"/>
      <c r="J41" s="44"/>
    </row>
    <row r="42" spans="1:11" ht="15" thickBot="1" x14ac:dyDescent="0.3">
      <c r="A42" s="51" t="s">
        <v>79</v>
      </c>
      <c r="B42" s="52"/>
      <c r="C42" s="52"/>
      <c r="D42" s="52"/>
      <c r="E42" s="52"/>
      <c r="F42" s="52"/>
      <c r="G42" s="52"/>
      <c r="H42" s="53"/>
      <c r="I42" s="44"/>
      <c r="J42" s="44"/>
    </row>
    <row r="43" spans="1:11" x14ac:dyDescent="0.25">
      <c r="A43" s="269" t="s">
        <v>80</v>
      </c>
      <c r="B43" s="270"/>
      <c r="C43" s="270"/>
      <c r="D43" s="270"/>
      <c r="E43" s="270"/>
      <c r="F43" s="270"/>
      <c r="G43" s="270"/>
      <c r="H43" s="271"/>
    </row>
    <row r="44" spans="1:11" x14ac:dyDescent="0.25">
      <c r="A44" s="272"/>
      <c r="B44" s="273"/>
      <c r="C44" s="273"/>
      <c r="D44" s="273"/>
      <c r="E44" s="273"/>
      <c r="F44" s="273"/>
      <c r="G44" s="273"/>
      <c r="H44" s="274"/>
    </row>
    <row r="45" spans="1:11" x14ac:dyDescent="0.25">
      <c r="A45" s="272"/>
      <c r="B45" s="273"/>
      <c r="C45" s="273"/>
      <c r="D45" s="273"/>
      <c r="E45" s="273"/>
      <c r="F45" s="273"/>
      <c r="G45" s="273"/>
      <c r="H45" s="274"/>
    </row>
    <row r="46" spans="1:11" ht="13.8" thickBot="1" x14ac:dyDescent="0.3">
      <c r="A46" s="275"/>
      <c r="B46" s="276"/>
      <c r="C46" s="276"/>
      <c r="D46" s="276"/>
      <c r="E46" s="276"/>
      <c r="F46" s="276"/>
      <c r="G46" s="276"/>
      <c r="H46" s="277"/>
    </row>
  </sheetData>
  <mergeCells count="13">
    <mergeCell ref="A27:C27"/>
    <mergeCell ref="A29:C29"/>
    <mergeCell ref="M7:O7"/>
    <mergeCell ref="A43:H46"/>
    <mergeCell ref="A1:D1"/>
    <mergeCell ref="E1:G1"/>
    <mergeCell ref="A31:C31"/>
    <mergeCell ref="A35:C35"/>
    <mergeCell ref="A3:C3"/>
    <mergeCell ref="A8:C8"/>
    <mergeCell ref="A25:C25"/>
    <mergeCell ref="A38:C38"/>
    <mergeCell ref="A39:C39"/>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3" fitToHeight="0" orientation="portrait" r:id="rId1"/>
  <headerFooter alignWithMargins="0">
    <oddHeader>&amp;F</oddHead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6"/>
  <sheetViews>
    <sheetView zoomScale="70" zoomScaleNormal="70" workbookViewId="0">
      <selection activeCell="Q11" sqref="Q11"/>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9" width="14.33203125" style="1" customWidth="1"/>
    <col min="10" max="10" width="14.44140625" style="1" customWidth="1"/>
    <col min="11" max="15" width="12.6640625" style="1" hidden="1" customWidth="1"/>
    <col min="16" max="26" width="12.6640625" style="1" customWidth="1"/>
    <col min="27" max="16384" width="9.109375" style="1"/>
  </cols>
  <sheetData>
    <row r="1" spans="1:15" ht="36" customHeight="1" thickBot="1" x14ac:dyDescent="0.3">
      <c r="A1" s="278" t="s">
        <v>81</v>
      </c>
      <c r="B1" s="279"/>
      <c r="C1" s="279"/>
      <c r="D1" s="279"/>
      <c r="E1" s="280" t="s">
        <v>167</v>
      </c>
      <c r="F1" s="280"/>
      <c r="G1" s="280"/>
      <c r="H1" s="242"/>
      <c r="I1" s="165"/>
    </row>
    <row r="2" spans="1:15" ht="16.2" thickBot="1" x14ac:dyDescent="0.35">
      <c r="A2" s="9"/>
      <c r="B2" s="10"/>
      <c r="C2" s="11"/>
      <c r="D2" s="11"/>
      <c r="E2" s="6"/>
      <c r="F2" s="6"/>
      <c r="G2" s="6"/>
      <c r="H2" s="6"/>
      <c r="I2" s="2"/>
    </row>
    <row r="3" spans="1:15" ht="25.5" customHeight="1" thickBot="1" x14ac:dyDescent="0.3">
      <c r="A3" s="286" t="s">
        <v>43</v>
      </c>
      <c r="B3" s="287"/>
      <c r="C3" s="287"/>
      <c r="D3" s="169"/>
      <c r="E3" s="170">
        <f>'Pryse + Sensatiwiteitsanali'!B26</f>
        <v>4056</v>
      </c>
      <c r="F3" s="169" t="s">
        <v>44</v>
      </c>
      <c r="G3" s="171"/>
      <c r="H3" s="171"/>
      <c r="I3" s="172"/>
    </row>
    <row r="4" spans="1:15" ht="13.8" thickBot="1" x14ac:dyDescent="0.3">
      <c r="A4" s="33"/>
      <c r="B4" s="4"/>
      <c r="C4" s="4"/>
      <c r="D4" s="3"/>
      <c r="E4" s="5"/>
      <c r="F4" s="12"/>
      <c r="G4" s="4"/>
      <c r="H4" s="13"/>
      <c r="I4" s="13"/>
    </row>
    <row r="5" spans="1:15" ht="13.8" thickBot="1" x14ac:dyDescent="0.3">
      <c r="A5" s="34" t="s">
        <v>45</v>
      </c>
      <c r="B5" s="4"/>
      <c r="C5" s="4"/>
      <c r="D5" s="107">
        <v>5</v>
      </c>
      <c r="E5" s="107">
        <v>5.5</v>
      </c>
      <c r="F5" s="107">
        <v>6</v>
      </c>
      <c r="G5" s="107">
        <v>6.5</v>
      </c>
      <c r="H5" s="107">
        <v>7</v>
      </c>
      <c r="I5" s="26"/>
    </row>
    <row r="6" spans="1:15" ht="13.8" thickBot="1" x14ac:dyDescent="0.3">
      <c r="A6" s="173" t="s">
        <v>46</v>
      </c>
      <c r="B6" s="174"/>
      <c r="C6" s="175"/>
      <c r="D6" s="176">
        <f>$E$3*D5</f>
        <v>20280</v>
      </c>
      <c r="E6" s="176">
        <f>$E$3*E5</f>
        <v>22308</v>
      </c>
      <c r="F6" s="176">
        <f>$E$3*F5</f>
        <v>24336</v>
      </c>
      <c r="G6" s="176">
        <f>$E$3*G5</f>
        <v>26364</v>
      </c>
      <c r="H6" s="176">
        <f>$E$3*H5</f>
        <v>28392</v>
      </c>
      <c r="I6" s="176"/>
    </row>
    <row r="7" spans="1:15" ht="15" thickBot="1" x14ac:dyDescent="0.35">
      <c r="A7" s="31"/>
      <c r="B7" s="32"/>
      <c r="C7" s="32"/>
      <c r="D7" s="15"/>
      <c r="E7" s="15"/>
      <c r="F7" s="15"/>
      <c r="G7" s="15"/>
      <c r="H7" s="15"/>
      <c r="I7" s="15"/>
      <c r="M7" s="268" t="s">
        <v>82</v>
      </c>
      <c r="N7" s="268"/>
      <c r="O7" s="268"/>
    </row>
    <row r="8" spans="1:15" ht="15" thickBot="1" x14ac:dyDescent="0.35">
      <c r="A8" s="288" t="s">
        <v>48</v>
      </c>
      <c r="B8" s="289"/>
      <c r="C8" s="290"/>
      <c r="D8" s="166"/>
      <c r="E8" s="166"/>
      <c r="F8" s="166"/>
      <c r="G8" s="166"/>
      <c r="H8" s="166"/>
      <c r="I8" s="166"/>
      <c r="M8" s="93" t="s">
        <v>49</v>
      </c>
      <c r="N8" s="93" t="s">
        <v>50</v>
      </c>
      <c r="O8" s="93" t="s">
        <v>51</v>
      </c>
    </row>
    <row r="9" spans="1:15" ht="14.4" x14ac:dyDescent="0.3">
      <c r="A9" s="38" t="s">
        <v>52</v>
      </c>
      <c r="B9" s="39"/>
      <c r="C9" s="39"/>
      <c r="D9" s="105">
        <v>2086.1750000000002</v>
      </c>
      <c r="E9" s="105">
        <v>2341.625</v>
      </c>
      <c r="F9" s="105">
        <v>2597.0750000000003</v>
      </c>
      <c r="G9" s="105">
        <v>2852.5250000000001</v>
      </c>
      <c r="H9" s="105">
        <v>2384.2000000000003</v>
      </c>
      <c r="I9" s="95"/>
      <c r="M9" s="94">
        <f>D5</f>
        <v>5</v>
      </c>
      <c r="N9" s="94">
        <f>D25</f>
        <v>15411.024296555521</v>
      </c>
      <c r="O9" s="94">
        <f>D27</f>
        <v>2873.22</v>
      </c>
    </row>
    <row r="10" spans="1:15" ht="14.4" x14ac:dyDescent="0.3">
      <c r="A10" s="35" t="s">
        <v>53</v>
      </c>
      <c r="B10" s="40"/>
      <c r="C10" s="40"/>
      <c r="D10" s="104">
        <v>5754.8</v>
      </c>
      <c r="E10" s="104">
        <v>6361.4</v>
      </c>
      <c r="F10" s="104">
        <v>6968</v>
      </c>
      <c r="G10" s="104">
        <v>7574.5999999999995</v>
      </c>
      <c r="H10" s="104">
        <v>8181.2000000000007</v>
      </c>
      <c r="I10" s="96"/>
      <c r="M10" s="94">
        <f>E5</f>
        <v>5.5</v>
      </c>
      <c r="N10" s="94">
        <f>E25</f>
        <v>16543.109728084022</v>
      </c>
      <c r="O10" s="94">
        <f>E27</f>
        <v>2873.22</v>
      </c>
    </row>
    <row r="11" spans="1:15" ht="14.4" x14ac:dyDescent="0.3">
      <c r="A11" s="35" t="s">
        <v>54</v>
      </c>
      <c r="B11" s="40"/>
      <c r="C11" s="40"/>
      <c r="D11" s="104">
        <v>760</v>
      </c>
      <c r="E11" s="104">
        <v>760</v>
      </c>
      <c r="F11" s="104">
        <v>760</v>
      </c>
      <c r="G11" s="104">
        <v>760</v>
      </c>
      <c r="H11" s="104">
        <v>760</v>
      </c>
      <c r="I11" s="96"/>
      <c r="M11" s="94">
        <f>F5</f>
        <v>6</v>
      </c>
      <c r="N11" s="94">
        <f>F25</f>
        <v>17675.195159612522</v>
      </c>
      <c r="O11" s="94">
        <f>F27</f>
        <v>2873.22</v>
      </c>
    </row>
    <row r="12" spans="1:15" ht="14.4" x14ac:dyDescent="0.3">
      <c r="A12" s="35" t="s">
        <v>55</v>
      </c>
      <c r="B12" s="40"/>
      <c r="C12" s="40"/>
      <c r="D12" s="104">
        <v>1283.84592</v>
      </c>
      <c r="E12" s="104">
        <v>1304.79592</v>
      </c>
      <c r="F12" s="104">
        <v>1325.7459199999998</v>
      </c>
      <c r="G12" s="104">
        <v>1346.6959200000001</v>
      </c>
      <c r="H12" s="104">
        <v>1367.6459199999999</v>
      </c>
      <c r="I12" s="96"/>
      <c r="M12" s="94">
        <f>G5</f>
        <v>6.5</v>
      </c>
      <c r="N12" s="94">
        <f>G25</f>
        <v>18807.280591141025</v>
      </c>
      <c r="O12" s="94">
        <f>G27</f>
        <v>2873.22</v>
      </c>
    </row>
    <row r="13" spans="1:15" ht="14.4" x14ac:dyDescent="0.3">
      <c r="A13" s="35" t="s">
        <v>56</v>
      </c>
      <c r="B13" s="40"/>
      <c r="C13" s="40"/>
      <c r="D13" s="104">
        <v>1372.6597422</v>
      </c>
      <c r="E13" s="104">
        <v>1376.63737047</v>
      </c>
      <c r="F13" s="104">
        <v>1380.6149987399999</v>
      </c>
      <c r="G13" s="104">
        <v>1384.5926270100001</v>
      </c>
      <c r="H13" s="104">
        <v>1388.5702552800001</v>
      </c>
      <c r="I13" s="96"/>
      <c r="M13" s="94">
        <f>H5</f>
        <v>7</v>
      </c>
      <c r="N13" s="94">
        <f>H25</f>
        <v>19105.867785498052</v>
      </c>
      <c r="O13" s="94">
        <f>H27</f>
        <v>2873.22</v>
      </c>
    </row>
    <row r="14" spans="1:15" ht="14.4" x14ac:dyDescent="0.3">
      <c r="A14" s="35" t="s">
        <v>57</v>
      </c>
      <c r="B14" s="40"/>
      <c r="C14" s="40"/>
      <c r="D14" s="104">
        <v>1230.76</v>
      </c>
      <c r="E14" s="104">
        <v>1230.76</v>
      </c>
      <c r="F14" s="104">
        <v>1230.76</v>
      </c>
      <c r="G14" s="104">
        <v>1230.76</v>
      </c>
      <c r="H14" s="104">
        <v>1230.76</v>
      </c>
      <c r="I14" s="96"/>
      <c r="M14" s="94">
        <f>I5</f>
        <v>0</v>
      </c>
      <c r="N14" s="94">
        <f>I25</f>
        <v>0</v>
      </c>
      <c r="O14" s="94">
        <f>I27</f>
        <v>0</v>
      </c>
    </row>
    <row r="15" spans="1:15" x14ac:dyDescent="0.25">
      <c r="A15" s="35" t="s">
        <v>58</v>
      </c>
      <c r="B15" s="40"/>
      <c r="C15" s="40"/>
      <c r="D15" s="104">
        <v>0</v>
      </c>
      <c r="E15" s="104">
        <v>0</v>
      </c>
      <c r="F15" s="104">
        <v>0</v>
      </c>
      <c r="G15" s="104">
        <v>0</v>
      </c>
      <c r="H15" s="104">
        <v>0</v>
      </c>
      <c r="I15" s="96"/>
    </row>
    <row r="16" spans="1:15" x14ac:dyDescent="0.25">
      <c r="A16" s="35" t="s">
        <v>59</v>
      </c>
      <c r="B16" s="40"/>
      <c r="C16" s="40"/>
      <c r="D16" s="104">
        <v>395.46000000000004</v>
      </c>
      <c r="E16" s="104">
        <v>435.00599999999997</v>
      </c>
      <c r="F16" s="104">
        <v>474.55199999999996</v>
      </c>
      <c r="G16" s="104">
        <v>514.09799999999996</v>
      </c>
      <c r="H16" s="104">
        <v>553.64400000000001</v>
      </c>
      <c r="I16" s="96"/>
    </row>
    <row r="17" spans="1:10" x14ac:dyDescent="0.25">
      <c r="A17" s="35" t="s">
        <v>60</v>
      </c>
      <c r="B17" s="40"/>
      <c r="C17" s="40"/>
      <c r="D17" s="104">
        <v>1068.8081947264575</v>
      </c>
      <c r="E17" s="104">
        <v>1149.9926901025224</v>
      </c>
      <c r="F17" s="104">
        <v>1231.1771854785873</v>
      </c>
      <c r="G17" s="104">
        <v>1312.3616808546519</v>
      </c>
      <c r="H17" s="104">
        <v>1333.7740672563582</v>
      </c>
      <c r="I17" s="96"/>
    </row>
    <row r="18" spans="1:10" x14ac:dyDescent="0.25">
      <c r="A18" s="35" t="s">
        <v>61</v>
      </c>
      <c r="B18" s="40"/>
      <c r="C18" s="40"/>
      <c r="D18" s="104">
        <v>0</v>
      </c>
      <c r="E18" s="104">
        <v>0</v>
      </c>
      <c r="F18" s="104">
        <v>0</v>
      </c>
      <c r="G18" s="104">
        <v>0</v>
      </c>
      <c r="H18" s="104">
        <v>0</v>
      </c>
      <c r="I18" s="96"/>
    </row>
    <row r="19" spans="1:10" x14ac:dyDescent="0.25">
      <c r="A19" s="35" t="s">
        <v>62</v>
      </c>
      <c r="B19" s="40"/>
      <c r="C19" s="40"/>
      <c r="D19" s="104">
        <v>565.32000000000005</v>
      </c>
      <c r="E19" s="104">
        <v>621.85199999999998</v>
      </c>
      <c r="F19" s="104">
        <v>678.38400000000001</v>
      </c>
      <c r="G19" s="104">
        <v>734.91600000000005</v>
      </c>
      <c r="H19" s="104">
        <v>791.44799999999998</v>
      </c>
      <c r="I19" s="96"/>
    </row>
    <row r="20" spans="1:10" x14ac:dyDescent="0.25">
      <c r="A20" s="35" t="s">
        <v>63</v>
      </c>
      <c r="B20" s="40"/>
      <c r="C20" s="40"/>
      <c r="D20" s="104">
        <v>0</v>
      </c>
      <c r="E20" s="104">
        <v>0</v>
      </c>
      <c r="F20" s="104">
        <v>0</v>
      </c>
      <c r="G20" s="104">
        <v>0</v>
      </c>
      <c r="H20" s="104">
        <v>0</v>
      </c>
      <c r="I20" s="96"/>
    </row>
    <row r="21" spans="1:10" x14ac:dyDescent="0.25">
      <c r="A21" s="35" t="s">
        <v>64</v>
      </c>
      <c r="B21" s="40"/>
      <c r="C21" s="40"/>
      <c r="D21" s="104">
        <v>0</v>
      </c>
      <c r="E21" s="104">
        <v>0</v>
      </c>
      <c r="F21" s="104">
        <v>0</v>
      </c>
      <c r="G21" s="104">
        <v>0</v>
      </c>
      <c r="H21" s="104">
        <v>0</v>
      </c>
      <c r="I21" s="96"/>
    </row>
    <row r="22" spans="1:10" x14ac:dyDescent="0.25">
      <c r="A22" s="35" t="s">
        <v>65</v>
      </c>
      <c r="B22" s="40"/>
      <c r="C22" s="40"/>
      <c r="D22" s="104">
        <v>0</v>
      </c>
      <c r="E22" s="104">
        <v>0</v>
      </c>
      <c r="F22" s="104">
        <v>0</v>
      </c>
      <c r="G22" s="104">
        <v>0</v>
      </c>
      <c r="H22" s="104">
        <v>0</v>
      </c>
      <c r="I22" s="96"/>
    </row>
    <row r="23" spans="1:10" x14ac:dyDescent="0.25">
      <c r="A23" s="35" t="s">
        <v>66</v>
      </c>
      <c r="B23" s="40"/>
      <c r="C23" s="40"/>
      <c r="D23" s="104">
        <v>0</v>
      </c>
      <c r="E23" s="104">
        <v>0</v>
      </c>
      <c r="F23" s="104">
        <v>0</v>
      </c>
      <c r="G23" s="104">
        <v>0</v>
      </c>
      <c r="H23" s="104">
        <v>0</v>
      </c>
      <c r="I23" s="96"/>
    </row>
    <row r="24" spans="1:10" ht="13.8" thickBot="1" x14ac:dyDescent="0.3">
      <c r="A24" s="35" t="s">
        <v>67</v>
      </c>
      <c r="B24" s="40"/>
      <c r="C24" s="40"/>
      <c r="D24" s="104">
        <v>893.19543962906164</v>
      </c>
      <c r="E24" s="104">
        <v>961.04074751149835</v>
      </c>
      <c r="F24" s="104">
        <v>1028.8860553939351</v>
      </c>
      <c r="G24" s="104">
        <v>1096.7313632763717</v>
      </c>
      <c r="H24" s="104">
        <v>1114.6255429616929</v>
      </c>
      <c r="I24" s="96"/>
    </row>
    <row r="25" spans="1:10" ht="25.5" customHeight="1" thickBot="1" x14ac:dyDescent="0.3">
      <c r="A25" s="265" t="s">
        <v>68</v>
      </c>
      <c r="B25" s="266"/>
      <c r="C25" s="267"/>
      <c r="D25" s="177">
        <f>SUM(D9:D24)</f>
        <v>15411.024296555521</v>
      </c>
      <c r="E25" s="177">
        <f>SUM(E9:E24)</f>
        <v>16543.109728084022</v>
      </c>
      <c r="F25" s="177">
        <f>SUM(F9:F24)</f>
        <v>17675.195159612522</v>
      </c>
      <c r="G25" s="177">
        <f>SUM(G9:G24)</f>
        <v>18807.280591141025</v>
      </c>
      <c r="H25" s="177">
        <f>SUM(H9:H24)</f>
        <v>19105.867785498052</v>
      </c>
      <c r="I25" s="177"/>
    </row>
    <row r="26" spans="1:10" ht="13.8" thickBot="1" x14ac:dyDescent="0.3">
      <c r="A26" s="41"/>
      <c r="B26" s="42"/>
      <c r="C26" s="42"/>
      <c r="D26" s="21"/>
      <c r="E26" s="21"/>
      <c r="F26" s="21"/>
      <c r="G26" s="21"/>
      <c r="H26" s="21"/>
      <c r="I26" s="21"/>
    </row>
    <row r="27" spans="1:10" ht="13.8" thickBot="1" x14ac:dyDescent="0.3">
      <c r="A27" s="262" t="s">
        <v>69</v>
      </c>
      <c r="B27" s="263"/>
      <c r="C27" s="264"/>
      <c r="D27" s="178">
        <v>2873.22</v>
      </c>
      <c r="E27" s="179">
        <v>2873.22</v>
      </c>
      <c r="F27" s="179">
        <v>2873.22</v>
      </c>
      <c r="G27" s="179">
        <v>2873.22</v>
      </c>
      <c r="H27" s="179">
        <v>2873.22</v>
      </c>
      <c r="I27" s="179"/>
      <c r="J27" s="17"/>
    </row>
    <row r="28" spans="1:10" ht="13.8" thickBot="1" x14ac:dyDescent="0.3">
      <c r="A28" s="41"/>
      <c r="B28" s="42"/>
      <c r="C28" s="42"/>
      <c r="D28" s="21"/>
      <c r="E28" s="21"/>
      <c r="F28" s="21"/>
      <c r="G28" s="21"/>
      <c r="H28" s="21"/>
      <c r="I28" s="21"/>
    </row>
    <row r="29" spans="1:10" ht="27.75" customHeight="1" thickBot="1" x14ac:dyDescent="0.3">
      <c r="A29" s="265" t="s">
        <v>70</v>
      </c>
      <c r="B29" s="266"/>
      <c r="C29" s="267"/>
      <c r="D29" s="177">
        <f>D25+D27</f>
        <v>18284.24429655552</v>
      </c>
      <c r="E29" s="177">
        <f>E25+E27</f>
        <v>19416.329728084023</v>
      </c>
      <c r="F29" s="177">
        <f>F25+F27</f>
        <v>20548.415159612523</v>
      </c>
      <c r="G29" s="177">
        <f>G25+G27</f>
        <v>21680.500591141026</v>
      </c>
      <c r="H29" s="177">
        <f>H25+H27</f>
        <v>21979.087785498054</v>
      </c>
      <c r="I29" s="177"/>
    </row>
    <row r="30" spans="1:10" ht="13.8" thickBot="1" x14ac:dyDescent="0.3">
      <c r="A30" s="36"/>
      <c r="B30" s="37"/>
      <c r="C30" s="37"/>
      <c r="D30" s="22"/>
      <c r="E30" s="22"/>
      <c r="F30" s="22"/>
      <c r="G30" s="22"/>
      <c r="H30" s="22"/>
      <c r="I30" s="22"/>
    </row>
    <row r="31" spans="1:10" ht="27.75" customHeight="1" thickBot="1" x14ac:dyDescent="0.3">
      <c r="A31" s="265" t="s">
        <v>71</v>
      </c>
      <c r="B31" s="281"/>
      <c r="C31" s="282"/>
      <c r="D31" s="177">
        <f>D29/D5</f>
        <v>3656.8488593111042</v>
      </c>
      <c r="E31" s="177">
        <f>E29/E5</f>
        <v>3530.2417687425495</v>
      </c>
      <c r="F31" s="177">
        <f>F29/F5</f>
        <v>3424.7358599354206</v>
      </c>
      <c r="G31" s="177">
        <f>G29/G5</f>
        <v>3335.4616294063117</v>
      </c>
      <c r="H31" s="177">
        <f>H29/H5</f>
        <v>3139.8696836425793</v>
      </c>
      <c r="I31" s="177"/>
    </row>
    <row r="32" spans="1:10" ht="13.8" thickBot="1" x14ac:dyDescent="0.3">
      <c r="A32" s="31"/>
      <c r="B32" s="32"/>
      <c r="C32" s="32"/>
      <c r="D32" s="22"/>
      <c r="E32" s="22"/>
      <c r="F32" s="22"/>
      <c r="G32" s="22"/>
      <c r="H32" s="22"/>
      <c r="I32" s="22"/>
    </row>
    <row r="33" spans="1:10" ht="13.8" thickBot="1" x14ac:dyDescent="0.3">
      <c r="A33" s="180" t="s">
        <v>72</v>
      </c>
      <c r="B33" s="174"/>
      <c r="C33" s="174"/>
      <c r="D33" s="177">
        <f>'Pryse + Sensatiwiteitsanali'!D4</f>
        <v>399</v>
      </c>
      <c r="E33" s="177">
        <f>$D$33</f>
        <v>399</v>
      </c>
      <c r="F33" s="177">
        <f>$D$33</f>
        <v>399</v>
      </c>
      <c r="G33" s="177">
        <f>$D$33</f>
        <v>399</v>
      </c>
      <c r="H33" s="177">
        <f>$D$33</f>
        <v>399</v>
      </c>
      <c r="I33" s="177"/>
    </row>
    <row r="34" spans="1:10" ht="13.8" thickBot="1" x14ac:dyDescent="0.3">
      <c r="A34" s="31"/>
      <c r="B34" s="32"/>
      <c r="C34" s="32"/>
      <c r="D34" s="22"/>
      <c r="E34" s="22"/>
      <c r="F34" s="22"/>
      <c r="G34" s="22"/>
      <c r="H34" s="22"/>
      <c r="I34" s="22"/>
    </row>
    <row r="35" spans="1:10" ht="25.5" customHeight="1" thickBot="1" x14ac:dyDescent="0.3">
      <c r="A35" s="283" t="s">
        <v>73</v>
      </c>
      <c r="B35" s="284"/>
      <c r="C35" s="285"/>
      <c r="D35" s="239">
        <f>D31+D33</f>
        <v>4055.8488593111042</v>
      </c>
      <c r="E35" s="239">
        <f>E31+E33</f>
        <v>3929.2417687425495</v>
      </c>
      <c r="F35" s="239">
        <f>F31+F33</f>
        <v>3823.7358599354206</v>
      </c>
      <c r="G35" s="239">
        <f>G31+G33</f>
        <v>3734.4616294063117</v>
      </c>
      <c r="H35" s="239">
        <f>H31+H33</f>
        <v>3538.8696836425793</v>
      </c>
      <c r="I35" s="239"/>
    </row>
    <row r="36" spans="1:10" ht="13.8" thickBot="1" x14ac:dyDescent="0.3">
      <c r="A36" s="243" t="s">
        <v>74</v>
      </c>
      <c r="B36" s="240"/>
      <c r="C36" s="241"/>
      <c r="D36" s="239">
        <f>'Pryse + Sensatiwiteitsanali'!B4</f>
        <v>4455</v>
      </c>
      <c r="E36" s="239">
        <f>$D$36</f>
        <v>4455</v>
      </c>
      <c r="F36" s="239">
        <f>$D$36</f>
        <v>4455</v>
      </c>
      <c r="G36" s="239">
        <f>$D$36</f>
        <v>4455</v>
      </c>
      <c r="H36" s="239">
        <f>$D$36</f>
        <v>4455</v>
      </c>
      <c r="I36" s="239"/>
    </row>
    <row r="37" spans="1:10" ht="13.8" thickBot="1" x14ac:dyDescent="0.3"/>
    <row r="38" spans="1:10" customFormat="1" ht="14.4" x14ac:dyDescent="0.3">
      <c r="A38" s="291" t="s">
        <v>75</v>
      </c>
      <c r="B38" s="292"/>
      <c r="C38" s="292"/>
      <c r="D38" s="158">
        <f t="shared" ref="D38:G38" si="0">D6-D25</f>
        <v>4868.9757034444792</v>
      </c>
      <c r="E38" s="159">
        <f t="shared" si="0"/>
        <v>5764.8902719159778</v>
      </c>
      <c r="F38" s="158">
        <f t="shared" si="0"/>
        <v>6660.8048403874782</v>
      </c>
      <c r="G38" s="159">
        <f t="shared" si="0"/>
        <v>7556.7194088589749</v>
      </c>
      <c r="H38" s="158">
        <f>H6-H25</f>
        <v>9286.1322145019476</v>
      </c>
      <c r="I38" s="160"/>
    </row>
    <row r="39" spans="1:10" customFormat="1" ht="15" thickBot="1" x14ac:dyDescent="0.35">
      <c r="A39" s="293" t="s">
        <v>76</v>
      </c>
      <c r="B39" s="294"/>
      <c r="C39" s="294"/>
      <c r="D39" s="161">
        <f t="shared" ref="D39:H39" si="1">D6-D29</f>
        <v>1995.7557034444799</v>
      </c>
      <c r="E39" s="162">
        <f t="shared" si="1"/>
        <v>2891.6702719159766</v>
      </c>
      <c r="F39" s="161">
        <f t="shared" si="1"/>
        <v>3787.584840387477</v>
      </c>
      <c r="G39" s="162">
        <f t="shared" si="1"/>
        <v>4683.4994088589738</v>
      </c>
      <c r="H39" s="161">
        <f t="shared" si="1"/>
        <v>6412.9122145019464</v>
      </c>
      <c r="I39" s="163"/>
    </row>
    <row r="40" spans="1:10" ht="14.4" x14ac:dyDescent="0.25">
      <c r="A40" s="45" t="s">
        <v>77</v>
      </c>
      <c r="B40" s="46"/>
      <c r="C40" s="46"/>
      <c r="D40" s="46"/>
      <c r="E40" s="46"/>
      <c r="F40" s="46"/>
      <c r="G40" s="46"/>
      <c r="H40" s="47"/>
      <c r="I40" s="44"/>
      <c r="J40" s="44"/>
    </row>
    <row r="41" spans="1:10" ht="14.4" x14ac:dyDescent="0.25">
      <c r="A41" s="48" t="s">
        <v>78</v>
      </c>
      <c r="B41" s="49"/>
      <c r="C41" s="49"/>
      <c r="D41" s="49"/>
      <c r="E41" s="49"/>
      <c r="F41" s="49"/>
      <c r="G41" s="49"/>
      <c r="H41" s="50"/>
      <c r="I41" s="44"/>
      <c r="J41" s="44"/>
    </row>
    <row r="42" spans="1:10" ht="15" thickBot="1" x14ac:dyDescent="0.3">
      <c r="A42" s="51" t="s">
        <v>79</v>
      </c>
      <c r="B42" s="52"/>
      <c r="C42" s="52"/>
      <c r="D42" s="52"/>
      <c r="E42" s="52"/>
      <c r="F42" s="52"/>
      <c r="G42" s="52"/>
      <c r="H42" s="53"/>
      <c r="I42" s="44"/>
      <c r="J42" s="44"/>
    </row>
    <row r="43" spans="1:10" x14ac:dyDescent="0.25">
      <c r="A43" s="269" t="s">
        <v>80</v>
      </c>
      <c r="B43" s="270"/>
      <c r="C43" s="270"/>
      <c r="D43" s="270"/>
      <c r="E43" s="270"/>
      <c r="F43" s="270"/>
      <c r="G43" s="270"/>
      <c r="H43" s="271"/>
    </row>
    <row r="44" spans="1:10" x14ac:dyDescent="0.25">
      <c r="A44" s="272"/>
      <c r="B44" s="273"/>
      <c r="C44" s="273"/>
      <c r="D44" s="273"/>
      <c r="E44" s="273"/>
      <c r="F44" s="273"/>
      <c r="G44" s="273"/>
      <c r="H44" s="274"/>
    </row>
    <row r="45" spans="1:10" x14ac:dyDescent="0.25">
      <c r="A45" s="272"/>
      <c r="B45" s="273"/>
      <c r="C45" s="273"/>
      <c r="D45" s="273"/>
      <c r="E45" s="273"/>
      <c r="F45" s="273"/>
      <c r="G45" s="273"/>
      <c r="H45" s="274"/>
    </row>
    <row r="46" spans="1:10" ht="13.8" thickBot="1" x14ac:dyDescent="0.3">
      <c r="A46" s="275"/>
      <c r="B46" s="276"/>
      <c r="C46" s="276"/>
      <c r="D46" s="276"/>
      <c r="E46" s="276"/>
      <c r="F46" s="276"/>
      <c r="G46" s="276"/>
      <c r="H46" s="277"/>
    </row>
  </sheetData>
  <mergeCells count="13">
    <mergeCell ref="A27:C27"/>
    <mergeCell ref="A29:C29"/>
    <mergeCell ref="M7:O7"/>
    <mergeCell ref="A43:H46"/>
    <mergeCell ref="E1:G1"/>
    <mergeCell ref="A1:D1"/>
    <mergeCell ref="A31:C31"/>
    <mergeCell ref="A35:C35"/>
    <mergeCell ref="A3:C3"/>
    <mergeCell ref="A8:C8"/>
    <mergeCell ref="A25:C25"/>
    <mergeCell ref="A38:C38"/>
    <mergeCell ref="A39:C39"/>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9" fitToHeight="0" orientation="portrait" verticalDpi="300" r:id="rId1"/>
  <headerFooter alignWithMargins="0">
    <oddHeader>&amp;F</oddHeader>
    <oddFooter>&amp;A&amp;RPage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zoomScale="80" zoomScaleNormal="80" workbookViewId="0">
      <selection activeCell="P13" sqref="P13"/>
    </sheetView>
  </sheetViews>
  <sheetFormatPr defaultColWidth="9.109375" defaultRowHeight="13.2" x14ac:dyDescent="0.25"/>
  <cols>
    <col min="1" max="1" width="41.6640625" style="1" customWidth="1"/>
    <col min="2" max="2" width="14.6640625" style="1" customWidth="1"/>
    <col min="3" max="3" width="20.44140625" style="1" customWidth="1"/>
    <col min="4" max="4" width="16.6640625" style="1" customWidth="1"/>
    <col min="5" max="5" width="14.44140625" style="1" customWidth="1"/>
    <col min="6" max="9" width="14.33203125" style="1" customWidth="1"/>
    <col min="10" max="10" width="14.44140625" style="1" customWidth="1"/>
    <col min="11" max="15" width="12.6640625" style="1" hidden="1" customWidth="1"/>
    <col min="16" max="26" width="12.6640625" style="1" customWidth="1"/>
    <col min="27" max="16384" width="9.109375" style="1"/>
  </cols>
  <sheetData>
    <row r="1" spans="1:15" ht="33.75" customHeight="1" thickBot="1" x14ac:dyDescent="0.3">
      <c r="A1" s="278" t="s">
        <v>83</v>
      </c>
      <c r="B1" s="279"/>
      <c r="C1" s="279"/>
      <c r="D1" s="279"/>
      <c r="E1" s="280" t="s">
        <v>166</v>
      </c>
      <c r="F1" s="280"/>
      <c r="G1" s="280"/>
      <c r="H1" s="242"/>
      <c r="I1" s="165"/>
    </row>
    <row r="2" spans="1:15" ht="16.2" thickBot="1" x14ac:dyDescent="0.35">
      <c r="A2" s="9"/>
      <c r="B2" s="10"/>
      <c r="C2" s="11"/>
      <c r="D2" s="11"/>
      <c r="E2" s="6"/>
      <c r="F2" s="6"/>
      <c r="G2" s="6"/>
      <c r="H2" s="6"/>
      <c r="I2" s="2"/>
    </row>
    <row r="3" spans="1:15" ht="27.75" customHeight="1" thickBot="1" x14ac:dyDescent="0.3">
      <c r="A3" s="286" t="s">
        <v>43</v>
      </c>
      <c r="B3" s="287"/>
      <c r="C3" s="287"/>
      <c r="D3" s="169"/>
      <c r="E3" s="170">
        <f>'Pryse + Sensatiwiteitsanali'!B26</f>
        <v>4056</v>
      </c>
      <c r="F3" s="169" t="s">
        <v>44</v>
      </c>
      <c r="G3" s="171"/>
      <c r="H3" s="171"/>
      <c r="I3" s="172"/>
    </row>
    <row r="4" spans="1:15" ht="13.8" thickBot="1" x14ac:dyDescent="0.3">
      <c r="A4" s="33"/>
      <c r="B4" s="4"/>
      <c r="C4" s="4"/>
      <c r="D4" s="3"/>
      <c r="E4" s="5"/>
      <c r="F4" s="12"/>
      <c r="G4" s="4"/>
      <c r="H4" s="13"/>
      <c r="I4" s="13"/>
    </row>
    <row r="5" spans="1:15" ht="13.8" thickBot="1" x14ac:dyDescent="0.3">
      <c r="A5" s="34" t="s">
        <v>45</v>
      </c>
      <c r="B5" s="4"/>
      <c r="C5" s="4"/>
      <c r="D5" s="26">
        <v>3.5</v>
      </c>
      <c r="E5" s="26">
        <v>4</v>
      </c>
      <c r="F5" s="26">
        <v>4.5</v>
      </c>
      <c r="G5" s="26">
        <v>5</v>
      </c>
      <c r="H5" s="26">
        <v>6</v>
      </c>
      <c r="I5" s="26">
        <v>7</v>
      </c>
      <c r="K5" s="28"/>
      <c r="L5" s="28"/>
    </row>
    <row r="6" spans="1:15" ht="13.8" thickBot="1" x14ac:dyDescent="0.3">
      <c r="A6" s="173" t="s">
        <v>46</v>
      </c>
      <c r="B6" s="174"/>
      <c r="C6" s="175"/>
      <c r="D6" s="176">
        <f t="shared" ref="D6:I6" si="0">$E$3*D5</f>
        <v>14196</v>
      </c>
      <c r="E6" s="176">
        <f t="shared" si="0"/>
        <v>16224</v>
      </c>
      <c r="F6" s="176">
        <f t="shared" si="0"/>
        <v>18252</v>
      </c>
      <c r="G6" s="176">
        <f t="shared" si="0"/>
        <v>20280</v>
      </c>
      <c r="H6" s="176">
        <f t="shared" si="0"/>
        <v>24336</v>
      </c>
      <c r="I6" s="176">
        <f t="shared" si="0"/>
        <v>28392</v>
      </c>
      <c r="K6" s="29"/>
      <c r="L6" s="29"/>
    </row>
    <row r="7" spans="1:15" ht="15" thickBot="1" x14ac:dyDescent="0.35">
      <c r="A7" s="31"/>
      <c r="B7" s="32"/>
      <c r="C7" s="32"/>
      <c r="D7" s="15"/>
      <c r="E7" s="15"/>
      <c r="F7" s="15"/>
      <c r="G7" s="15"/>
      <c r="H7" s="15"/>
      <c r="I7" s="15"/>
      <c r="K7" s="30"/>
      <c r="L7" s="30"/>
      <c r="M7" s="268" t="s">
        <v>84</v>
      </c>
      <c r="N7" s="268"/>
      <c r="O7" s="268"/>
    </row>
    <row r="8" spans="1:15" ht="25.5" customHeight="1" thickBot="1" x14ac:dyDescent="0.35">
      <c r="A8" s="288" t="s">
        <v>48</v>
      </c>
      <c r="B8" s="289"/>
      <c r="C8" s="290"/>
      <c r="D8" s="166"/>
      <c r="E8" s="166"/>
      <c r="F8" s="166"/>
      <c r="G8" s="166"/>
      <c r="H8" s="166"/>
      <c r="I8" s="166"/>
      <c r="M8" s="93" t="s">
        <v>49</v>
      </c>
      <c r="N8" s="93" t="s">
        <v>50</v>
      </c>
      <c r="O8" s="93" t="s">
        <v>51</v>
      </c>
    </row>
    <row r="9" spans="1:15" ht="14.4" x14ac:dyDescent="0.3">
      <c r="A9" s="38" t="s">
        <v>52</v>
      </c>
      <c r="B9" s="39"/>
      <c r="C9" s="39"/>
      <c r="D9" s="105">
        <v>1953.5643749999999</v>
      </c>
      <c r="E9" s="105">
        <v>2046.5912499999999</v>
      </c>
      <c r="F9" s="105">
        <v>2186.1315624999997</v>
      </c>
      <c r="G9" s="105">
        <v>2325.671875</v>
      </c>
      <c r="H9" s="105">
        <v>2325.671875</v>
      </c>
      <c r="I9" s="105">
        <v>2511.725625</v>
      </c>
      <c r="K9" s="23"/>
      <c r="L9" s="23"/>
      <c r="M9" s="94">
        <f>D5</f>
        <v>3.5</v>
      </c>
      <c r="N9" s="94">
        <f>D25</f>
        <v>13013.889088792839</v>
      </c>
      <c r="O9" s="94">
        <f>D27</f>
        <v>3052.36</v>
      </c>
    </row>
    <row r="10" spans="1:15" ht="14.4" x14ac:dyDescent="0.3">
      <c r="A10" s="35" t="s">
        <v>53</v>
      </c>
      <c r="B10" s="40"/>
      <c r="C10" s="40"/>
      <c r="D10" s="104">
        <v>3955.5999999999995</v>
      </c>
      <c r="E10" s="104">
        <v>4562.2</v>
      </c>
      <c r="F10" s="104">
        <v>5168.8</v>
      </c>
      <c r="G10" s="104">
        <v>5775.4</v>
      </c>
      <c r="H10" s="104">
        <v>6998.9</v>
      </c>
      <c r="I10" s="104">
        <v>8212.1</v>
      </c>
      <c r="K10" s="23"/>
      <c r="L10" s="23"/>
      <c r="M10" s="94">
        <f>E5</f>
        <v>4</v>
      </c>
      <c r="N10" s="94">
        <f>E25</f>
        <v>13969.337700249132</v>
      </c>
      <c r="O10" s="94">
        <f>E27</f>
        <v>3052.36</v>
      </c>
    </row>
    <row r="11" spans="1:15" ht="14.4" x14ac:dyDescent="0.3">
      <c r="A11" s="35" t="s">
        <v>54</v>
      </c>
      <c r="B11" s="40"/>
      <c r="C11" s="40"/>
      <c r="D11" s="104">
        <v>760</v>
      </c>
      <c r="E11" s="104">
        <v>760</v>
      </c>
      <c r="F11" s="104">
        <v>760</v>
      </c>
      <c r="G11" s="104">
        <v>760</v>
      </c>
      <c r="H11" s="104">
        <v>760</v>
      </c>
      <c r="I11" s="104">
        <v>760</v>
      </c>
      <c r="K11" s="23"/>
      <c r="L11" s="23"/>
      <c r="M11" s="94">
        <f>F5</f>
        <v>4.5</v>
      </c>
      <c r="N11" s="94">
        <f>F25</f>
        <v>14978.35111867034</v>
      </c>
      <c r="O11" s="94">
        <f>F27</f>
        <v>3052.36</v>
      </c>
    </row>
    <row r="12" spans="1:15" ht="14.4" x14ac:dyDescent="0.3">
      <c r="A12" s="35" t="s">
        <v>55</v>
      </c>
      <c r="B12" s="40"/>
      <c r="C12" s="40"/>
      <c r="D12" s="104">
        <v>1347.73342</v>
      </c>
      <c r="E12" s="104">
        <v>1374.8959199999999</v>
      </c>
      <c r="F12" s="104">
        <v>1402.0584200000001</v>
      </c>
      <c r="G12" s="104">
        <v>1429.22092</v>
      </c>
      <c r="H12" s="104">
        <v>1473.29592</v>
      </c>
      <c r="I12" s="104">
        <v>1517.3709200000001</v>
      </c>
      <c r="K12" s="23"/>
      <c r="L12" s="23"/>
      <c r="M12" s="94">
        <f>G5</f>
        <v>5</v>
      </c>
      <c r="N12" s="94">
        <f>G25</f>
        <v>15987.364537091549</v>
      </c>
      <c r="O12" s="94">
        <f>G27</f>
        <v>3052.36</v>
      </c>
    </row>
    <row r="13" spans="1:15" ht="14.4" x14ac:dyDescent="0.3">
      <c r="A13" s="35" t="s">
        <v>56</v>
      </c>
      <c r="B13" s="40"/>
      <c r="C13" s="40"/>
      <c r="D13" s="104">
        <v>1360.7268573900001</v>
      </c>
      <c r="E13" s="104">
        <v>1364.70448566</v>
      </c>
      <c r="F13" s="104">
        <v>1368.68211393</v>
      </c>
      <c r="G13" s="104">
        <v>1372.6597422</v>
      </c>
      <c r="H13" s="104">
        <v>1380.6149987399999</v>
      </c>
      <c r="I13" s="104">
        <v>1388.5702552800001</v>
      </c>
      <c r="K13" s="23"/>
      <c r="L13" s="23"/>
      <c r="M13" s="94">
        <f>H5</f>
        <v>6</v>
      </c>
      <c r="N13" s="94">
        <f>H25</f>
        <v>17684.060112071711</v>
      </c>
      <c r="O13" s="94">
        <f>H27</f>
        <v>3052.36</v>
      </c>
    </row>
    <row r="14" spans="1:15" ht="14.4" x14ac:dyDescent="0.3">
      <c r="A14" s="35" t="s">
        <v>57</v>
      </c>
      <c r="B14" s="40"/>
      <c r="C14" s="40"/>
      <c r="D14" s="104">
        <v>1230.7600000000002</v>
      </c>
      <c r="E14" s="104">
        <v>1230.7600000000002</v>
      </c>
      <c r="F14" s="104">
        <v>1230.7600000000002</v>
      </c>
      <c r="G14" s="104">
        <v>1230.7600000000002</v>
      </c>
      <c r="H14" s="104">
        <v>1230.7600000000002</v>
      </c>
      <c r="I14" s="104">
        <v>1230.7600000000002</v>
      </c>
      <c r="K14" s="23"/>
      <c r="L14" s="23"/>
      <c r="M14" s="94">
        <f>I5</f>
        <v>7</v>
      </c>
      <c r="N14" s="94">
        <f>I25</f>
        <v>19583.153449894304</v>
      </c>
      <c r="O14" s="94">
        <f>I27</f>
        <v>3052.36</v>
      </c>
    </row>
    <row r="15" spans="1:15" x14ac:dyDescent="0.25">
      <c r="A15" s="35" t="s">
        <v>58</v>
      </c>
      <c r="B15" s="40"/>
      <c r="C15" s="40"/>
      <c r="D15" s="104">
        <v>0</v>
      </c>
      <c r="E15" s="104">
        <v>0</v>
      </c>
      <c r="F15" s="104">
        <v>0</v>
      </c>
      <c r="G15" s="104">
        <v>0</v>
      </c>
      <c r="H15" s="104">
        <v>0</v>
      </c>
      <c r="I15" s="104">
        <v>0</v>
      </c>
      <c r="K15" s="23"/>
      <c r="L15" s="23"/>
    </row>
    <row r="16" spans="1:15" x14ac:dyDescent="0.25">
      <c r="A16" s="35" t="s">
        <v>59</v>
      </c>
      <c r="B16" s="40"/>
      <c r="C16" s="40"/>
      <c r="D16" s="104">
        <v>276.822</v>
      </c>
      <c r="E16" s="104">
        <v>316.36799999999999</v>
      </c>
      <c r="F16" s="104">
        <v>355.91399999999999</v>
      </c>
      <c r="G16" s="104">
        <v>395.46000000000004</v>
      </c>
      <c r="H16" s="104">
        <v>474.55199999999996</v>
      </c>
      <c r="I16" s="104">
        <v>553.64400000000001</v>
      </c>
      <c r="K16" s="23"/>
      <c r="L16" s="23"/>
    </row>
    <row r="17" spans="1:12" x14ac:dyDescent="0.25">
      <c r="A17" s="35" t="s">
        <v>60</v>
      </c>
      <c r="B17" s="40"/>
      <c r="C17" s="40"/>
      <c r="D17" s="104">
        <v>933.25643907212896</v>
      </c>
      <c r="E17" s="104">
        <v>1001.773894750462</v>
      </c>
      <c r="F17" s="104">
        <v>1074.1326080779565</v>
      </c>
      <c r="G17" s="104">
        <v>1146.4913214054516</v>
      </c>
      <c r="H17" s="104">
        <v>1268.1653313567926</v>
      </c>
      <c r="I17" s="104">
        <v>1404.3537584925516</v>
      </c>
      <c r="K17" s="23"/>
      <c r="L17" s="23"/>
    </row>
    <row r="18" spans="1:12" x14ac:dyDescent="0.25">
      <c r="A18" s="35" t="s">
        <v>61</v>
      </c>
      <c r="B18" s="40"/>
      <c r="C18" s="40"/>
      <c r="D18" s="104">
        <v>0</v>
      </c>
      <c r="E18" s="104">
        <v>0</v>
      </c>
      <c r="F18" s="104">
        <v>0</v>
      </c>
      <c r="G18" s="104">
        <v>0</v>
      </c>
      <c r="H18" s="104">
        <v>0</v>
      </c>
      <c r="I18" s="104">
        <v>0</v>
      </c>
      <c r="K18" s="23"/>
      <c r="L18" s="23"/>
    </row>
    <row r="19" spans="1:12" x14ac:dyDescent="0.25">
      <c r="A19" s="35" t="s">
        <v>62</v>
      </c>
      <c r="B19" s="40"/>
      <c r="C19" s="40"/>
      <c r="D19" s="104">
        <v>415.51020000000005</v>
      </c>
      <c r="E19" s="104">
        <v>474.86880000000008</v>
      </c>
      <c r="F19" s="104">
        <v>534.22739999999999</v>
      </c>
      <c r="G19" s="104">
        <v>593.58600000000001</v>
      </c>
      <c r="H19" s="104">
        <v>712.30320000000006</v>
      </c>
      <c r="I19" s="104">
        <v>831.02040000000011</v>
      </c>
      <c r="K19" s="23"/>
      <c r="L19" s="23"/>
    </row>
    <row r="20" spans="1:12" x14ac:dyDescent="0.25">
      <c r="A20" s="35" t="s">
        <v>63</v>
      </c>
      <c r="B20" s="40"/>
      <c r="C20" s="40"/>
      <c r="D20" s="104">
        <v>0</v>
      </c>
      <c r="E20" s="104">
        <v>0</v>
      </c>
      <c r="F20" s="104">
        <v>0</v>
      </c>
      <c r="G20" s="104">
        <v>0</v>
      </c>
      <c r="H20" s="104">
        <v>0</v>
      </c>
      <c r="I20" s="104">
        <v>0</v>
      </c>
      <c r="K20" s="23"/>
      <c r="L20" s="23"/>
    </row>
    <row r="21" spans="1:12" x14ac:dyDescent="0.25">
      <c r="A21" s="35" t="s">
        <v>64</v>
      </c>
      <c r="B21" s="40"/>
      <c r="C21" s="40"/>
      <c r="D21" s="104">
        <v>0</v>
      </c>
      <c r="E21" s="104">
        <v>0</v>
      </c>
      <c r="F21" s="104">
        <v>0</v>
      </c>
      <c r="G21" s="104">
        <v>0</v>
      </c>
      <c r="H21" s="104">
        <v>0</v>
      </c>
      <c r="I21" s="104">
        <v>0</v>
      </c>
      <c r="K21" s="23"/>
      <c r="L21" s="23"/>
    </row>
    <row r="22" spans="1:12" x14ac:dyDescent="0.25">
      <c r="A22" s="35" t="s">
        <v>65</v>
      </c>
      <c r="B22" s="40"/>
      <c r="C22" s="40"/>
      <c r="D22" s="104">
        <v>0</v>
      </c>
      <c r="E22" s="104">
        <v>0</v>
      </c>
      <c r="F22" s="104">
        <v>0</v>
      </c>
      <c r="G22" s="104">
        <v>0</v>
      </c>
      <c r="H22" s="104">
        <v>0</v>
      </c>
      <c r="I22" s="104">
        <v>0</v>
      </c>
      <c r="K22" s="23"/>
      <c r="L22" s="23"/>
    </row>
    <row r="23" spans="1:12" x14ac:dyDescent="0.25">
      <c r="A23" s="35" t="s">
        <v>66</v>
      </c>
      <c r="B23" s="40"/>
      <c r="C23" s="40"/>
      <c r="D23" s="104">
        <v>0</v>
      </c>
      <c r="E23" s="104">
        <v>0</v>
      </c>
      <c r="F23" s="104">
        <v>0</v>
      </c>
      <c r="G23" s="104">
        <v>0</v>
      </c>
      <c r="H23" s="104">
        <v>0</v>
      </c>
      <c r="I23" s="104">
        <v>0</v>
      </c>
      <c r="K23" s="23"/>
      <c r="L23" s="23"/>
    </row>
    <row r="24" spans="1:12" ht="13.8" thickBot="1" x14ac:dyDescent="0.3">
      <c r="A24" s="35" t="s">
        <v>67</v>
      </c>
      <c r="B24" s="40"/>
      <c r="C24" s="40"/>
      <c r="D24" s="104">
        <v>779.91579733071069</v>
      </c>
      <c r="E24" s="104">
        <v>837.17534983866699</v>
      </c>
      <c r="F24" s="104">
        <v>897.64501416238227</v>
      </c>
      <c r="G24" s="104">
        <v>958.11467848609755</v>
      </c>
      <c r="H24" s="104">
        <v>1059.7967869749205</v>
      </c>
      <c r="I24" s="104">
        <v>1173.6084911217501</v>
      </c>
      <c r="K24" s="23"/>
      <c r="L24" s="23"/>
    </row>
    <row r="25" spans="1:12" ht="25.5" customHeight="1" thickBot="1" x14ac:dyDescent="0.3">
      <c r="A25" s="265" t="s">
        <v>68</v>
      </c>
      <c r="B25" s="266"/>
      <c r="C25" s="267"/>
      <c r="D25" s="177">
        <f t="shared" ref="D25:I25" si="1">SUM(D9:D24)</f>
        <v>13013.889088792839</v>
      </c>
      <c r="E25" s="177">
        <f t="shared" si="1"/>
        <v>13969.337700249132</v>
      </c>
      <c r="F25" s="177">
        <f t="shared" si="1"/>
        <v>14978.35111867034</v>
      </c>
      <c r="G25" s="177">
        <f t="shared" si="1"/>
        <v>15987.364537091549</v>
      </c>
      <c r="H25" s="177">
        <f t="shared" si="1"/>
        <v>17684.060112071711</v>
      </c>
      <c r="I25" s="177">
        <f t="shared" si="1"/>
        <v>19583.153449894304</v>
      </c>
      <c r="K25" s="28"/>
      <c r="L25" s="28"/>
    </row>
    <row r="26" spans="1:12" ht="13.8" thickBot="1" x14ac:dyDescent="0.3">
      <c r="A26" s="41"/>
      <c r="B26" s="42"/>
      <c r="C26" s="42"/>
      <c r="D26" s="21"/>
      <c r="E26" s="21"/>
      <c r="F26" s="21"/>
      <c r="G26" s="21"/>
      <c r="H26" s="21"/>
      <c r="I26" s="21"/>
    </row>
    <row r="27" spans="1:12" ht="13.8" thickBot="1" x14ac:dyDescent="0.3">
      <c r="A27" s="262" t="s">
        <v>69</v>
      </c>
      <c r="B27" s="263"/>
      <c r="C27" s="264"/>
      <c r="D27" s="178">
        <v>3052.36</v>
      </c>
      <c r="E27" s="179">
        <v>3052.36</v>
      </c>
      <c r="F27" s="179">
        <v>3052.36</v>
      </c>
      <c r="G27" s="179">
        <v>3052.36</v>
      </c>
      <c r="H27" s="179">
        <v>3052.36</v>
      </c>
      <c r="I27" s="179">
        <v>3052.36</v>
      </c>
      <c r="J27" s="17"/>
    </row>
    <row r="28" spans="1:12" ht="13.8" thickBot="1" x14ac:dyDescent="0.3">
      <c r="A28" s="41"/>
      <c r="B28" s="42"/>
      <c r="C28" s="42"/>
      <c r="D28" s="21"/>
      <c r="E28" s="21"/>
      <c r="F28" s="21"/>
      <c r="G28" s="21"/>
      <c r="H28" s="21"/>
      <c r="I28" s="21"/>
    </row>
    <row r="29" spans="1:12" ht="25.5" customHeight="1" thickBot="1" x14ac:dyDescent="0.3">
      <c r="A29" s="265" t="s">
        <v>70</v>
      </c>
      <c r="B29" s="266"/>
      <c r="C29" s="267"/>
      <c r="D29" s="177">
        <f t="shared" ref="D29:I29" si="2">D25+D27</f>
        <v>16066.24908879284</v>
      </c>
      <c r="E29" s="177">
        <f t="shared" si="2"/>
        <v>17021.697700249133</v>
      </c>
      <c r="F29" s="177">
        <f t="shared" si="2"/>
        <v>18030.711118670341</v>
      </c>
      <c r="G29" s="177">
        <f t="shared" si="2"/>
        <v>19039.724537091548</v>
      </c>
      <c r="H29" s="177">
        <f t="shared" si="2"/>
        <v>20736.420112071712</v>
      </c>
      <c r="I29" s="177">
        <f t="shared" si="2"/>
        <v>22635.513449894304</v>
      </c>
    </row>
    <row r="30" spans="1:12" ht="13.8" thickBot="1" x14ac:dyDescent="0.3">
      <c r="A30" s="36"/>
      <c r="B30" s="37"/>
      <c r="C30" s="37"/>
      <c r="D30" s="22"/>
      <c r="E30" s="22"/>
      <c r="F30" s="22"/>
      <c r="G30" s="22"/>
      <c r="H30" s="22"/>
      <c r="I30" s="22"/>
    </row>
    <row r="31" spans="1:12" ht="25.5" customHeight="1" thickBot="1" x14ac:dyDescent="0.3">
      <c r="A31" s="265" t="s">
        <v>71</v>
      </c>
      <c r="B31" s="281"/>
      <c r="C31" s="282"/>
      <c r="D31" s="177">
        <f t="shared" ref="D31:I31" si="3">D29/D5</f>
        <v>4590.3568825122402</v>
      </c>
      <c r="E31" s="177">
        <f t="shared" si="3"/>
        <v>4255.4244250622833</v>
      </c>
      <c r="F31" s="177">
        <f t="shared" si="3"/>
        <v>4006.8246930378536</v>
      </c>
      <c r="G31" s="177">
        <f t="shared" si="3"/>
        <v>3807.9449074183094</v>
      </c>
      <c r="H31" s="177">
        <f t="shared" si="3"/>
        <v>3456.0700186786185</v>
      </c>
      <c r="I31" s="177">
        <f t="shared" si="3"/>
        <v>3233.6447785563291</v>
      </c>
    </row>
    <row r="32" spans="1:12" ht="13.8" thickBot="1" x14ac:dyDescent="0.3">
      <c r="A32" s="31"/>
      <c r="B32" s="32"/>
      <c r="C32" s="32"/>
      <c r="D32" s="22"/>
      <c r="E32" s="22"/>
      <c r="F32" s="22"/>
      <c r="G32" s="22"/>
      <c r="H32" s="22"/>
      <c r="I32" s="22"/>
    </row>
    <row r="33" spans="1:10" ht="13.8" thickBot="1" x14ac:dyDescent="0.3">
      <c r="A33" s="180" t="s">
        <v>72</v>
      </c>
      <c r="B33" s="174"/>
      <c r="C33" s="174"/>
      <c r="D33" s="177">
        <f>'Pryse + Sensatiwiteitsanali'!D4</f>
        <v>399</v>
      </c>
      <c r="E33" s="177">
        <f>$D$33</f>
        <v>399</v>
      </c>
      <c r="F33" s="177">
        <f>$D$33</f>
        <v>399</v>
      </c>
      <c r="G33" s="177">
        <f>$D$33</f>
        <v>399</v>
      </c>
      <c r="H33" s="177">
        <f>$D$33</f>
        <v>399</v>
      </c>
      <c r="I33" s="177">
        <f>$D$33</f>
        <v>399</v>
      </c>
    </row>
    <row r="34" spans="1:10" ht="13.8" thickBot="1" x14ac:dyDescent="0.3">
      <c r="A34" s="31"/>
      <c r="B34" s="32"/>
      <c r="C34" s="32"/>
      <c r="D34" s="22"/>
      <c r="E34" s="22"/>
      <c r="F34" s="22"/>
      <c r="G34" s="22"/>
      <c r="H34" s="22"/>
      <c r="I34" s="22"/>
    </row>
    <row r="35" spans="1:10" ht="27.75" customHeight="1" thickBot="1" x14ac:dyDescent="0.3">
      <c r="A35" s="283" t="s">
        <v>73</v>
      </c>
      <c r="B35" s="284"/>
      <c r="C35" s="285"/>
      <c r="D35" s="239">
        <f t="shared" ref="D35:I35" si="4">D31+D33</f>
        <v>4989.3568825122402</v>
      </c>
      <c r="E35" s="239">
        <f t="shared" si="4"/>
        <v>4654.4244250622833</v>
      </c>
      <c r="F35" s="239">
        <f t="shared" si="4"/>
        <v>4405.8246930378536</v>
      </c>
      <c r="G35" s="239">
        <f t="shared" si="4"/>
        <v>4206.9449074183094</v>
      </c>
      <c r="H35" s="239">
        <f t="shared" si="4"/>
        <v>3855.0700186786185</v>
      </c>
      <c r="I35" s="239">
        <f t="shared" si="4"/>
        <v>3632.6447785563291</v>
      </c>
    </row>
    <row r="36" spans="1:10" ht="13.8" thickBot="1" x14ac:dyDescent="0.3">
      <c r="A36" s="243" t="s">
        <v>74</v>
      </c>
      <c r="B36" s="240"/>
      <c r="C36" s="241"/>
      <c r="D36" s="239">
        <f>'Pryse + Sensatiwiteitsanali'!B4</f>
        <v>4455</v>
      </c>
      <c r="E36" s="239">
        <f>$D$36</f>
        <v>4455</v>
      </c>
      <c r="F36" s="239">
        <f>$D$36</f>
        <v>4455</v>
      </c>
      <c r="G36" s="239">
        <f>$D$36</f>
        <v>4455</v>
      </c>
      <c r="H36" s="239">
        <f>$D$36</f>
        <v>4455</v>
      </c>
      <c r="I36" s="239">
        <f>$D$36</f>
        <v>4455</v>
      </c>
    </row>
    <row r="37" spans="1:10" ht="13.8" thickBot="1" x14ac:dyDescent="0.3"/>
    <row r="38" spans="1:10" customFormat="1" ht="14.4" x14ac:dyDescent="0.3">
      <c r="A38" s="291" t="s">
        <v>75</v>
      </c>
      <c r="B38" s="292"/>
      <c r="C38" s="292"/>
      <c r="D38" s="158">
        <f t="shared" ref="D38:I38" si="5">D6-D25</f>
        <v>1182.1109112071608</v>
      </c>
      <c r="E38" s="159">
        <f t="shared" si="5"/>
        <v>2254.6622997508675</v>
      </c>
      <c r="F38" s="158">
        <f t="shared" si="5"/>
        <v>3273.6488813296601</v>
      </c>
      <c r="G38" s="159">
        <f t="shared" si="5"/>
        <v>4292.6354629084508</v>
      </c>
      <c r="H38" s="158">
        <f t="shared" si="5"/>
        <v>6651.939887928289</v>
      </c>
      <c r="I38" s="160">
        <f t="shared" si="5"/>
        <v>8808.8465501056962</v>
      </c>
    </row>
    <row r="39" spans="1:10" customFormat="1" ht="15" thickBot="1" x14ac:dyDescent="0.35">
      <c r="A39" s="293" t="s">
        <v>76</v>
      </c>
      <c r="B39" s="294"/>
      <c r="C39" s="294"/>
      <c r="D39" s="161">
        <f t="shared" ref="D39:I39" si="6">D6-D29</f>
        <v>-1870.2490887928398</v>
      </c>
      <c r="E39" s="162">
        <f t="shared" si="6"/>
        <v>-797.69770024913305</v>
      </c>
      <c r="F39" s="161">
        <f t="shared" si="6"/>
        <v>221.28888132965949</v>
      </c>
      <c r="G39" s="162">
        <f t="shared" si="6"/>
        <v>1240.275462908452</v>
      </c>
      <c r="H39" s="161">
        <f t="shared" si="6"/>
        <v>3599.5798879282884</v>
      </c>
      <c r="I39" s="163">
        <f t="shared" si="6"/>
        <v>5756.4865501056956</v>
      </c>
    </row>
    <row r="40" spans="1:10" ht="14.4" x14ac:dyDescent="0.25">
      <c r="A40" s="45" t="s">
        <v>77</v>
      </c>
      <c r="B40" s="46"/>
      <c r="C40" s="46"/>
      <c r="D40" s="46"/>
      <c r="E40" s="46"/>
      <c r="F40" s="46"/>
      <c r="G40" s="46"/>
      <c r="H40" s="47"/>
      <c r="I40" s="44"/>
      <c r="J40" s="44"/>
    </row>
    <row r="41" spans="1:10" ht="14.4" x14ac:dyDescent="0.25">
      <c r="A41" s="48" t="s">
        <v>78</v>
      </c>
      <c r="B41" s="49"/>
      <c r="C41" s="49"/>
      <c r="D41" s="49"/>
      <c r="E41" s="49"/>
      <c r="F41" s="49"/>
      <c r="G41" s="49"/>
      <c r="H41" s="50"/>
      <c r="I41" s="44"/>
      <c r="J41" s="44"/>
    </row>
    <row r="42" spans="1:10" ht="15" thickBot="1" x14ac:dyDescent="0.3">
      <c r="A42" s="51" t="s">
        <v>79</v>
      </c>
      <c r="B42" s="52"/>
      <c r="C42" s="52"/>
      <c r="D42" s="52"/>
      <c r="E42" s="52"/>
      <c r="F42" s="52"/>
      <c r="G42" s="52"/>
      <c r="H42" s="53"/>
      <c r="I42" s="44"/>
      <c r="J42" s="44"/>
    </row>
    <row r="43" spans="1:10" x14ac:dyDescent="0.25">
      <c r="A43" s="269" t="s">
        <v>80</v>
      </c>
      <c r="B43" s="270"/>
      <c r="C43" s="270"/>
      <c r="D43" s="270"/>
      <c r="E43" s="270"/>
      <c r="F43" s="270"/>
      <c r="G43" s="270"/>
      <c r="H43" s="271"/>
    </row>
    <row r="44" spans="1:10" x14ac:dyDescent="0.25">
      <c r="A44" s="272"/>
      <c r="B44" s="273"/>
      <c r="C44" s="273"/>
      <c r="D44" s="273"/>
      <c r="E44" s="273"/>
      <c r="F44" s="273"/>
      <c r="G44" s="273"/>
      <c r="H44" s="274"/>
    </row>
    <row r="45" spans="1:10" x14ac:dyDescent="0.25">
      <c r="A45" s="272"/>
      <c r="B45" s="273"/>
      <c r="C45" s="273"/>
      <c r="D45" s="273"/>
      <c r="E45" s="273"/>
      <c r="F45" s="273"/>
      <c r="G45" s="273"/>
      <c r="H45" s="274"/>
    </row>
    <row r="46" spans="1:10" ht="13.8" thickBot="1" x14ac:dyDescent="0.3">
      <c r="A46" s="275"/>
      <c r="B46" s="276"/>
      <c r="C46" s="276"/>
      <c r="D46" s="276"/>
      <c r="E46" s="276"/>
      <c r="F46" s="276"/>
      <c r="G46" s="276"/>
      <c r="H46" s="277"/>
    </row>
  </sheetData>
  <mergeCells count="13">
    <mergeCell ref="A27:C27"/>
    <mergeCell ref="A29:C29"/>
    <mergeCell ref="M7:O7"/>
    <mergeCell ref="A43:H46"/>
    <mergeCell ref="A1:D1"/>
    <mergeCell ref="E1:G1"/>
    <mergeCell ref="A31:C31"/>
    <mergeCell ref="A35:C35"/>
    <mergeCell ref="A3:C3"/>
    <mergeCell ref="A8:C8"/>
    <mergeCell ref="A25:C25"/>
    <mergeCell ref="A38:C38"/>
    <mergeCell ref="A39:C39"/>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9" fitToHeight="0" orientation="portrait" verticalDpi="300" r:id="rId1"/>
  <headerFooter alignWithMargins="0">
    <oddHeader>&amp;F</oddHeader>
    <oddFooter>&amp;A&amp;RPage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2"/>
  <sheetViews>
    <sheetView zoomScale="85" zoomScaleNormal="85" workbookViewId="0">
      <selection activeCell="G9" sqref="G9:G24"/>
    </sheetView>
  </sheetViews>
  <sheetFormatPr defaultColWidth="9.109375" defaultRowHeight="13.2" x14ac:dyDescent="0.25"/>
  <cols>
    <col min="1" max="1" width="41.6640625" style="1" customWidth="1"/>
    <col min="2" max="2" width="15.6640625" style="1" customWidth="1"/>
    <col min="3" max="3" width="17.33203125" style="1" customWidth="1"/>
    <col min="4" max="4" width="13.88671875" style="1" customWidth="1"/>
    <col min="5" max="9" width="14.33203125" style="1" customWidth="1"/>
    <col min="10" max="10" width="14.44140625" style="1" customWidth="1"/>
    <col min="11" max="12" width="12.6640625" style="1" customWidth="1"/>
    <col min="13" max="15" width="12.6640625" style="1" hidden="1" customWidth="1"/>
    <col min="16" max="26" width="12.6640625" style="1" customWidth="1"/>
    <col min="27" max="16384" width="9.109375" style="1"/>
  </cols>
  <sheetData>
    <row r="1" spans="1:15" ht="31.5" customHeight="1" thickBot="1" x14ac:dyDescent="0.3">
      <c r="A1" s="278" t="s">
        <v>85</v>
      </c>
      <c r="B1" s="279"/>
      <c r="C1" s="279"/>
      <c r="D1" s="279"/>
      <c r="E1" s="280" t="s">
        <v>166</v>
      </c>
      <c r="F1" s="280"/>
      <c r="G1" s="280"/>
      <c r="H1" s="164"/>
      <c r="I1" s="165"/>
    </row>
    <row r="2" spans="1:15" ht="16.2" thickBot="1" x14ac:dyDescent="0.35">
      <c r="A2" s="9"/>
      <c r="B2" s="10"/>
      <c r="C2" s="11"/>
      <c r="D2" s="11"/>
      <c r="E2" s="6"/>
      <c r="F2" s="6"/>
      <c r="G2" s="6"/>
      <c r="H2" s="6"/>
      <c r="I2" s="2"/>
    </row>
    <row r="3" spans="1:15" ht="25.5" customHeight="1" thickBot="1" x14ac:dyDescent="0.3">
      <c r="A3" s="286" t="s">
        <v>43</v>
      </c>
      <c r="B3" s="287"/>
      <c r="C3" s="287"/>
      <c r="D3" s="169"/>
      <c r="E3" s="170">
        <f>'Pryse + Sensatiwiteitsanali'!B66</f>
        <v>8876</v>
      </c>
      <c r="F3" s="169" t="s">
        <v>44</v>
      </c>
      <c r="G3" s="171"/>
      <c r="H3" s="171"/>
      <c r="I3" s="172"/>
    </row>
    <row r="4" spans="1:15" ht="13.8" thickBot="1" x14ac:dyDescent="0.3">
      <c r="A4" s="33"/>
      <c r="B4" s="4"/>
      <c r="C4" s="4"/>
      <c r="D4" s="3"/>
      <c r="E4" s="5"/>
      <c r="F4" s="12"/>
      <c r="G4" s="4"/>
      <c r="H4" s="13"/>
      <c r="I4" s="13"/>
    </row>
    <row r="5" spans="1:15" ht="13.8" thickBot="1" x14ac:dyDescent="0.3">
      <c r="A5" s="34" t="s">
        <v>45</v>
      </c>
      <c r="B5" s="4"/>
      <c r="C5" s="4"/>
      <c r="D5" s="26">
        <v>1</v>
      </c>
      <c r="E5" s="26">
        <v>1.25</v>
      </c>
      <c r="F5" s="26">
        <v>1.5</v>
      </c>
      <c r="G5" s="26">
        <v>1.75</v>
      </c>
      <c r="H5" s="26">
        <v>2</v>
      </c>
      <c r="I5" s="26">
        <v>2.5</v>
      </c>
    </row>
    <row r="6" spans="1:15" ht="13.8" thickBot="1" x14ac:dyDescent="0.3">
      <c r="A6" s="173" t="s">
        <v>46</v>
      </c>
      <c r="B6" s="174"/>
      <c r="C6" s="175"/>
      <c r="D6" s="176">
        <f t="shared" ref="D6:I6" si="0">$E$3*D5</f>
        <v>8876</v>
      </c>
      <c r="E6" s="176">
        <f t="shared" si="0"/>
        <v>11095</v>
      </c>
      <c r="F6" s="176">
        <f t="shared" si="0"/>
        <v>13314</v>
      </c>
      <c r="G6" s="176">
        <f t="shared" si="0"/>
        <v>15533</v>
      </c>
      <c r="H6" s="176">
        <f t="shared" si="0"/>
        <v>17752</v>
      </c>
      <c r="I6" s="176">
        <f t="shared" si="0"/>
        <v>22190</v>
      </c>
    </row>
    <row r="7" spans="1:15" ht="15" thickBot="1" x14ac:dyDescent="0.35">
      <c r="A7" s="31"/>
      <c r="B7" s="32"/>
      <c r="C7" s="32"/>
      <c r="D7" s="15"/>
      <c r="E7" s="15"/>
      <c r="F7" s="15"/>
      <c r="G7" s="15"/>
      <c r="H7" s="15"/>
      <c r="I7" s="15"/>
      <c r="M7" s="268" t="s">
        <v>86</v>
      </c>
      <c r="N7" s="268"/>
      <c r="O7" s="268"/>
    </row>
    <row r="8" spans="1:15" ht="15" thickBot="1" x14ac:dyDescent="0.35">
      <c r="A8" s="288" t="s">
        <v>48</v>
      </c>
      <c r="B8" s="289"/>
      <c r="C8" s="290"/>
      <c r="D8" s="166"/>
      <c r="E8" s="166"/>
      <c r="F8" s="166"/>
      <c r="G8" s="166"/>
      <c r="H8" s="166"/>
      <c r="I8" s="166"/>
      <c r="M8" s="93" t="s">
        <v>49</v>
      </c>
      <c r="N8" s="93" t="s">
        <v>50</v>
      </c>
      <c r="O8" s="93" t="s">
        <v>51</v>
      </c>
    </row>
    <row r="9" spans="1:15" ht="12" customHeight="1" x14ac:dyDescent="0.3">
      <c r="A9" s="38" t="s">
        <v>52</v>
      </c>
      <c r="B9" s="39"/>
      <c r="C9" s="39"/>
      <c r="D9" s="105">
        <v>672.19444444444446</v>
      </c>
      <c r="E9" s="105">
        <v>720.20833333333337</v>
      </c>
      <c r="F9" s="105">
        <v>768.22222222222217</v>
      </c>
      <c r="G9" s="105">
        <v>816.23611111111109</v>
      </c>
      <c r="H9" s="105">
        <v>864.25</v>
      </c>
      <c r="I9" s="105">
        <v>864.25</v>
      </c>
      <c r="K9" s="18"/>
      <c r="M9" s="94">
        <f>D5</f>
        <v>1</v>
      </c>
      <c r="N9" s="94">
        <f>D25</f>
        <v>9377.0303246086314</v>
      </c>
      <c r="O9" s="94">
        <f>D27</f>
        <v>2980.94</v>
      </c>
    </row>
    <row r="10" spans="1:15" ht="12" customHeight="1" x14ac:dyDescent="0.3">
      <c r="A10" s="35" t="s">
        <v>53</v>
      </c>
      <c r="B10" s="40"/>
      <c r="C10" s="40"/>
      <c r="D10" s="104">
        <v>1159</v>
      </c>
      <c r="E10" s="104">
        <v>1421.1</v>
      </c>
      <c r="F10" s="104">
        <v>1683.2</v>
      </c>
      <c r="G10" s="104">
        <v>1955.6000000000001</v>
      </c>
      <c r="H10" s="104">
        <v>2228</v>
      </c>
      <c r="I10" s="104">
        <v>2772.8</v>
      </c>
      <c r="K10" s="18"/>
      <c r="M10" s="94">
        <f>E5</f>
        <v>1.25</v>
      </c>
      <c r="N10" s="94">
        <f>E25</f>
        <v>9892.0662946312896</v>
      </c>
      <c r="O10" s="94">
        <f>E27</f>
        <v>2980.94</v>
      </c>
    </row>
    <row r="11" spans="1:15" ht="12" customHeight="1" x14ac:dyDescent="0.3">
      <c r="A11" s="35" t="s">
        <v>54</v>
      </c>
      <c r="B11" s="40"/>
      <c r="C11" s="40"/>
      <c r="D11" s="104">
        <v>760</v>
      </c>
      <c r="E11" s="104">
        <v>760</v>
      </c>
      <c r="F11" s="104">
        <v>760</v>
      </c>
      <c r="G11" s="104">
        <v>760</v>
      </c>
      <c r="H11" s="104">
        <v>760</v>
      </c>
      <c r="I11" s="104">
        <v>760</v>
      </c>
      <c r="K11" s="18"/>
      <c r="M11" s="94">
        <f>F5</f>
        <v>1.5</v>
      </c>
      <c r="N11" s="94">
        <f>F25</f>
        <v>10407.102264653946</v>
      </c>
      <c r="O11" s="94">
        <f>F27</f>
        <v>2980.94</v>
      </c>
    </row>
    <row r="12" spans="1:15" ht="12" customHeight="1" x14ac:dyDescent="0.3">
      <c r="A12" s="35" t="s">
        <v>55</v>
      </c>
      <c r="B12" s="40"/>
      <c r="C12" s="40"/>
      <c r="D12" s="104">
        <v>1347.7339200000001</v>
      </c>
      <c r="E12" s="104">
        <v>1361.6739200000002</v>
      </c>
      <c r="F12" s="104">
        <v>1375.6139200000002</v>
      </c>
      <c r="G12" s="104">
        <v>1389.5539200000003</v>
      </c>
      <c r="H12" s="104">
        <v>1403.4939200000001</v>
      </c>
      <c r="I12" s="104">
        <v>1421.1239200000002</v>
      </c>
      <c r="K12" s="18"/>
      <c r="M12" s="94">
        <f>G5</f>
        <v>1.75</v>
      </c>
      <c r="N12" s="94">
        <f>G25</f>
        <v>10933.428150432577</v>
      </c>
      <c r="O12" s="94">
        <f>G27</f>
        <v>2980.94</v>
      </c>
    </row>
    <row r="13" spans="1:15" ht="12" customHeight="1" x14ac:dyDescent="0.3">
      <c r="A13" s="35" t="s">
        <v>56</v>
      </c>
      <c r="B13" s="40"/>
      <c r="C13" s="40"/>
      <c r="D13" s="104">
        <v>1432.5687</v>
      </c>
      <c r="E13" s="104">
        <v>1435.2662</v>
      </c>
      <c r="F13" s="104">
        <v>1437.9637</v>
      </c>
      <c r="G13" s="104">
        <v>1440.6612</v>
      </c>
      <c r="H13" s="104">
        <v>1443.3587</v>
      </c>
      <c r="I13" s="104">
        <v>1448.7537</v>
      </c>
      <c r="K13" s="18"/>
      <c r="M13" s="94">
        <f>H5</f>
        <v>2</v>
      </c>
      <c r="N13" s="94">
        <f>H25</f>
        <v>11459.754036211205</v>
      </c>
      <c r="O13" s="94">
        <f>H27</f>
        <v>2980.94</v>
      </c>
    </row>
    <row r="14" spans="1:15" ht="12" customHeight="1" x14ac:dyDescent="0.3">
      <c r="A14" s="35" t="s">
        <v>57</v>
      </c>
      <c r="B14" s="40"/>
      <c r="C14" s="40"/>
      <c r="D14" s="104">
        <v>2610.8399999999997</v>
      </c>
      <c r="E14" s="104">
        <v>2610.8399999999997</v>
      </c>
      <c r="F14" s="104">
        <v>2610.8399999999997</v>
      </c>
      <c r="G14" s="104">
        <v>2610.8399999999997</v>
      </c>
      <c r="H14" s="104">
        <v>2610.8399999999997</v>
      </c>
      <c r="I14" s="104">
        <v>2610.8399999999997</v>
      </c>
      <c r="K14" s="18"/>
      <c r="M14" s="94">
        <f>I5</f>
        <v>2.5</v>
      </c>
      <c r="N14" s="94">
        <f>I25</f>
        <v>12395.913850696334</v>
      </c>
      <c r="O14" s="94">
        <f>I27</f>
        <v>2980.94</v>
      </c>
    </row>
    <row r="15" spans="1:15" ht="12" customHeight="1" x14ac:dyDescent="0.25">
      <c r="A15" s="35" t="s">
        <v>58</v>
      </c>
      <c r="B15" s="40"/>
      <c r="C15" s="40"/>
      <c r="D15" s="104">
        <v>0</v>
      </c>
      <c r="E15" s="104">
        <v>0</v>
      </c>
      <c r="F15" s="104">
        <v>0</v>
      </c>
      <c r="G15" s="104">
        <v>0</v>
      </c>
      <c r="H15" s="104">
        <v>0</v>
      </c>
      <c r="I15" s="104">
        <v>0</v>
      </c>
      <c r="K15" s="18"/>
    </row>
    <row r="16" spans="1:15" ht="12" customHeight="1" x14ac:dyDescent="0.25">
      <c r="A16" s="35" t="s">
        <v>59</v>
      </c>
      <c r="B16" s="40"/>
      <c r="C16" s="40"/>
      <c r="D16" s="104">
        <v>173.08199999999999</v>
      </c>
      <c r="E16" s="104">
        <v>216.35250000000002</v>
      </c>
      <c r="F16" s="104">
        <v>259.62299999999999</v>
      </c>
      <c r="G16" s="104">
        <v>302.89350000000007</v>
      </c>
      <c r="H16" s="104">
        <v>346.16399999999999</v>
      </c>
      <c r="I16" s="104">
        <v>432.70500000000004</v>
      </c>
      <c r="K16" s="18"/>
    </row>
    <row r="17" spans="1:11" ht="12" customHeight="1" x14ac:dyDescent="0.25">
      <c r="A17" s="35" t="s">
        <v>60</v>
      </c>
      <c r="B17" s="40"/>
      <c r="C17" s="40"/>
      <c r="D17" s="104">
        <v>260.2305709103199</v>
      </c>
      <c r="E17" s="104">
        <v>274.52380660207297</v>
      </c>
      <c r="F17" s="104">
        <v>288.81704229382598</v>
      </c>
      <c r="G17" s="104">
        <v>303.42359479495269</v>
      </c>
      <c r="H17" s="104">
        <v>318.03014729607929</v>
      </c>
      <c r="I17" s="104">
        <v>344.01037712933754</v>
      </c>
      <c r="K17" s="18"/>
    </row>
    <row r="18" spans="1:11" ht="12" customHeight="1" x14ac:dyDescent="0.25">
      <c r="A18" s="35" t="s">
        <v>61</v>
      </c>
      <c r="B18" s="40"/>
      <c r="C18" s="40"/>
      <c r="D18" s="104">
        <v>0</v>
      </c>
      <c r="E18" s="104">
        <v>0</v>
      </c>
      <c r="F18" s="104">
        <v>0</v>
      </c>
      <c r="G18" s="104">
        <v>0</v>
      </c>
      <c r="H18" s="104">
        <v>0</v>
      </c>
      <c r="I18" s="104">
        <v>0</v>
      </c>
      <c r="K18" s="18"/>
    </row>
    <row r="19" spans="1:11" ht="12" customHeight="1" x14ac:dyDescent="0.25">
      <c r="A19" s="35" t="s">
        <v>62</v>
      </c>
      <c r="B19" s="40"/>
      <c r="C19" s="40"/>
      <c r="D19" s="104">
        <v>399.41999999999996</v>
      </c>
      <c r="E19" s="104">
        <v>499.27499999999998</v>
      </c>
      <c r="F19" s="104">
        <v>599.13</v>
      </c>
      <c r="G19" s="104">
        <v>698.98500000000001</v>
      </c>
      <c r="H19" s="104">
        <v>798.83999999999992</v>
      </c>
      <c r="I19" s="104">
        <v>998.55</v>
      </c>
      <c r="K19" s="18"/>
    </row>
    <row r="20" spans="1:11" ht="12" customHeight="1" x14ac:dyDescent="0.25">
      <c r="A20" s="35" t="s">
        <v>63</v>
      </c>
      <c r="B20" s="40"/>
      <c r="C20" s="40"/>
      <c r="D20" s="104">
        <v>0</v>
      </c>
      <c r="E20" s="104">
        <v>0</v>
      </c>
      <c r="F20" s="104">
        <v>0</v>
      </c>
      <c r="G20" s="104">
        <v>0</v>
      </c>
      <c r="H20" s="104">
        <v>0</v>
      </c>
      <c r="I20" s="104">
        <v>0</v>
      </c>
      <c r="K20" s="18"/>
    </row>
    <row r="21" spans="1:11" ht="12" customHeight="1" x14ac:dyDescent="0.25">
      <c r="A21" s="35" t="s">
        <v>64</v>
      </c>
      <c r="B21" s="40"/>
      <c r="C21" s="40"/>
      <c r="D21" s="104">
        <v>0</v>
      </c>
      <c r="E21" s="104">
        <v>0</v>
      </c>
      <c r="F21" s="104">
        <v>0</v>
      </c>
      <c r="G21" s="104">
        <v>0</v>
      </c>
      <c r="H21" s="104">
        <v>0</v>
      </c>
      <c r="I21" s="104">
        <v>0</v>
      </c>
      <c r="K21" s="18"/>
    </row>
    <row r="22" spans="1:11" ht="12" customHeight="1" x14ac:dyDescent="0.25">
      <c r="A22" s="35" t="s">
        <v>65</v>
      </c>
      <c r="B22" s="40"/>
      <c r="C22" s="40"/>
      <c r="D22" s="104">
        <v>0</v>
      </c>
      <c r="E22" s="104">
        <v>0</v>
      </c>
      <c r="F22" s="104">
        <v>0</v>
      </c>
      <c r="G22" s="104">
        <v>0</v>
      </c>
      <c r="H22" s="104">
        <v>0</v>
      </c>
      <c r="I22" s="104">
        <v>0</v>
      </c>
      <c r="K22" s="18"/>
    </row>
    <row r="23" spans="1:11" x14ac:dyDescent="0.25">
      <c r="A23" s="35" t="s">
        <v>66</v>
      </c>
      <c r="B23" s="40"/>
      <c r="C23" s="40"/>
      <c r="D23" s="104">
        <v>0</v>
      </c>
      <c r="E23" s="104">
        <v>0</v>
      </c>
      <c r="F23" s="104">
        <v>0</v>
      </c>
      <c r="G23" s="104">
        <v>0</v>
      </c>
      <c r="H23" s="104">
        <v>0</v>
      </c>
      <c r="I23" s="104">
        <v>0</v>
      </c>
      <c r="K23" s="18"/>
    </row>
    <row r="24" spans="1:11" ht="13.8" thickBot="1" x14ac:dyDescent="0.3">
      <c r="A24" s="35" t="s">
        <v>67</v>
      </c>
      <c r="B24" s="40"/>
      <c r="C24" s="40"/>
      <c r="D24" s="104">
        <v>561.96068925386624</v>
      </c>
      <c r="E24" s="104">
        <v>592.82653469588229</v>
      </c>
      <c r="F24" s="104">
        <v>623.692380137898</v>
      </c>
      <c r="G24" s="104">
        <v>655.23482452651172</v>
      </c>
      <c r="H24" s="104">
        <v>686.77726891512521</v>
      </c>
      <c r="I24" s="104">
        <v>742.88085356699537</v>
      </c>
      <c r="K24" s="18"/>
    </row>
    <row r="25" spans="1:11" ht="24.75" customHeight="1" thickBot="1" x14ac:dyDescent="0.3">
      <c r="A25" s="265" t="s">
        <v>68</v>
      </c>
      <c r="B25" s="266"/>
      <c r="C25" s="267"/>
      <c r="D25" s="177">
        <f t="shared" ref="D25:I25" si="1">SUM(D9:D24)</f>
        <v>9377.0303246086314</v>
      </c>
      <c r="E25" s="177">
        <f t="shared" si="1"/>
        <v>9892.0662946312896</v>
      </c>
      <c r="F25" s="177">
        <f t="shared" si="1"/>
        <v>10407.102264653946</v>
      </c>
      <c r="G25" s="177">
        <f t="shared" si="1"/>
        <v>10933.428150432577</v>
      </c>
      <c r="H25" s="177">
        <f t="shared" si="1"/>
        <v>11459.754036211205</v>
      </c>
      <c r="I25" s="177">
        <f t="shared" si="1"/>
        <v>12395.913850696334</v>
      </c>
      <c r="K25" s="18"/>
    </row>
    <row r="26" spans="1:11" ht="13.8" thickBot="1" x14ac:dyDescent="0.3">
      <c r="A26" s="41"/>
      <c r="B26" s="42"/>
      <c r="C26" s="42"/>
      <c r="D26" s="21"/>
      <c r="E26" s="21"/>
      <c r="F26" s="21"/>
      <c r="G26" s="21"/>
      <c r="H26" s="21"/>
      <c r="I26" s="21"/>
    </row>
    <row r="27" spans="1:11" ht="13.8" thickBot="1" x14ac:dyDescent="0.3">
      <c r="A27" s="262" t="s">
        <v>69</v>
      </c>
      <c r="B27" s="263"/>
      <c r="C27" s="264"/>
      <c r="D27" s="178">
        <v>2980.94</v>
      </c>
      <c r="E27" s="179">
        <v>2980.94</v>
      </c>
      <c r="F27" s="179">
        <v>2980.94</v>
      </c>
      <c r="G27" s="179">
        <v>2980.94</v>
      </c>
      <c r="H27" s="179">
        <v>2980.94</v>
      </c>
      <c r="I27" s="179">
        <v>2980.94</v>
      </c>
      <c r="J27" s="17"/>
    </row>
    <row r="28" spans="1:11" ht="13.8" thickBot="1" x14ac:dyDescent="0.3">
      <c r="A28" s="41"/>
      <c r="B28" s="42"/>
      <c r="C28" s="42"/>
      <c r="D28" s="21"/>
      <c r="E28" s="21"/>
      <c r="F28" s="21"/>
      <c r="G28" s="21"/>
      <c r="H28" s="21"/>
      <c r="I28" s="21"/>
    </row>
    <row r="29" spans="1:11" ht="28.5" customHeight="1" thickBot="1" x14ac:dyDescent="0.3">
      <c r="A29" s="265" t="s">
        <v>70</v>
      </c>
      <c r="B29" s="266"/>
      <c r="C29" s="267"/>
      <c r="D29" s="177">
        <f t="shared" ref="D29:I29" si="2">D25+D27</f>
        <v>12357.970324608632</v>
      </c>
      <c r="E29" s="177">
        <f t="shared" si="2"/>
        <v>12873.00629463129</v>
      </c>
      <c r="F29" s="177">
        <f t="shared" si="2"/>
        <v>13388.042264653946</v>
      </c>
      <c r="G29" s="177">
        <f t="shared" si="2"/>
        <v>13914.368150432578</v>
      </c>
      <c r="H29" s="177">
        <f t="shared" si="2"/>
        <v>14440.694036211205</v>
      </c>
      <c r="I29" s="177">
        <f t="shared" si="2"/>
        <v>15376.853850696334</v>
      </c>
    </row>
    <row r="30" spans="1:11" ht="13.8" thickBot="1" x14ac:dyDescent="0.3">
      <c r="A30" s="36"/>
      <c r="B30" s="37"/>
      <c r="C30" s="37"/>
      <c r="D30" s="22"/>
      <c r="E30" s="22"/>
      <c r="F30" s="22"/>
      <c r="G30" s="22"/>
      <c r="H30" s="22"/>
      <c r="I30" s="22"/>
    </row>
    <row r="31" spans="1:11" ht="27.75" customHeight="1" thickBot="1" x14ac:dyDescent="0.3">
      <c r="A31" s="265" t="s">
        <v>71</v>
      </c>
      <c r="B31" s="281"/>
      <c r="C31" s="282"/>
      <c r="D31" s="177">
        <f t="shared" ref="D31:I31" si="3">D29/D5</f>
        <v>12357.970324608632</v>
      </c>
      <c r="E31" s="177">
        <f t="shared" si="3"/>
        <v>10298.405035705033</v>
      </c>
      <c r="F31" s="177">
        <f t="shared" si="3"/>
        <v>8925.3615097692982</v>
      </c>
      <c r="G31" s="177">
        <f t="shared" si="3"/>
        <v>7951.0675145329014</v>
      </c>
      <c r="H31" s="177">
        <f t="shared" si="3"/>
        <v>7220.3470181056027</v>
      </c>
      <c r="I31" s="177">
        <f t="shared" si="3"/>
        <v>6150.7415402785336</v>
      </c>
    </row>
    <row r="32" spans="1:11" ht="13.8" thickBot="1" x14ac:dyDescent="0.3">
      <c r="A32" s="31"/>
      <c r="B32" s="32"/>
      <c r="C32" s="32"/>
      <c r="D32" s="22"/>
      <c r="E32" s="22"/>
      <c r="F32" s="22"/>
      <c r="G32" s="22"/>
      <c r="H32" s="22"/>
      <c r="I32" s="22"/>
    </row>
    <row r="33" spans="1:10" ht="13.8" thickBot="1" x14ac:dyDescent="0.3">
      <c r="A33" s="180" t="s">
        <v>72</v>
      </c>
      <c r="B33" s="174"/>
      <c r="C33" s="174"/>
      <c r="D33" s="177">
        <f>'Pryse + Sensatiwiteitsanali'!D5</f>
        <v>724</v>
      </c>
      <c r="E33" s="177">
        <f>$D$33</f>
        <v>724</v>
      </c>
      <c r="F33" s="177">
        <f>$D$33</f>
        <v>724</v>
      </c>
      <c r="G33" s="177">
        <f>$D$33</f>
        <v>724</v>
      </c>
      <c r="H33" s="177">
        <f>$D$33</f>
        <v>724</v>
      </c>
      <c r="I33" s="177">
        <f>$D$33</f>
        <v>724</v>
      </c>
    </row>
    <row r="34" spans="1:10" ht="13.8" thickBot="1" x14ac:dyDescent="0.3">
      <c r="A34" s="31"/>
      <c r="B34" s="32"/>
      <c r="C34" s="32"/>
      <c r="D34" s="22"/>
      <c r="E34" s="22"/>
      <c r="F34" s="22"/>
      <c r="G34" s="22"/>
      <c r="H34" s="22"/>
      <c r="I34" s="22"/>
    </row>
    <row r="35" spans="1:10" ht="24.75" customHeight="1" thickBot="1" x14ac:dyDescent="0.3">
      <c r="A35" s="283" t="s">
        <v>73</v>
      </c>
      <c r="B35" s="284"/>
      <c r="C35" s="285"/>
      <c r="D35" s="239">
        <f t="shared" ref="D35:I35" si="4">D31+D33</f>
        <v>13081.970324608632</v>
      </c>
      <c r="E35" s="239">
        <f t="shared" si="4"/>
        <v>11022.405035705033</v>
      </c>
      <c r="F35" s="239">
        <f t="shared" si="4"/>
        <v>9649.3615097692982</v>
      </c>
      <c r="G35" s="239">
        <f t="shared" si="4"/>
        <v>8675.0675145329005</v>
      </c>
      <c r="H35" s="239">
        <f t="shared" si="4"/>
        <v>7944.3470181056027</v>
      </c>
      <c r="I35" s="239">
        <f t="shared" si="4"/>
        <v>6874.7415402785336</v>
      </c>
    </row>
    <row r="36" spans="1:10" ht="13.8" thickBot="1" x14ac:dyDescent="0.3">
      <c r="A36" s="243" t="s">
        <v>74</v>
      </c>
      <c r="B36" s="240"/>
      <c r="C36" s="241"/>
      <c r="D36" s="239">
        <f>'Pryse + Sensatiwiteitsanali'!B5</f>
        <v>9600</v>
      </c>
      <c r="E36" s="239">
        <f>$D$36</f>
        <v>9600</v>
      </c>
      <c r="F36" s="239">
        <f>$D$36</f>
        <v>9600</v>
      </c>
      <c r="G36" s="239">
        <f>$D$36</f>
        <v>9600</v>
      </c>
      <c r="H36" s="239">
        <f>$D$36</f>
        <v>9600</v>
      </c>
      <c r="I36" s="239">
        <f>$D$36</f>
        <v>9600</v>
      </c>
    </row>
    <row r="37" spans="1:10" ht="13.8" thickBot="1" x14ac:dyDescent="0.3"/>
    <row r="38" spans="1:10" customFormat="1" ht="14.4" x14ac:dyDescent="0.3">
      <c r="A38" s="291" t="s">
        <v>75</v>
      </c>
      <c r="B38" s="292"/>
      <c r="C38" s="292"/>
      <c r="D38" s="158">
        <f>D6-D25</f>
        <v>-501.03032460863142</v>
      </c>
      <c r="E38" s="159">
        <f t="shared" ref="E38:I38" si="5">E6-E25</f>
        <v>1202.9337053687104</v>
      </c>
      <c r="F38" s="158">
        <f t="shared" si="5"/>
        <v>2906.8977353460541</v>
      </c>
      <c r="G38" s="159">
        <f t="shared" si="5"/>
        <v>4599.5718495674228</v>
      </c>
      <c r="H38" s="158">
        <f t="shared" si="5"/>
        <v>6292.2459637887951</v>
      </c>
      <c r="I38" s="160">
        <f t="shared" si="5"/>
        <v>9794.0861493036664</v>
      </c>
    </row>
    <row r="39" spans="1:10" customFormat="1" ht="15" thickBot="1" x14ac:dyDescent="0.35">
      <c r="A39" s="293" t="s">
        <v>76</v>
      </c>
      <c r="B39" s="294"/>
      <c r="C39" s="294"/>
      <c r="D39" s="161">
        <f t="shared" ref="D39:I39" si="6">D6-D29</f>
        <v>-3481.9703246086319</v>
      </c>
      <c r="E39" s="162">
        <f t="shared" si="6"/>
        <v>-1778.0062946312901</v>
      </c>
      <c r="F39" s="161">
        <f>F6-F29</f>
        <v>-74.042264653946404</v>
      </c>
      <c r="G39" s="162">
        <f t="shared" si="6"/>
        <v>1618.6318495674223</v>
      </c>
      <c r="H39" s="161">
        <f t="shared" si="6"/>
        <v>3311.3059637887945</v>
      </c>
      <c r="I39" s="163">
        <f t="shared" si="6"/>
        <v>6813.1461493036659</v>
      </c>
    </row>
    <row r="40" spans="1:10" ht="14.4" x14ac:dyDescent="0.25">
      <c r="A40" s="45" t="s">
        <v>77</v>
      </c>
      <c r="B40" s="46"/>
      <c r="C40" s="46"/>
      <c r="D40" s="46"/>
      <c r="E40" s="46"/>
      <c r="F40" s="46"/>
      <c r="G40" s="46"/>
      <c r="H40" s="47"/>
      <c r="I40" s="44"/>
      <c r="J40" s="44"/>
    </row>
    <row r="41" spans="1:10" ht="14.4" x14ac:dyDescent="0.25">
      <c r="A41" s="48" t="s">
        <v>78</v>
      </c>
      <c r="B41" s="49"/>
      <c r="C41" s="49"/>
      <c r="D41" s="49"/>
      <c r="E41" s="49"/>
      <c r="F41" s="49"/>
      <c r="G41" s="49"/>
      <c r="H41" s="50"/>
      <c r="I41" s="44"/>
      <c r="J41" s="44"/>
    </row>
    <row r="42" spans="1:10" ht="15" thickBot="1" x14ac:dyDescent="0.3">
      <c r="A42" s="51" t="s">
        <v>79</v>
      </c>
      <c r="B42" s="52"/>
      <c r="C42" s="52"/>
      <c r="D42" s="52"/>
      <c r="E42" s="52"/>
      <c r="F42" s="52"/>
      <c r="G42" s="52"/>
      <c r="H42" s="53"/>
      <c r="I42" s="44"/>
      <c r="J42" s="44"/>
    </row>
  </sheetData>
  <mergeCells count="12">
    <mergeCell ref="A38:C38"/>
    <mergeCell ref="A39:C39"/>
    <mergeCell ref="M7:O7"/>
    <mergeCell ref="A1:D1"/>
    <mergeCell ref="E1:G1"/>
    <mergeCell ref="A31:C31"/>
    <mergeCell ref="A35:C35"/>
    <mergeCell ref="A3:C3"/>
    <mergeCell ref="A8:C8"/>
    <mergeCell ref="A25:C25"/>
    <mergeCell ref="A27:C27"/>
    <mergeCell ref="A29:C29"/>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1" fitToHeight="0" orientation="portrait" r:id="rId1"/>
  <headerFooter alignWithMargins="0">
    <oddHeader>&amp;F</oddHeader>
    <oddFooter>&amp;A&amp;RPage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2"/>
  <sheetViews>
    <sheetView zoomScale="85" zoomScaleNormal="85" workbookViewId="0">
      <selection activeCell="H9" sqref="H9:H24"/>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9" width="14.33203125" style="1" customWidth="1"/>
    <col min="10" max="10" width="14.44140625" style="1" customWidth="1"/>
    <col min="11" max="12" width="12.6640625" style="1" customWidth="1"/>
    <col min="13" max="15" width="12.6640625" style="1" hidden="1" customWidth="1"/>
    <col min="16" max="26" width="12.6640625" style="1" customWidth="1"/>
    <col min="27" max="16384" width="9.109375" style="1"/>
  </cols>
  <sheetData>
    <row r="1" spans="1:15" ht="31.5" customHeight="1" thickBot="1" x14ac:dyDescent="0.3">
      <c r="A1" s="278" t="s">
        <v>87</v>
      </c>
      <c r="B1" s="279"/>
      <c r="C1" s="279"/>
      <c r="D1" s="279"/>
      <c r="E1" s="280" t="s">
        <v>166</v>
      </c>
      <c r="F1" s="280"/>
      <c r="G1" s="280"/>
      <c r="H1" s="164"/>
      <c r="I1" s="165"/>
    </row>
    <row r="2" spans="1:15" ht="16.2" thickBot="1" x14ac:dyDescent="0.35">
      <c r="A2" s="9"/>
      <c r="B2" s="10"/>
      <c r="C2" s="11"/>
      <c r="D2" s="11"/>
      <c r="E2" s="6"/>
      <c r="F2" s="6"/>
      <c r="G2" s="6"/>
      <c r="H2" s="6"/>
      <c r="I2" s="2"/>
    </row>
    <row r="3" spans="1:15" ht="26.25" customHeight="1" thickBot="1" x14ac:dyDescent="0.3">
      <c r="A3" s="265" t="s">
        <v>43</v>
      </c>
      <c r="B3" s="281"/>
      <c r="C3" s="281"/>
      <c r="D3" s="169"/>
      <c r="E3" s="170">
        <f>'Pryse + Sensatiwiteitsanali'!B79</f>
        <v>7031</v>
      </c>
      <c r="F3" s="169" t="s">
        <v>44</v>
      </c>
      <c r="G3" s="171"/>
      <c r="H3" s="171"/>
      <c r="I3" s="172"/>
    </row>
    <row r="4" spans="1:15" ht="13.8" thickBot="1" x14ac:dyDescent="0.3">
      <c r="A4" s="34"/>
      <c r="B4" s="43"/>
      <c r="C4" s="43"/>
      <c r="D4" s="3"/>
      <c r="E4" s="5"/>
      <c r="F4" s="12"/>
      <c r="G4" s="4"/>
      <c r="H4" s="13"/>
      <c r="I4" s="13"/>
    </row>
    <row r="5" spans="1:15" ht="13.8" thickBot="1" x14ac:dyDescent="0.3">
      <c r="A5" s="34" t="s">
        <v>45</v>
      </c>
      <c r="B5" s="43"/>
      <c r="C5" s="43"/>
      <c r="D5" s="27">
        <v>1.25</v>
      </c>
      <c r="E5" s="27">
        <v>1.5</v>
      </c>
      <c r="F5" s="27">
        <v>1.75</v>
      </c>
      <c r="G5" s="27">
        <v>2</v>
      </c>
      <c r="H5" s="27">
        <v>2.25</v>
      </c>
      <c r="I5" s="26">
        <v>0</v>
      </c>
    </row>
    <row r="6" spans="1:15" ht="13.8" thickBot="1" x14ac:dyDescent="0.3">
      <c r="A6" s="173" t="s">
        <v>46</v>
      </c>
      <c r="B6" s="184"/>
      <c r="C6" s="185"/>
      <c r="D6" s="176">
        <f t="shared" ref="D6:I6" si="0">$E$3*D5</f>
        <v>8788.75</v>
      </c>
      <c r="E6" s="176">
        <f t="shared" si="0"/>
        <v>10546.5</v>
      </c>
      <c r="F6" s="176">
        <f t="shared" si="0"/>
        <v>12304.25</v>
      </c>
      <c r="G6" s="176">
        <f t="shared" si="0"/>
        <v>14062</v>
      </c>
      <c r="H6" s="176">
        <f t="shared" si="0"/>
        <v>15819.75</v>
      </c>
      <c r="I6" s="176">
        <f t="shared" si="0"/>
        <v>0</v>
      </c>
    </row>
    <row r="7" spans="1:15" ht="15" thickBot="1" x14ac:dyDescent="0.35">
      <c r="A7" s="36"/>
      <c r="B7" s="37"/>
      <c r="C7" s="37"/>
      <c r="D7" s="15"/>
      <c r="E7" s="15"/>
      <c r="F7" s="15"/>
      <c r="G7" s="15"/>
      <c r="H7" s="15"/>
      <c r="I7" s="15"/>
      <c r="M7" s="268" t="s">
        <v>88</v>
      </c>
      <c r="N7" s="268"/>
      <c r="O7" s="268"/>
    </row>
    <row r="8" spans="1:15" ht="25.5" customHeight="1" thickBot="1" x14ac:dyDescent="0.35">
      <c r="A8" s="288" t="s">
        <v>48</v>
      </c>
      <c r="B8" s="289"/>
      <c r="C8" s="290"/>
      <c r="D8" s="166"/>
      <c r="E8" s="166"/>
      <c r="F8" s="166"/>
      <c r="G8" s="166"/>
      <c r="H8" s="166"/>
      <c r="I8" s="166"/>
      <c r="M8" s="93" t="s">
        <v>49</v>
      </c>
      <c r="N8" s="93" t="s">
        <v>50</v>
      </c>
      <c r="O8" s="93" t="s">
        <v>51</v>
      </c>
    </row>
    <row r="9" spans="1:15" ht="12" customHeight="1" x14ac:dyDescent="0.3">
      <c r="A9" s="38" t="s">
        <v>52</v>
      </c>
      <c r="B9" s="39"/>
      <c r="C9" s="39"/>
      <c r="D9" s="105">
        <v>1759.91</v>
      </c>
      <c r="E9" s="105">
        <v>1759.91</v>
      </c>
      <c r="F9" s="105">
        <v>1759.91</v>
      </c>
      <c r="G9" s="105">
        <v>1759.91</v>
      </c>
      <c r="H9" s="105">
        <v>1759.91</v>
      </c>
      <c r="I9" s="19">
        <v>0</v>
      </c>
      <c r="M9" s="94">
        <f>D5</f>
        <v>1.25</v>
      </c>
      <c r="N9" s="94">
        <f>D25</f>
        <v>11698.672790271643</v>
      </c>
      <c r="O9" s="94">
        <f>D27</f>
        <v>2477.4699999999998</v>
      </c>
    </row>
    <row r="10" spans="1:15" ht="12" customHeight="1" x14ac:dyDescent="0.3">
      <c r="A10" s="35" t="s">
        <v>53</v>
      </c>
      <c r="B10" s="40"/>
      <c r="C10" s="40"/>
      <c r="D10" s="104">
        <v>1970.2</v>
      </c>
      <c r="E10" s="104">
        <v>2267.8000000000002</v>
      </c>
      <c r="F10" s="104">
        <v>2565.4</v>
      </c>
      <c r="G10" s="104">
        <v>2863</v>
      </c>
      <c r="H10" s="104">
        <v>3160.6</v>
      </c>
      <c r="I10" s="20">
        <v>0</v>
      </c>
      <c r="M10" s="94">
        <f>E5</f>
        <v>1.5</v>
      </c>
      <c r="N10" s="94">
        <f>E25</f>
        <v>12059.204818970054</v>
      </c>
      <c r="O10" s="94">
        <f>E27</f>
        <v>2477.4699999999998</v>
      </c>
    </row>
    <row r="11" spans="1:15" ht="12" customHeight="1" x14ac:dyDescent="0.3">
      <c r="A11" s="35" t="s">
        <v>54</v>
      </c>
      <c r="B11" s="40"/>
      <c r="C11" s="40"/>
      <c r="D11" s="104">
        <v>760</v>
      </c>
      <c r="E11" s="104">
        <v>760</v>
      </c>
      <c r="F11" s="104">
        <v>760</v>
      </c>
      <c r="G11" s="104">
        <v>760</v>
      </c>
      <c r="H11" s="104">
        <v>760</v>
      </c>
      <c r="I11" s="20">
        <v>0</v>
      </c>
      <c r="M11" s="94">
        <f>F5</f>
        <v>1.75</v>
      </c>
      <c r="N11" s="94">
        <f>F25</f>
        <v>12606.368000755288</v>
      </c>
      <c r="O11" s="94">
        <f>F27</f>
        <v>2477.4699999999998</v>
      </c>
    </row>
    <row r="12" spans="1:15" ht="12" customHeight="1" x14ac:dyDescent="0.3">
      <c r="A12" s="35" t="s">
        <v>55</v>
      </c>
      <c r="B12" s="40"/>
      <c r="C12" s="40"/>
      <c r="D12" s="104">
        <v>1115.8492000000001</v>
      </c>
      <c r="E12" s="104">
        <v>1129.7892000000002</v>
      </c>
      <c r="F12" s="104">
        <v>1143.7292</v>
      </c>
      <c r="G12" s="104">
        <v>1157.6692</v>
      </c>
      <c r="H12" s="104">
        <v>1171.6092000000001</v>
      </c>
      <c r="I12" s="20">
        <v>0</v>
      </c>
      <c r="M12" s="94">
        <f>G5</f>
        <v>2</v>
      </c>
      <c r="N12" s="94">
        <f>G25</f>
        <v>13153.531182540522</v>
      </c>
      <c r="O12" s="94">
        <f>G27</f>
        <v>2477.4699999999998</v>
      </c>
    </row>
    <row r="13" spans="1:15" ht="12" customHeight="1" x14ac:dyDescent="0.3">
      <c r="A13" s="35" t="s">
        <v>56</v>
      </c>
      <c r="B13" s="40"/>
      <c r="C13" s="40"/>
      <c r="D13" s="104">
        <v>1212.0662000000002</v>
      </c>
      <c r="E13" s="104">
        <v>1214.7637000000002</v>
      </c>
      <c r="F13" s="104">
        <v>1217.4612000000002</v>
      </c>
      <c r="G13" s="104">
        <v>1220.1587000000002</v>
      </c>
      <c r="H13" s="104">
        <v>1222.8562000000002</v>
      </c>
      <c r="I13" s="20">
        <v>0</v>
      </c>
      <c r="M13" s="94">
        <f>H5</f>
        <v>2.25</v>
      </c>
      <c r="N13" s="94">
        <f>H25</f>
        <v>13700.694364325755</v>
      </c>
      <c r="O13" s="94">
        <f>H27</f>
        <v>2477.4699999999998</v>
      </c>
    </row>
    <row r="14" spans="1:15" ht="12" customHeight="1" x14ac:dyDescent="0.3">
      <c r="A14" s="35" t="s">
        <v>57</v>
      </c>
      <c r="B14" s="40"/>
      <c r="C14" s="40"/>
      <c r="D14" s="104">
        <v>1366.1186932000001</v>
      </c>
      <c r="E14" s="104">
        <v>1288.7912200000001</v>
      </c>
      <c r="F14" s="104">
        <v>1288.7912200000001</v>
      </c>
      <c r="G14" s="104">
        <v>1288.7912200000001</v>
      </c>
      <c r="H14" s="104">
        <v>1288.7912200000001</v>
      </c>
      <c r="I14" s="20">
        <v>0</v>
      </c>
      <c r="M14" s="94">
        <f>I5</f>
        <v>0</v>
      </c>
      <c r="N14" s="94">
        <f>I25</f>
        <v>0</v>
      </c>
      <c r="O14" s="94">
        <f>I27</f>
        <v>0</v>
      </c>
    </row>
    <row r="15" spans="1:15" ht="12" customHeight="1" x14ac:dyDescent="0.25">
      <c r="A15" s="35" t="s">
        <v>58</v>
      </c>
      <c r="B15" s="40"/>
      <c r="C15" s="40"/>
      <c r="D15" s="104">
        <v>1687.2716471993256</v>
      </c>
      <c r="E15" s="104">
        <v>1591.765704905024</v>
      </c>
      <c r="F15" s="104">
        <v>1591.765704905024</v>
      </c>
      <c r="G15" s="104">
        <v>1591.765704905024</v>
      </c>
      <c r="H15" s="104">
        <v>1591.765704905024</v>
      </c>
      <c r="I15" s="20">
        <v>0</v>
      </c>
    </row>
    <row r="16" spans="1:15" ht="12" customHeight="1" x14ac:dyDescent="0.25">
      <c r="A16" s="35" t="s">
        <v>59</v>
      </c>
      <c r="B16" s="40"/>
      <c r="C16" s="40"/>
      <c r="D16" s="104">
        <v>171.38062500000001</v>
      </c>
      <c r="E16" s="104">
        <v>205.65674999999999</v>
      </c>
      <c r="F16" s="104">
        <v>239.93287500000002</v>
      </c>
      <c r="G16" s="104">
        <v>274.20899999999995</v>
      </c>
      <c r="H16" s="104">
        <v>308.48512499999998</v>
      </c>
      <c r="I16" s="20">
        <v>0</v>
      </c>
    </row>
    <row r="17" spans="1:10" ht="12" customHeight="1" x14ac:dyDescent="0.25">
      <c r="A17" s="35" t="s">
        <v>60</v>
      </c>
      <c r="B17" s="40"/>
      <c r="C17" s="40"/>
      <c r="D17" s="104">
        <v>163.79337574910375</v>
      </c>
      <c r="E17" s="104">
        <v>168.84119263439112</v>
      </c>
      <c r="F17" s="104">
        <v>176.50203641016981</v>
      </c>
      <c r="G17" s="104">
        <v>184.1628801859485</v>
      </c>
      <c r="H17" s="104">
        <v>191.82372396172718</v>
      </c>
      <c r="I17" s="20">
        <v>0</v>
      </c>
    </row>
    <row r="18" spans="1:10" ht="12" customHeight="1" x14ac:dyDescent="0.25">
      <c r="A18" s="35" t="s">
        <v>61</v>
      </c>
      <c r="B18" s="40"/>
      <c r="C18" s="40"/>
      <c r="D18" s="104">
        <v>0</v>
      </c>
      <c r="E18" s="104">
        <v>0</v>
      </c>
      <c r="F18" s="104">
        <v>0</v>
      </c>
      <c r="G18" s="104">
        <v>0</v>
      </c>
      <c r="H18" s="104">
        <v>0</v>
      </c>
      <c r="I18" s="20">
        <v>0</v>
      </c>
    </row>
    <row r="19" spans="1:10" ht="12" customHeight="1" x14ac:dyDescent="0.25">
      <c r="A19" s="35" t="s">
        <v>62</v>
      </c>
      <c r="B19" s="40"/>
      <c r="C19" s="40"/>
      <c r="D19" s="104">
        <v>790.98749999999995</v>
      </c>
      <c r="E19" s="104">
        <v>949.18499999999995</v>
      </c>
      <c r="F19" s="104">
        <v>1107.3824999999999</v>
      </c>
      <c r="G19" s="104">
        <v>1265.58</v>
      </c>
      <c r="H19" s="104">
        <v>1423.7774999999999</v>
      </c>
      <c r="I19" s="20">
        <v>0</v>
      </c>
    </row>
    <row r="20" spans="1:10" ht="12" customHeight="1" x14ac:dyDescent="0.25">
      <c r="A20" s="35" t="s">
        <v>63</v>
      </c>
      <c r="B20" s="40"/>
      <c r="C20" s="40"/>
      <c r="D20" s="104">
        <v>0</v>
      </c>
      <c r="E20" s="104">
        <v>0</v>
      </c>
      <c r="F20" s="104">
        <v>0</v>
      </c>
      <c r="G20" s="104">
        <v>0</v>
      </c>
      <c r="H20" s="104">
        <v>0</v>
      </c>
      <c r="I20" s="20">
        <v>0</v>
      </c>
    </row>
    <row r="21" spans="1:10" ht="12" customHeight="1" x14ac:dyDescent="0.25">
      <c r="A21" s="35" t="s">
        <v>64</v>
      </c>
      <c r="B21" s="40"/>
      <c r="C21" s="40"/>
      <c r="D21" s="104">
        <v>0</v>
      </c>
      <c r="E21" s="104">
        <v>0</v>
      </c>
      <c r="F21" s="104">
        <v>0</v>
      </c>
      <c r="G21" s="104">
        <v>0</v>
      </c>
      <c r="H21" s="104">
        <v>0</v>
      </c>
      <c r="I21" s="20">
        <v>0</v>
      </c>
    </row>
    <row r="22" spans="1:10" ht="12" customHeight="1" x14ac:dyDescent="0.25">
      <c r="A22" s="35" t="s">
        <v>65</v>
      </c>
      <c r="B22" s="40"/>
      <c r="C22" s="40"/>
      <c r="D22" s="104">
        <v>0</v>
      </c>
      <c r="E22" s="104">
        <v>0</v>
      </c>
      <c r="F22" s="104">
        <v>0</v>
      </c>
      <c r="G22" s="104">
        <v>0</v>
      </c>
      <c r="H22" s="104">
        <v>0</v>
      </c>
      <c r="I22" s="20">
        <v>0</v>
      </c>
    </row>
    <row r="23" spans="1:10" x14ac:dyDescent="0.25">
      <c r="A23" s="35" t="s">
        <v>66</v>
      </c>
      <c r="B23" s="40"/>
      <c r="C23" s="40"/>
      <c r="D23" s="104">
        <v>0</v>
      </c>
      <c r="E23" s="104">
        <v>0</v>
      </c>
      <c r="F23" s="104">
        <v>0</v>
      </c>
      <c r="G23" s="104">
        <v>0</v>
      </c>
      <c r="H23" s="104">
        <v>0</v>
      </c>
      <c r="I23" s="20">
        <v>0</v>
      </c>
    </row>
    <row r="24" spans="1:10" ht="13.8" thickBot="1" x14ac:dyDescent="0.3">
      <c r="A24" s="35" t="s">
        <v>67</v>
      </c>
      <c r="B24" s="40"/>
      <c r="C24" s="40"/>
      <c r="D24" s="104">
        <v>701.09554912321244</v>
      </c>
      <c r="E24" s="104">
        <v>722.70205143063777</v>
      </c>
      <c r="F24" s="104">
        <v>755.49326444009364</v>
      </c>
      <c r="G24" s="104">
        <v>788.2844774495494</v>
      </c>
      <c r="H24" s="104">
        <v>821.07569045900527</v>
      </c>
      <c r="I24" s="20">
        <v>0</v>
      </c>
    </row>
    <row r="25" spans="1:10" ht="27.75" customHeight="1" thickBot="1" x14ac:dyDescent="0.3">
      <c r="A25" s="265" t="s">
        <v>68</v>
      </c>
      <c r="B25" s="266"/>
      <c r="C25" s="267"/>
      <c r="D25" s="177">
        <f>SUM(D9:D24)</f>
        <v>11698.672790271643</v>
      </c>
      <c r="E25" s="177">
        <f>SUM(E9:E24)</f>
        <v>12059.204818970054</v>
      </c>
      <c r="F25" s="177">
        <f>SUM(F9:F24)</f>
        <v>12606.368000755288</v>
      </c>
      <c r="G25" s="177">
        <f>SUM(G9:G24)</f>
        <v>13153.531182540522</v>
      </c>
      <c r="H25" s="177">
        <f>SUM(H9:H24)</f>
        <v>13700.694364325755</v>
      </c>
      <c r="I25" s="177">
        <v>0</v>
      </c>
    </row>
    <row r="26" spans="1:10" ht="13.8" thickBot="1" x14ac:dyDescent="0.3">
      <c r="A26" s="41"/>
      <c r="B26" s="42"/>
      <c r="C26" s="42"/>
      <c r="D26" s="21"/>
      <c r="E26" s="21"/>
      <c r="F26" s="21"/>
      <c r="G26" s="21"/>
      <c r="H26" s="21"/>
      <c r="I26" s="21"/>
    </row>
    <row r="27" spans="1:10" ht="13.8" thickBot="1" x14ac:dyDescent="0.3">
      <c r="A27" s="262" t="s">
        <v>69</v>
      </c>
      <c r="B27" s="263"/>
      <c r="C27" s="264"/>
      <c r="D27" s="178">
        <v>2477.4699999999998</v>
      </c>
      <c r="E27" s="179">
        <v>2477.4699999999998</v>
      </c>
      <c r="F27" s="179">
        <v>2477.4699999999998</v>
      </c>
      <c r="G27" s="179">
        <v>2477.4699999999998</v>
      </c>
      <c r="H27" s="179">
        <v>2477.4699999999998</v>
      </c>
      <c r="I27" s="179"/>
      <c r="J27" s="17"/>
    </row>
    <row r="28" spans="1:10" ht="13.8" thickBot="1" x14ac:dyDescent="0.3">
      <c r="A28" s="41"/>
      <c r="B28" s="42"/>
      <c r="C28" s="42"/>
      <c r="D28" s="21"/>
      <c r="E28" s="21"/>
      <c r="F28" s="21"/>
      <c r="G28" s="21"/>
      <c r="H28" s="21"/>
      <c r="I28" s="21"/>
    </row>
    <row r="29" spans="1:10" ht="26.25" customHeight="1" thickBot="1" x14ac:dyDescent="0.3">
      <c r="A29" s="265" t="s">
        <v>70</v>
      </c>
      <c r="B29" s="266"/>
      <c r="C29" s="267"/>
      <c r="D29" s="177">
        <f>D25+D27</f>
        <v>14176.142790271642</v>
      </c>
      <c r="E29" s="177">
        <f>E25+E27</f>
        <v>14536.674818970054</v>
      </c>
      <c r="F29" s="177">
        <f>F25+F27</f>
        <v>15083.838000755288</v>
      </c>
      <c r="G29" s="177">
        <f>G25+G27</f>
        <v>15631.001182540522</v>
      </c>
      <c r="H29" s="177">
        <f>H25+H27</f>
        <v>16178.164364325754</v>
      </c>
      <c r="I29" s="177">
        <v>0</v>
      </c>
    </row>
    <row r="30" spans="1:10" ht="13.8" thickBot="1" x14ac:dyDescent="0.3">
      <c r="A30" s="36"/>
      <c r="B30" s="37"/>
      <c r="C30" s="37"/>
      <c r="D30" s="22"/>
      <c r="E30" s="22"/>
      <c r="F30" s="22"/>
      <c r="G30" s="22"/>
      <c r="H30" s="22"/>
      <c r="I30" s="22"/>
    </row>
    <row r="31" spans="1:10" ht="28.5" customHeight="1" thickBot="1" x14ac:dyDescent="0.3">
      <c r="A31" s="265" t="s">
        <v>71</v>
      </c>
      <c r="B31" s="281"/>
      <c r="C31" s="282"/>
      <c r="D31" s="177">
        <f>D29/D5</f>
        <v>11340.914232217314</v>
      </c>
      <c r="E31" s="177">
        <f>E29/E5</f>
        <v>9691.1165459800359</v>
      </c>
      <c r="F31" s="177">
        <f>F29/F5</f>
        <v>8619.3360004315928</v>
      </c>
      <c r="G31" s="177">
        <f>G29/G5</f>
        <v>7815.5005912702609</v>
      </c>
      <c r="H31" s="177">
        <f>H29/H5</f>
        <v>7190.2952730336683</v>
      </c>
      <c r="I31" s="177">
        <v>0</v>
      </c>
    </row>
    <row r="32" spans="1:10" ht="13.8" thickBot="1" x14ac:dyDescent="0.3">
      <c r="A32" s="36"/>
      <c r="B32" s="37"/>
      <c r="C32" s="37"/>
      <c r="D32" s="22"/>
      <c r="E32" s="22"/>
      <c r="F32" s="22"/>
      <c r="G32" s="22"/>
      <c r="H32" s="22"/>
      <c r="I32" s="22"/>
    </row>
    <row r="33" spans="1:10" ht="13.8" thickBot="1" x14ac:dyDescent="0.3">
      <c r="A33" s="173" t="s">
        <v>72</v>
      </c>
      <c r="B33" s="184"/>
      <c r="C33" s="184"/>
      <c r="D33" s="177">
        <f>'Pryse + Sensatiwiteitsanali'!D6</f>
        <v>369</v>
      </c>
      <c r="E33" s="177">
        <f>$D$33</f>
        <v>369</v>
      </c>
      <c r="F33" s="177">
        <f>$D$33</f>
        <v>369</v>
      </c>
      <c r="G33" s="177">
        <f>$D$33</f>
        <v>369</v>
      </c>
      <c r="H33" s="177">
        <f>$D$33</f>
        <v>369</v>
      </c>
      <c r="I33" s="177">
        <v>0</v>
      </c>
    </row>
    <row r="34" spans="1:10" ht="13.8" thickBot="1" x14ac:dyDescent="0.3">
      <c r="A34" s="36"/>
      <c r="B34" s="37"/>
      <c r="C34" s="37"/>
      <c r="D34" s="22"/>
      <c r="E34" s="22"/>
      <c r="F34" s="22"/>
      <c r="G34" s="22"/>
      <c r="H34" s="22"/>
      <c r="I34" s="22"/>
    </row>
    <row r="35" spans="1:10" ht="26.25" customHeight="1" thickBot="1" x14ac:dyDescent="0.3">
      <c r="A35" s="295" t="s">
        <v>73</v>
      </c>
      <c r="B35" s="296"/>
      <c r="C35" s="297"/>
      <c r="D35" s="239">
        <f>D31+D33</f>
        <v>11709.914232217314</v>
      </c>
      <c r="E35" s="239">
        <f>E31+E33</f>
        <v>10060.116545980036</v>
      </c>
      <c r="F35" s="239">
        <f>F31+F33</f>
        <v>8988.3360004315928</v>
      </c>
      <c r="G35" s="239">
        <f>G31+G33</f>
        <v>8184.5005912702609</v>
      </c>
      <c r="H35" s="239">
        <f>H31+H33</f>
        <v>7559.2952730336683</v>
      </c>
      <c r="I35" s="239">
        <v>0</v>
      </c>
    </row>
    <row r="36" spans="1:10" ht="13.8" thickBot="1" x14ac:dyDescent="0.3">
      <c r="A36" s="244" t="s">
        <v>74</v>
      </c>
      <c r="B36" s="245"/>
      <c r="C36" s="246"/>
      <c r="D36" s="239">
        <f>'Pryse + Sensatiwiteitsanali'!B6</f>
        <v>7400</v>
      </c>
      <c r="E36" s="239">
        <f>$D$36</f>
        <v>7400</v>
      </c>
      <c r="F36" s="239">
        <f>$D$36</f>
        <v>7400</v>
      </c>
      <c r="G36" s="239">
        <f>$D$36</f>
        <v>7400</v>
      </c>
      <c r="H36" s="239">
        <f>$D$36</f>
        <v>7400</v>
      </c>
      <c r="I36" s="239">
        <v>0</v>
      </c>
    </row>
    <row r="37" spans="1:10" ht="13.8" thickBot="1" x14ac:dyDescent="0.3"/>
    <row r="38" spans="1:10" customFormat="1" ht="14.4" x14ac:dyDescent="0.3">
      <c r="A38" s="291" t="s">
        <v>75</v>
      </c>
      <c r="B38" s="292"/>
      <c r="C38" s="292"/>
      <c r="D38" s="158">
        <f t="shared" ref="D38:H38" si="1">D6-D25</f>
        <v>-2909.922790271643</v>
      </c>
      <c r="E38" s="159">
        <f t="shared" si="1"/>
        <v>-1512.7048189700545</v>
      </c>
      <c r="F38" s="158">
        <f t="shared" si="1"/>
        <v>-302.11800075528845</v>
      </c>
      <c r="G38" s="159">
        <f t="shared" si="1"/>
        <v>908.46881745947758</v>
      </c>
      <c r="H38" s="158">
        <f t="shared" si="1"/>
        <v>2119.0556356742454</v>
      </c>
      <c r="I38" s="160"/>
    </row>
    <row r="39" spans="1:10" customFormat="1" ht="15" thickBot="1" x14ac:dyDescent="0.35">
      <c r="A39" s="293" t="s">
        <v>76</v>
      </c>
      <c r="B39" s="294"/>
      <c r="C39" s="294"/>
      <c r="D39" s="161">
        <f t="shared" ref="D39:H39" si="2">D6-D29</f>
        <v>-5387.3927902716423</v>
      </c>
      <c r="E39" s="162">
        <f t="shared" si="2"/>
        <v>-3990.1748189700538</v>
      </c>
      <c r="F39" s="161">
        <f t="shared" si="2"/>
        <v>-2779.5880007552878</v>
      </c>
      <c r="G39" s="162">
        <f t="shared" si="2"/>
        <v>-1569.0011825405218</v>
      </c>
      <c r="H39" s="161">
        <f t="shared" si="2"/>
        <v>-358.41436432575392</v>
      </c>
      <c r="I39" s="163"/>
    </row>
    <row r="40" spans="1:10" ht="14.4" x14ac:dyDescent="0.25">
      <c r="A40" s="45" t="s">
        <v>77</v>
      </c>
      <c r="B40" s="46"/>
      <c r="C40" s="46"/>
      <c r="D40" s="46"/>
      <c r="E40" s="46"/>
      <c r="F40" s="46"/>
      <c r="G40" s="46"/>
      <c r="H40" s="47"/>
      <c r="I40" s="44"/>
      <c r="J40" s="44"/>
    </row>
    <row r="41" spans="1:10" ht="14.4" x14ac:dyDescent="0.25">
      <c r="A41" s="48" t="s">
        <v>78</v>
      </c>
      <c r="B41" s="49"/>
      <c r="C41" s="49"/>
      <c r="D41" s="49"/>
      <c r="E41" s="49"/>
      <c r="F41" s="49"/>
      <c r="G41" s="49"/>
      <c r="H41" s="50"/>
      <c r="I41" s="44"/>
      <c r="J41" s="44"/>
    </row>
    <row r="42" spans="1:10" ht="15" thickBot="1" x14ac:dyDescent="0.3">
      <c r="A42" s="51" t="s">
        <v>79</v>
      </c>
      <c r="B42" s="52"/>
      <c r="C42" s="52"/>
      <c r="D42" s="52"/>
      <c r="E42" s="52"/>
      <c r="F42" s="52"/>
      <c r="G42" s="52"/>
      <c r="H42" s="53"/>
      <c r="I42" s="44"/>
      <c r="J42" s="44"/>
    </row>
  </sheetData>
  <mergeCells count="12">
    <mergeCell ref="A38:C38"/>
    <mergeCell ref="A39:C39"/>
    <mergeCell ref="M7:O7"/>
    <mergeCell ref="A1:D1"/>
    <mergeCell ref="E1:G1"/>
    <mergeCell ref="A31:C31"/>
    <mergeCell ref="A35:C35"/>
    <mergeCell ref="A3:C3"/>
    <mergeCell ref="A8:C8"/>
    <mergeCell ref="A25:C25"/>
    <mergeCell ref="A27:C27"/>
    <mergeCell ref="A29:C29"/>
  </mergeCells>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56" fitToHeight="0" orientation="portrait" r:id="rId1"/>
  <headerFooter>
    <oddHeader>&amp;F</oddHeader>
    <oddFooter>&amp;A&amp;RPage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2"/>
  <sheetViews>
    <sheetView zoomScale="85" zoomScaleNormal="85" workbookViewId="0">
      <selection activeCell="P5" sqref="P5"/>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8" width="14.33203125" style="1" customWidth="1"/>
    <col min="9" max="9" width="14.33203125" style="1" hidden="1" customWidth="1"/>
    <col min="10" max="10" width="14.44140625" style="1" customWidth="1"/>
    <col min="11" max="12" width="12.6640625" style="1" customWidth="1"/>
    <col min="13" max="15" width="12.6640625" style="1" hidden="1" customWidth="1"/>
    <col min="16" max="26" width="12.6640625" style="1" customWidth="1"/>
    <col min="27" max="16384" width="9.109375" style="1"/>
  </cols>
  <sheetData>
    <row r="1" spans="1:15" ht="29.25" customHeight="1" thickBot="1" x14ac:dyDescent="0.3">
      <c r="A1" s="278" t="s">
        <v>89</v>
      </c>
      <c r="B1" s="279"/>
      <c r="C1" s="279"/>
      <c r="D1" s="279"/>
      <c r="E1" s="280" t="s">
        <v>166</v>
      </c>
      <c r="F1" s="280"/>
      <c r="G1" s="280"/>
      <c r="H1" s="242"/>
      <c r="I1" s="165"/>
    </row>
    <row r="2" spans="1:15" ht="16.2" thickBot="1" x14ac:dyDescent="0.35">
      <c r="A2" s="9"/>
      <c r="B2" s="10"/>
      <c r="C2" s="11"/>
      <c r="D2" s="11"/>
      <c r="E2" s="6"/>
      <c r="F2" s="6"/>
      <c r="G2" s="6"/>
      <c r="H2" s="6"/>
      <c r="I2" s="2"/>
    </row>
    <row r="3" spans="1:15" ht="27.75" customHeight="1" thickBot="1" x14ac:dyDescent="0.3">
      <c r="A3" s="265" t="s">
        <v>43</v>
      </c>
      <c r="B3" s="281"/>
      <c r="C3" s="281"/>
      <c r="D3" s="169"/>
      <c r="E3" s="170">
        <f>'Pryse + Sensatiwiteitsanali'!B92</f>
        <v>4930</v>
      </c>
      <c r="F3" s="169" t="s">
        <v>44</v>
      </c>
      <c r="G3" s="171"/>
      <c r="H3" s="171"/>
      <c r="I3" s="172"/>
    </row>
    <row r="4" spans="1:15" ht="13.8" thickBot="1" x14ac:dyDescent="0.3">
      <c r="A4" s="34"/>
      <c r="B4" s="43"/>
      <c r="C4" s="43"/>
      <c r="D4" s="3"/>
      <c r="E4" s="5"/>
      <c r="F4" s="12"/>
      <c r="G4" s="4"/>
      <c r="H4" s="13"/>
      <c r="I4" s="13"/>
    </row>
    <row r="5" spans="1:15" ht="13.8" thickBot="1" x14ac:dyDescent="0.3">
      <c r="A5" s="34" t="s">
        <v>45</v>
      </c>
      <c r="B5" s="43"/>
      <c r="C5" s="43"/>
      <c r="D5" s="24">
        <v>2</v>
      </c>
      <c r="E5" s="24">
        <v>2.5</v>
      </c>
      <c r="F5" s="24">
        <v>3</v>
      </c>
      <c r="G5" s="24">
        <v>3.5</v>
      </c>
      <c r="H5" s="24">
        <v>4</v>
      </c>
      <c r="I5" s="14"/>
    </row>
    <row r="6" spans="1:15" ht="13.8" thickBot="1" x14ac:dyDescent="0.3">
      <c r="A6" s="173" t="s">
        <v>46</v>
      </c>
      <c r="B6" s="184"/>
      <c r="C6" s="185"/>
      <c r="D6" s="176">
        <f t="shared" ref="D6:I6" si="0">$E$3*D5</f>
        <v>9860</v>
      </c>
      <c r="E6" s="176">
        <f t="shared" si="0"/>
        <v>12325</v>
      </c>
      <c r="F6" s="176">
        <f t="shared" si="0"/>
        <v>14790</v>
      </c>
      <c r="G6" s="176">
        <f t="shared" si="0"/>
        <v>17255</v>
      </c>
      <c r="H6" s="176">
        <f t="shared" si="0"/>
        <v>19720</v>
      </c>
      <c r="I6" s="176">
        <f t="shared" si="0"/>
        <v>0</v>
      </c>
    </row>
    <row r="7" spans="1:15" ht="15" thickBot="1" x14ac:dyDescent="0.35">
      <c r="A7" s="36"/>
      <c r="B7" s="37"/>
      <c r="C7" s="37"/>
      <c r="D7" s="25"/>
      <c r="E7" s="15"/>
      <c r="F7" s="15"/>
      <c r="G7" s="15"/>
      <c r="H7" s="15"/>
      <c r="I7" s="15"/>
      <c r="M7" s="268" t="s">
        <v>90</v>
      </c>
      <c r="N7" s="268"/>
      <c r="O7" s="268"/>
    </row>
    <row r="8" spans="1:15" ht="15" thickBot="1" x14ac:dyDescent="0.35">
      <c r="A8" s="288" t="s">
        <v>48</v>
      </c>
      <c r="B8" s="289"/>
      <c r="C8" s="290"/>
      <c r="D8" s="186"/>
      <c r="E8" s="166"/>
      <c r="F8" s="166"/>
      <c r="G8" s="166"/>
      <c r="H8" s="166"/>
      <c r="I8" s="166"/>
      <c r="M8" s="93" t="s">
        <v>49</v>
      </c>
      <c r="N8" s="93" t="s">
        <v>50</v>
      </c>
      <c r="O8" s="93" t="s">
        <v>51</v>
      </c>
    </row>
    <row r="9" spans="1:15" ht="12" customHeight="1" x14ac:dyDescent="0.3">
      <c r="A9" s="38" t="s">
        <v>52</v>
      </c>
      <c r="B9" s="39"/>
      <c r="C9" s="39"/>
      <c r="D9" s="105">
        <v>450</v>
      </c>
      <c r="E9" s="105">
        <v>500</v>
      </c>
      <c r="F9" s="105">
        <v>550</v>
      </c>
      <c r="G9" s="105">
        <v>600</v>
      </c>
      <c r="H9" s="105">
        <v>700</v>
      </c>
      <c r="I9" s="19"/>
      <c r="M9" s="94">
        <f>D5</f>
        <v>2</v>
      </c>
      <c r="N9" s="94">
        <f>D25</f>
        <v>8329.7530726045788</v>
      </c>
      <c r="O9" s="94">
        <f>D27</f>
        <v>2574.2000000000003</v>
      </c>
    </row>
    <row r="10" spans="1:15" ht="12" customHeight="1" x14ac:dyDescent="0.3">
      <c r="A10" s="35" t="s">
        <v>53</v>
      </c>
      <c r="B10" s="40"/>
      <c r="C10" s="40"/>
      <c r="D10" s="104">
        <v>2386.0000000000005</v>
      </c>
      <c r="E10" s="104">
        <v>2982.5</v>
      </c>
      <c r="F10" s="104">
        <v>3579</v>
      </c>
      <c r="G10" s="104">
        <v>4175.5</v>
      </c>
      <c r="H10" s="104">
        <v>4772.0000000000009</v>
      </c>
      <c r="I10" s="20"/>
      <c r="M10" s="94">
        <f>E5</f>
        <v>2.5</v>
      </c>
      <c r="N10" s="94">
        <f>E25</f>
        <v>8962.8214422854398</v>
      </c>
      <c r="O10" s="94">
        <f>E27</f>
        <v>2574.2000000000003</v>
      </c>
    </row>
    <row r="11" spans="1:15" ht="12" customHeight="1" x14ac:dyDescent="0.3">
      <c r="A11" s="35" t="s">
        <v>54</v>
      </c>
      <c r="B11" s="40"/>
      <c r="C11" s="40"/>
      <c r="D11" s="104">
        <v>179.48700000000002</v>
      </c>
      <c r="E11" s="104">
        <v>179.48700000000002</v>
      </c>
      <c r="F11" s="104">
        <v>179.48700000000002</v>
      </c>
      <c r="G11" s="104">
        <v>179.48700000000002</v>
      </c>
      <c r="H11" s="104">
        <v>179.48700000000002</v>
      </c>
      <c r="I11" s="20"/>
      <c r="M11" s="94">
        <f>F5</f>
        <v>3</v>
      </c>
      <c r="N11" s="94">
        <f>F25</f>
        <v>10053.191887966301</v>
      </c>
      <c r="O11" s="94">
        <f>F27</f>
        <v>2574.2000000000003</v>
      </c>
    </row>
    <row r="12" spans="1:15" ht="12" customHeight="1" x14ac:dyDescent="0.3">
      <c r="A12" s="35" t="s">
        <v>55</v>
      </c>
      <c r="B12" s="40"/>
      <c r="C12" s="40"/>
      <c r="D12" s="104">
        <v>1563.26412</v>
      </c>
      <c r="E12" s="104">
        <v>1378.2529199999999</v>
      </c>
      <c r="F12" s="104">
        <v>1625.1681199999998</v>
      </c>
      <c r="G12" s="104">
        <v>1656.12012</v>
      </c>
      <c r="H12" s="104">
        <v>1687.0721199999998</v>
      </c>
      <c r="I12" s="20"/>
      <c r="M12" s="94">
        <f>G5</f>
        <v>3.5</v>
      </c>
      <c r="N12" s="94">
        <f>G25</f>
        <v>10914.911295647164</v>
      </c>
      <c r="O12" s="94">
        <f>G27</f>
        <v>2574.2000000000003</v>
      </c>
    </row>
    <row r="13" spans="1:15" ht="12" customHeight="1" x14ac:dyDescent="0.3">
      <c r="A13" s="35" t="s">
        <v>56</v>
      </c>
      <c r="B13" s="40"/>
      <c r="C13" s="40"/>
      <c r="D13" s="104">
        <v>770.4793139274002</v>
      </c>
      <c r="E13" s="104">
        <v>774.45694219740017</v>
      </c>
      <c r="F13" s="104">
        <v>778.43457046740014</v>
      </c>
      <c r="G13" s="104">
        <v>782.4121987374001</v>
      </c>
      <c r="H13" s="104">
        <v>786.38982700740007</v>
      </c>
      <c r="I13" s="20"/>
      <c r="M13" s="94">
        <f>H5</f>
        <v>4</v>
      </c>
      <c r="N13" s="94">
        <f>H25</f>
        <v>11829.568203328028</v>
      </c>
      <c r="O13" s="94">
        <f>H27</f>
        <v>2574.2000000000003</v>
      </c>
    </row>
    <row r="14" spans="1:15" ht="12" customHeight="1" x14ac:dyDescent="0.3">
      <c r="A14" s="35" t="s">
        <v>57</v>
      </c>
      <c r="B14" s="40"/>
      <c r="C14" s="40"/>
      <c r="D14" s="104">
        <v>1199.15190033408</v>
      </c>
      <c r="E14" s="104">
        <v>1199.15190033408</v>
      </c>
      <c r="F14" s="104">
        <v>1199.15190033408</v>
      </c>
      <c r="G14" s="104">
        <v>1199.15190033408</v>
      </c>
      <c r="H14" s="104">
        <v>1199.15190033408</v>
      </c>
      <c r="I14" s="20"/>
      <c r="M14" s="94">
        <f>I5</f>
        <v>0</v>
      </c>
      <c r="N14" s="94">
        <f>I25</f>
        <v>0</v>
      </c>
      <c r="O14" s="94">
        <f>I27</f>
        <v>0</v>
      </c>
    </row>
    <row r="15" spans="1:15" ht="12" customHeight="1" x14ac:dyDescent="0.25">
      <c r="A15" s="35" t="s">
        <v>58</v>
      </c>
      <c r="B15" s="40"/>
      <c r="C15" s="40"/>
      <c r="D15" s="104">
        <v>789.26103537684492</v>
      </c>
      <c r="E15" s="104">
        <v>789.26103537684492</v>
      </c>
      <c r="F15" s="104">
        <v>789.26103537684492</v>
      </c>
      <c r="G15" s="104">
        <v>789.26103537684492</v>
      </c>
      <c r="H15" s="104">
        <v>789.26103537684492</v>
      </c>
      <c r="I15" s="20"/>
    </row>
    <row r="16" spans="1:15" ht="12" customHeight="1" x14ac:dyDescent="0.25">
      <c r="A16" s="35" t="s">
        <v>59</v>
      </c>
      <c r="B16" s="40"/>
      <c r="C16" s="40"/>
      <c r="D16" s="104">
        <v>243.24299999999999</v>
      </c>
      <c r="E16" s="104">
        <v>304.05375000000004</v>
      </c>
      <c r="F16" s="104">
        <v>364.86449999999996</v>
      </c>
      <c r="G16" s="104">
        <v>425.67525000000006</v>
      </c>
      <c r="H16" s="104">
        <v>486.48599999999999</v>
      </c>
      <c r="I16" s="20"/>
    </row>
    <row r="17" spans="1:10" ht="12" customHeight="1" x14ac:dyDescent="0.25">
      <c r="A17" s="35" t="s">
        <v>60</v>
      </c>
      <c r="B17" s="40"/>
      <c r="C17" s="40"/>
      <c r="D17" s="104">
        <v>0</v>
      </c>
      <c r="E17" s="104">
        <v>0</v>
      </c>
      <c r="F17" s="104">
        <v>0</v>
      </c>
      <c r="G17" s="104">
        <v>0</v>
      </c>
      <c r="H17" s="104">
        <v>0</v>
      </c>
      <c r="I17" s="20"/>
    </row>
    <row r="18" spans="1:10" ht="12" customHeight="1" x14ac:dyDescent="0.25">
      <c r="A18" s="35" t="s">
        <v>61</v>
      </c>
      <c r="B18" s="40"/>
      <c r="C18" s="40"/>
      <c r="D18" s="104">
        <v>0</v>
      </c>
      <c r="E18" s="104">
        <v>0</v>
      </c>
      <c r="F18" s="104">
        <v>0</v>
      </c>
      <c r="G18" s="104">
        <v>0</v>
      </c>
      <c r="H18" s="104">
        <v>0</v>
      </c>
      <c r="I18" s="20"/>
    </row>
    <row r="19" spans="1:10" ht="12" customHeight="1" x14ac:dyDescent="0.25">
      <c r="A19" s="35" t="s">
        <v>62</v>
      </c>
      <c r="B19" s="40"/>
      <c r="C19" s="40"/>
      <c r="D19" s="104">
        <v>286.649</v>
      </c>
      <c r="E19" s="104">
        <v>358.31124999999997</v>
      </c>
      <c r="F19" s="104">
        <v>429.9735</v>
      </c>
      <c r="G19" s="104">
        <v>501.63574999999997</v>
      </c>
      <c r="H19" s="104">
        <v>573.298</v>
      </c>
      <c r="I19" s="20"/>
    </row>
    <row r="20" spans="1:10" ht="12" customHeight="1" x14ac:dyDescent="0.25">
      <c r="A20" s="35" t="s">
        <v>63</v>
      </c>
      <c r="B20" s="40"/>
      <c r="C20" s="40"/>
      <c r="D20" s="104">
        <v>0</v>
      </c>
      <c r="E20" s="104">
        <v>0</v>
      </c>
      <c r="F20" s="104">
        <v>0</v>
      </c>
      <c r="G20" s="104">
        <v>0</v>
      </c>
      <c r="H20" s="104">
        <v>0</v>
      </c>
      <c r="I20" s="20"/>
    </row>
    <row r="21" spans="1:10" ht="12" customHeight="1" x14ac:dyDescent="0.25">
      <c r="A21" s="35" t="s">
        <v>64</v>
      </c>
      <c r="B21" s="40"/>
      <c r="C21" s="40"/>
      <c r="D21" s="104">
        <v>0</v>
      </c>
      <c r="E21" s="104">
        <v>0</v>
      </c>
      <c r="F21" s="104">
        <v>0</v>
      </c>
      <c r="G21" s="104">
        <v>0</v>
      </c>
      <c r="H21" s="104">
        <v>0</v>
      </c>
      <c r="I21" s="20"/>
    </row>
    <row r="22" spans="1:10" ht="12" customHeight="1" x14ac:dyDescent="0.25">
      <c r="A22" s="35" t="s">
        <v>65</v>
      </c>
      <c r="B22" s="40"/>
      <c r="C22" s="40"/>
      <c r="D22" s="104">
        <v>0</v>
      </c>
      <c r="E22" s="104">
        <v>0</v>
      </c>
      <c r="F22" s="104">
        <v>0</v>
      </c>
      <c r="G22" s="104">
        <v>0</v>
      </c>
      <c r="H22" s="104">
        <v>0</v>
      </c>
      <c r="I22" s="20"/>
    </row>
    <row r="23" spans="1:10" x14ac:dyDescent="0.25">
      <c r="A23" s="35" t="s">
        <v>66</v>
      </c>
      <c r="B23" s="40"/>
      <c r="C23" s="40"/>
      <c r="D23" s="104">
        <v>0</v>
      </c>
      <c r="E23" s="104">
        <v>0</v>
      </c>
      <c r="F23" s="104">
        <v>0</v>
      </c>
      <c r="G23" s="104">
        <v>0</v>
      </c>
      <c r="H23" s="104">
        <v>0</v>
      </c>
      <c r="I23" s="20"/>
    </row>
    <row r="24" spans="1:10" ht="13.8" thickBot="1" x14ac:dyDescent="0.3">
      <c r="A24" s="35" t="s">
        <v>67</v>
      </c>
      <c r="B24" s="40"/>
      <c r="C24" s="40"/>
      <c r="D24" s="104">
        <v>462.21770296625164</v>
      </c>
      <c r="E24" s="104">
        <v>497.34664437711416</v>
      </c>
      <c r="F24" s="104">
        <v>557.85126178797645</v>
      </c>
      <c r="G24" s="104">
        <v>605.66804119883898</v>
      </c>
      <c r="H24" s="104">
        <v>656.42232060970161</v>
      </c>
      <c r="I24" s="20"/>
    </row>
    <row r="25" spans="1:10" ht="29.25" customHeight="1" thickBot="1" x14ac:dyDescent="0.3">
      <c r="A25" s="265" t="s">
        <v>68</v>
      </c>
      <c r="B25" s="266"/>
      <c r="C25" s="267"/>
      <c r="D25" s="177">
        <f>SUM(D9:D24)</f>
        <v>8329.7530726045788</v>
      </c>
      <c r="E25" s="177">
        <f>SUM(E9:E24)</f>
        <v>8962.8214422854398</v>
      </c>
      <c r="F25" s="177">
        <f>SUM(F9:F24)</f>
        <v>10053.191887966301</v>
      </c>
      <c r="G25" s="177">
        <f>SUM(G9:G24)</f>
        <v>10914.911295647164</v>
      </c>
      <c r="H25" s="177">
        <f>SUM(H9:H24)</f>
        <v>11829.568203328028</v>
      </c>
      <c r="I25" s="188"/>
    </row>
    <row r="26" spans="1:10" ht="13.8" thickBot="1" x14ac:dyDescent="0.3">
      <c r="A26" s="41"/>
      <c r="B26" s="42"/>
      <c r="C26" s="42"/>
      <c r="D26" s="21"/>
      <c r="E26" s="16"/>
      <c r="F26" s="16"/>
      <c r="G26" s="16"/>
      <c r="H26" s="16"/>
      <c r="I26" s="16"/>
    </row>
    <row r="27" spans="1:10" ht="13.8" thickBot="1" x14ac:dyDescent="0.3">
      <c r="A27" s="262" t="s">
        <v>69</v>
      </c>
      <c r="B27" s="263"/>
      <c r="C27" s="264"/>
      <c r="D27" s="178">
        <v>2574.2000000000003</v>
      </c>
      <c r="E27" s="179">
        <f>D27</f>
        <v>2574.2000000000003</v>
      </c>
      <c r="F27" s="179">
        <f>E27</f>
        <v>2574.2000000000003</v>
      </c>
      <c r="G27" s="179">
        <f>F27</f>
        <v>2574.2000000000003</v>
      </c>
      <c r="H27" s="179">
        <f>G27</f>
        <v>2574.2000000000003</v>
      </c>
      <c r="I27" s="189"/>
      <c r="J27" s="17"/>
    </row>
    <row r="28" spans="1:10" ht="13.8" thickBot="1" x14ac:dyDescent="0.3">
      <c r="A28" s="41"/>
      <c r="B28" s="42"/>
      <c r="C28" s="42"/>
      <c r="D28" s="21"/>
      <c r="E28" s="16"/>
      <c r="F28" s="16"/>
      <c r="G28" s="16"/>
      <c r="H28" s="16"/>
      <c r="I28" s="16"/>
    </row>
    <row r="29" spans="1:10" ht="25.5" customHeight="1" thickBot="1" x14ac:dyDescent="0.3">
      <c r="A29" s="265" t="s">
        <v>70</v>
      </c>
      <c r="B29" s="266"/>
      <c r="C29" s="267"/>
      <c r="D29" s="177">
        <f>D25+D27</f>
        <v>10903.95307260458</v>
      </c>
      <c r="E29" s="177">
        <f>E25+E27</f>
        <v>11537.021442285441</v>
      </c>
      <c r="F29" s="177">
        <f>F25+F27</f>
        <v>12627.391887966302</v>
      </c>
      <c r="G29" s="177">
        <f>G25+G27</f>
        <v>13489.111295647164</v>
      </c>
      <c r="H29" s="177">
        <f>H25+H27</f>
        <v>14403.768203328029</v>
      </c>
      <c r="I29" s="177"/>
    </row>
    <row r="30" spans="1:10" ht="12" customHeight="1" thickBot="1" x14ac:dyDescent="0.3">
      <c r="A30" s="36"/>
      <c r="B30" s="37"/>
      <c r="C30" s="37"/>
      <c r="D30" s="22"/>
      <c r="E30" s="22"/>
      <c r="F30" s="22"/>
      <c r="G30" s="22"/>
      <c r="H30" s="22"/>
      <c r="I30" s="22"/>
    </row>
    <row r="31" spans="1:10" ht="24.75" customHeight="1" thickBot="1" x14ac:dyDescent="0.3">
      <c r="A31" s="265" t="s">
        <v>71</v>
      </c>
      <c r="B31" s="281"/>
      <c r="C31" s="282"/>
      <c r="D31" s="177">
        <f>D29/D5</f>
        <v>5451.9765363022898</v>
      </c>
      <c r="E31" s="177">
        <f>E29/E5</f>
        <v>4614.8085769141762</v>
      </c>
      <c r="F31" s="177">
        <f>F29/F5</f>
        <v>4209.1306293221005</v>
      </c>
      <c r="G31" s="177">
        <f>G29/G5</f>
        <v>3854.0317987563326</v>
      </c>
      <c r="H31" s="177">
        <f>H29/H5</f>
        <v>3600.9420508320072</v>
      </c>
      <c r="I31" s="177"/>
    </row>
    <row r="32" spans="1:10" ht="13.8" thickBot="1" x14ac:dyDescent="0.3">
      <c r="A32" s="36"/>
      <c r="B32" s="37"/>
      <c r="C32" s="37"/>
      <c r="D32" s="22"/>
      <c r="E32" s="7"/>
      <c r="F32" s="7"/>
      <c r="G32" s="7"/>
      <c r="H32" s="7"/>
      <c r="I32" s="7"/>
    </row>
    <row r="33" spans="1:10" ht="14.25" customHeight="1" thickBot="1" x14ac:dyDescent="0.3">
      <c r="A33" s="173" t="s">
        <v>72</v>
      </c>
      <c r="B33" s="184"/>
      <c r="C33" s="184"/>
      <c r="D33" s="177">
        <f>'Pryse + Sensatiwiteitsanali'!D7</f>
        <v>63</v>
      </c>
      <c r="E33" s="177">
        <f>$D$33</f>
        <v>63</v>
      </c>
      <c r="F33" s="177">
        <f>$D$33</f>
        <v>63</v>
      </c>
      <c r="G33" s="177">
        <f>$D$33</f>
        <v>63</v>
      </c>
      <c r="H33" s="177">
        <f>$D$33</f>
        <v>63</v>
      </c>
      <c r="I33" s="177"/>
    </row>
    <row r="34" spans="1:10" ht="13.8" thickBot="1" x14ac:dyDescent="0.3">
      <c r="A34" s="36"/>
      <c r="B34" s="37"/>
      <c r="C34" s="37"/>
      <c r="D34" s="22"/>
      <c r="E34" s="22"/>
      <c r="F34" s="22"/>
      <c r="G34" s="22"/>
      <c r="H34" s="22"/>
      <c r="I34" s="22"/>
    </row>
    <row r="35" spans="1:10" ht="24.75" customHeight="1" thickBot="1" x14ac:dyDescent="0.3">
      <c r="A35" s="298" t="s">
        <v>73</v>
      </c>
      <c r="B35" s="299"/>
      <c r="C35" s="300"/>
      <c r="D35" s="167">
        <f>D31+D33</f>
        <v>5514.9765363022898</v>
      </c>
      <c r="E35" s="167">
        <f>E31+E33</f>
        <v>4677.8085769141762</v>
      </c>
      <c r="F35" s="167">
        <f>F31+F33</f>
        <v>4272.1306293221005</v>
      </c>
      <c r="G35" s="167">
        <f>G31+G33</f>
        <v>3917.0317987563326</v>
      </c>
      <c r="H35" s="167">
        <f>H31+H33</f>
        <v>3663.9420508320072</v>
      </c>
      <c r="I35" s="167"/>
    </row>
    <row r="36" spans="1:10" ht="13.8" thickBot="1" x14ac:dyDescent="0.3">
      <c r="A36" s="181" t="s">
        <v>74</v>
      </c>
      <c r="B36" s="182"/>
      <c r="C36" s="183"/>
      <c r="D36" s="167">
        <f>'Pryse + Sensatiwiteitsanali'!B7</f>
        <v>4993</v>
      </c>
      <c r="E36" s="167">
        <f>$D$36</f>
        <v>4993</v>
      </c>
      <c r="F36" s="167">
        <f>$D$36</f>
        <v>4993</v>
      </c>
      <c r="G36" s="167">
        <f>$D$36</f>
        <v>4993</v>
      </c>
      <c r="H36" s="167">
        <f>$D$36</f>
        <v>4993</v>
      </c>
      <c r="I36" s="187"/>
    </row>
    <row r="37" spans="1:10" ht="13.8" thickBot="1" x14ac:dyDescent="0.3"/>
    <row r="38" spans="1:10" customFormat="1" ht="14.4" x14ac:dyDescent="0.3">
      <c r="A38" s="291" t="s">
        <v>75</v>
      </c>
      <c r="B38" s="292"/>
      <c r="C38" s="292"/>
      <c r="D38" s="158">
        <f t="shared" ref="D38:I38" si="1">D6-D25</f>
        <v>1530.2469273954212</v>
      </c>
      <c r="E38" s="159">
        <f t="shared" si="1"/>
        <v>3362.1785577145602</v>
      </c>
      <c r="F38" s="158">
        <f t="shared" si="1"/>
        <v>4736.8081120336992</v>
      </c>
      <c r="G38" s="159">
        <f t="shared" si="1"/>
        <v>6340.0887043528364</v>
      </c>
      <c r="H38" s="158">
        <f t="shared" si="1"/>
        <v>7890.4317966719718</v>
      </c>
      <c r="I38" s="160">
        <f t="shared" si="1"/>
        <v>0</v>
      </c>
    </row>
    <row r="39" spans="1:10" customFormat="1" ht="15" thickBot="1" x14ac:dyDescent="0.35">
      <c r="A39" s="293" t="s">
        <v>76</v>
      </c>
      <c r="B39" s="294"/>
      <c r="C39" s="294"/>
      <c r="D39" s="161">
        <f t="shared" ref="D39:I39" si="2">D6-D29</f>
        <v>-1043.9530726045796</v>
      </c>
      <c r="E39" s="162">
        <f t="shared" si="2"/>
        <v>787.97855771455943</v>
      </c>
      <c r="F39" s="161">
        <f t="shared" si="2"/>
        <v>2162.6081120336985</v>
      </c>
      <c r="G39" s="162">
        <f t="shared" si="2"/>
        <v>3765.8887043528357</v>
      </c>
      <c r="H39" s="161">
        <f t="shared" si="2"/>
        <v>5316.2317966719711</v>
      </c>
      <c r="I39" s="163">
        <f t="shared" si="2"/>
        <v>0</v>
      </c>
    </row>
    <row r="40" spans="1:10" ht="14.4" x14ac:dyDescent="0.25">
      <c r="A40" s="45" t="s">
        <v>77</v>
      </c>
      <c r="B40" s="46"/>
      <c r="C40" s="46"/>
      <c r="D40" s="46"/>
      <c r="E40" s="46"/>
      <c r="F40" s="46"/>
      <c r="G40" s="46"/>
      <c r="H40" s="47"/>
      <c r="I40" s="44"/>
      <c r="J40" s="44"/>
    </row>
    <row r="41" spans="1:10" ht="14.4" x14ac:dyDescent="0.25">
      <c r="A41" s="48" t="s">
        <v>78</v>
      </c>
      <c r="B41" s="49"/>
      <c r="C41" s="49"/>
      <c r="D41" s="49"/>
      <c r="E41" s="49"/>
      <c r="F41" s="49"/>
      <c r="G41" s="49"/>
      <c r="H41" s="50"/>
      <c r="I41" s="44"/>
      <c r="J41" s="44"/>
    </row>
    <row r="42" spans="1:10" ht="15" thickBot="1" x14ac:dyDescent="0.3">
      <c r="A42" s="51" t="s">
        <v>79</v>
      </c>
      <c r="B42" s="52"/>
      <c r="C42" s="52"/>
      <c r="D42" s="52"/>
      <c r="E42" s="52"/>
      <c r="F42" s="52"/>
      <c r="G42" s="52"/>
      <c r="H42" s="53"/>
      <c r="I42" s="44"/>
      <c r="J42" s="44"/>
    </row>
  </sheetData>
  <mergeCells count="12">
    <mergeCell ref="A38:C38"/>
    <mergeCell ref="A39:C39"/>
    <mergeCell ref="M7:O7"/>
    <mergeCell ref="A1:D1"/>
    <mergeCell ref="E1:G1"/>
    <mergeCell ref="A31:C31"/>
    <mergeCell ref="A35:C35"/>
    <mergeCell ref="A3:C3"/>
    <mergeCell ref="A8:C8"/>
    <mergeCell ref="A25:C25"/>
    <mergeCell ref="A27:C27"/>
    <mergeCell ref="A29:C29"/>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9" fitToHeight="0" orientation="portrait" verticalDpi="300" r:id="rId1"/>
  <headerFooter alignWithMargins="0">
    <oddHeader>&amp;F</oddHeader>
    <oddFooter>&amp;A&amp;RPage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0"/>
  <sheetViews>
    <sheetView zoomScale="85" zoomScaleNormal="85" workbookViewId="0">
      <selection activeCell="O16" sqref="O16"/>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5" width="14.33203125" style="1" customWidth="1"/>
    <col min="6" max="9" width="14.33203125" style="1" hidden="1" customWidth="1"/>
    <col min="10" max="10" width="14.44140625" style="1" customWidth="1"/>
    <col min="11" max="26" width="12.6640625" style="1" customWidth="1"/>
    <col min="27" max="16384" width="9.109375" style="1"/>
  </cols>
  <sheetData>
    <row r="1" spans="1:9" ht="30.75" customHeight="1" thickBot="1" x14ac:dyDescent="0.3">
      <c r="A1" s="278" t="s">
        <v>91</v>
      </c>
      <c r="B1" s="279"/>
      <c r="C1" s="279"/>
      <c r="D1" s="279"/>
      <c r="E1" s="280" t="s">
        <v>166</v>
      </c>
      <c r="F1" s="280"/>
      <c r="G1" s="280"/>
      <c r="H1" s="164"/>
      <c r="I1" s="165"/>
    </row>
    <row r="2" spans="1:9" ht="16.2" thickBot="1" x14ac:dyDescent="0.35">
      <c r="A2" s="9"/>
      <c r="B2" s="10"/>
      <c r="C2" s="11"/>
      <c r="D2" s="11"/>
      <c r="E2" s="2"/>
      <c r="F2" s="6"/>
      <c r="G2" s="6"/>
      <c r="H2" s="6"/>
      <c r="I2" s="2"/>
    </row>
    <row r="3" spans="1:9" s="81" customFormat="1" ht="39.75" customHeight="1" thickBot="1" x14ac:dyDescent="0.3">
      <c r="A3" s="190" t="s">
        <v>92</v>
      </c>
      <c r="B3" s="191"/>
      <c r="C3" s="191"/>
      <c r="D3" s="192" t="s">
        <v>93</v>
      </c>
      <c r="E3" s="193" t="s">
        <v>94</v>
      </c>
      <c r="F3" s="191"/>
      <c r="G3" s="191"/>
      <c r="H3" s="191"/>
      <c r="I3" s="191"/>
    </row>
    <row r="4" spans="1:9" s="81" customFormat="1" x14ac:dyDescent="0.25">
      <c r="A4" s="82" t="s">
        <v>95</v>
      </c>
      <c r="B4" s="83"/>
      <c r="C4" s="83"/>
      <c r="D4" s="84">
        <f>'Pryse + Sensatiwiteitsanali'!B8</f>
        <v>19000</v>
      </c>
      <c r="E4" s="85">
        <v>0.2</v>
      </c>
      <c r="F4" s="84"/>
      <c r="G4" s="84"/>
      <c r="H4" s="84"/>
      <c r="I4" s="86"/>
    </row>
    <row r="5" spans="1:9" s="81" customFormat="1" x14ac:dyDescent="0.25">
      <c r="A5" s="82" t="s">
        <v>96</v>
      </c>
      <c r="B5" s="83"/>
      <c r="C5" s="83"/>
      <c r="D5" s="84">
        <f>'Pryse + Sensatiwiteitsanali'!B9</f>
        <v>17000</v>
      </c>
      <c r="E5" s="85">
        <v>0.35</v>
      </c>
      <c r="F5" s="84"/>
      <c r="G5" s="84"/>
      <c r="H5" s="84"/>
      <c r="I5" s="86"/>
    </row>
    <row r="6" spans="1:9" s="81" customFormat="1" x14ac:dyDescent="0.25">
      <c r="A6" s="87" t="s">
        <v>97</v>
      </c>
      <c r="B6" s="83"/>
      <c r="C6" s="83"/>
      <c r="D6" s="84">
        <f>'Pryse + Sensatiwiteitsanali'!B10</f>
        <v>14500</v>
      </c>
      <c r="E6" s="85">
        <v>0.3</v>
      </c>
      <c r="F6" s="84"/>
      <c r="G6" s="84"/>
      <c r="H6" s="84"/>
      <c r="I6" s="86"/>
    </row>
    <row r="7" spans="1:9" s="81" customFormat="1" x14ac:dyDescent="0.25">
      <c r="A7" s="87" t="s">
        <v>98</v>
      </c>
      <c r="B7" s="83"/>
      <c r="C7" s="83"/>
      <c r="D7" s="84">
        <f>'Pryse + Sensatiwiteitsanali'!B11</f>
        <v>4700</v>
      </c>
      <c r="E7" s="85">
        <v>0.1</v>
      </c>
      <c r="F7" s="84"/>
      <c r="G7" s="84"/>
      <c r="H7" s="84"/>
      <c r="I7" s="86"/>
    </row>
    <row r="8" spans="1:9" s="81" customFormat="1" x14ac:dyDescent="0.25">
      <c r="A8" s="87" t="s">
        <v>99</v>
      </c>
      <c r="B8" s="83"/>
      <c r="C8" s="83"/>
      <c r="D8" s="84">
        <f>'Pryse + Sensatiwiteitsanali'!B12</f>
        <v>2500</v>
      </c>
      <c r="E8" s="85">
        <v>0.05</v>
      </c>
      <c r="F8" s="84"/>
      <c r="G8" s="84"/>
      <c r="H8" s="84"/>
      <c r="I8" s="86"/>
    </row>
    <row r="9" spans="1:9" s="81" customFormat="1" ht="13.8" thickBot="1" x14ac:dyDescent="0.3">
      <c r="A9" s="88" t="s">
        <v>100</v>
      </c>
      <c r="B9" s="89"/>
      <c r="C9" s="89"/>
      <c r="D9" s="84">
        <f>'Pryse + Sensatiwiteitsanali'!B13</f>
        <v>2100</v>
      </c>
      <c r="E9" s="91"/>
      <c r="F9" s="90"/>
      <c r="G9" s="90"/>
      <c r="H9" s="90"/>
      <c r="I9" s="92"/>
    </row>
    <row r="10" spans="1:9" s="81" customFormat="1" ht="15" customHeight="1" thickBot="1" x14ac:dyDescent="0.3">
      <c r="A10" s="286" t="s">
        <v>101</v>
      </c>
      <c r="B10" s="310"/>
      <c r="C10" s="310"/>
      <c r="D10" s="194">
        <f>(D4*E4)+(D5*E5)+(D6*E6)+(D7*E7)+(D8*E8)</f>
        <v>14695</v>
      </c>
      <c r="E10" s="195" t="s">
        <v>44</v>
      </c>
      <c r="F10" s="195"/>
      <c r="G10" s="196"/>
      <c r="H10" s="196"/>
      <c r="I10" s="191"/>
    </row>
    <row r="11" spans="1:9" ht="13.8" thickBot="1" x14ac:dyDescent="0.3">
      <c r="A11" s="34"/>
      <c r="B11" s="43"/>
      <c r="C11" s="43"/>
      <c r="D11" s="156"/>
      <c r="E11" s="157"/>
      <c r="F11" s="12"/>
      <c r="G11" s="4"/>
      <c r="H11" s="13"/>
      <c r="I11" s="13"/>
    </row>
    <row r="12" spans="1:9" ht="13.8" thickBot="1" x14ac:dyDescent="0.3">
      <c r="A12" s="34" t="s">
        <v>45</v>
      </c>
      <c r="B12" s="43"/>
      <c r="C12" s="43"/>
      <c r="D12" s="26">
        <v>1.5</v>
      </c>
      <c r="E12" s="26">
        <v>0</v>
      </c>
      <c r="F12" s="26">
        <v>0</v>
      </c>
      <c r="G12" s="26">
        <v>0</v>
      </c>
      <c r="H12" s="26">
        <v>0</v>
      </c>
      <c r="I12" s="26">
        <v>0</v>
      </c>
    </row>
    <row r="13" spans="1:9" ht="13.8" thickBot="1" x14ac:dyDescent="0.3">
      <c r="A13" s="173" t="s">
        <v>46</v>
      </c>
      <c r="B13" s="184"/>
      <c r="C13" s="185"/>
      <c r="D13" s="176">
        <f>(D10*D12)+(D9*D12)</f>
        <v>25192.5</v>
      </c>
      <c r="E13" s="176">
        <v>0</v>
      </c>
      <c r="F13" s="176">
        <v>0</v>
      </c>
      <c r="G13" s="176">
        <v>0</v>
      </c>
      <c r="H13" s="176">
        <v>0</v>
      </c>
      <c r="I13" s="176">
        <v>0</v>
      </c>
    </row>
    <row r="14" spans="1:9" ht="13.8" thickBot="1" x14ac:dyDescent="0.3">
      <c r="A14" s="36"/>
      <c r="B14" s="37"/>
      <c r="C14" s="37"/>
      <c r="D14" s="15"/>
      <c r="E14" s="15"/>
      <c r="F14" s="15"/>
      <c r="G14" s="15"/>
      <c r="H14" s="15"/>
      <c r="I14" s="15"/>
    </row>
    <row r="15" spans="1:9" ht="28.5" customHeight="1" thickBot="1" x14ac:dyDescent="0.3">
      <c r="A15" s="307" t="s">
        <v>48</v>
      </c>
      <c r="B15" s="308"/>
      <c r="C15" s="309"/>
      <c r="D15" s="166"/>
      <c r="E15" s="166"/>
      <c r="F15" s="166"/>
      <c r="G15" s="166"/>
      <c r="H15" s="166"/>
      <c r="I15" s="166"/>
    </row>
    <row r="16" spans="1:9" x14ac:dyDescent="0.25">
      <c r="A16" s="38" t="s">
        <v>52</v>
      </c>
      <c r="B16" s="39"/>
      <c r="C16" s="39"/>
      <c r="D16" s="105">
        <v>1760.5</v>
      </c>
      <c r="E16" s="19">
        <v>0</v>
      </c>
      <c r="F16" s="19">
        <v>0</v>
      </c>
      <c r="G16" s="19">
        <v>0</v>
      </c>
      <c r="H16" s="19">
        <v>0</v>
      </c>
      <c r="I16" s="19">
        <v>0</v>
      </c>
    </row>
    <row r="17" spans="1:9" x14ac:dyDescent="0.25">
      <c r="A17" s="35" t="s">
        <v>53</v>
      </c>
      <c r="B17" s="40"/>
      <c r="C17" s="40"/>
      <c r="D17" s="104">
        <v>2166</v>
      </c>
      <c r="E17" s="20">
        <v>0</v>
      </c>
      <c r="F17" s="20">
        <v>0</v>
      </c>
      <c r="G17" s="20">
        <v>0</v>
      </c>
      <c r="H17" s="20">
        <v>0</v>
      </c>
      <c r="I17" s="20">
        <v>0</v>
      </c>
    </row>
    <row r="18" spans="1:9" x14ac:dyDescent="0.25">
      <c r="A18" s="35" t="s">
        <v>54</v>
      </c>
      <c r="B18" s="40"/>
      <c r="C18" s="40"/>
      <c r="D18" s="104">
        <v>760</v>
      </c>
      <c r="E18" s="20">
        <v>0</v>
      </c>
      <c r="F18" s="20">
        <v>0</v>
      </c>
      <c r="G18" s="20">
        <v>0</v>
      </c>
      <c r="H18" s="20">
        <v>0</v>
      </c>
      <c r="I18" s="20">
        <v>0</v>
      </c>
    </row>
    <row r="19" spans="1:9" x14ac:dyDescent="0.25">
      <c r="A19" s="35" t="s">
        <v>55</v>
      </c>
      <c r="B19" s="40"/>
      <c r="C19" s="40"/>
      <c r="D19" s="104">
        <v>1502.9663600000001</v>
      </c>
      <c r="E19" s="20">
        <v>0</v>
      </c>
      <c r="F19" s="20">
        <v>0</v>
      </c>
      <c r="G19" s="20">
        <v>0</v>
      </c>
      <c r="H19" s="20">
        <v>0</v>
      </c>
      <c r="I19" s="20">
        <v>0</v>
      </c>
    </row>
    <row r="20" spans="1:9" x14ac:dyDescent="0.25">
      <c r="A20" s="35" t="s">
        <v>56</v>
      </c>
      <c r="B20" s="40"/>
      <c r="C20" s="40"/>
      <c r="D20" s="104">
        <v>1775.4466576032387</v>
      </c>
      <c r="E20" s="20">
        <v>0</v>
      </c>
      <c r="F20" s="20">
        <v>0</v>
      </c>
      <c r="G20" s="20">
        <v>0</v>
      </c>
      <c r="H20" s="20">
        <v>0</v>
      </c>
      <c r="I20" s="20">
        <v>0</v>
      </c>
    </row>
    <row r="21" spans="1:9" x14ac:dyDescent="0.25">
      <c r="A21" s="35" t="s">
        <v>57</v>
      </c>
      <c r="B21" s="40"/>
      <c r="C21" s="40"/>
      <c r="D21" s="104">
        <v>1002.6857299235842</v>
      </c>
      <c r="E21" s="20">
        <v>0</v>
      </c>
      <c r="F21" s="20">
        <v>0</v>
      </c>
      <c r="G21" s="20">
        <v>0</v>
      </c>
      <c r="H21" s="20">
        <v>0</v>
      </c>
      <c r="I21" s="20">
        <v>0</v>
      </c>
    </row>
    <row r="22" spans="1:9" x14ac:dyDescent="0.25">
      <c r="A22" s="35" t="s">
        <v>58</v>
      </c>
      <c r="B22" s="40"/>
      <c r="C22" s="40"/>
      <c r="D22" s="104">
        <v>1108.3053375239997</v>
      </c>
      <c r="E22" s="20">
        <v>0</v>
      </c>
      <c r="F22" s="20">
        <v>0</v>
      </c>
      <c r="G22" s="20">
        <v>0</v>
      </c>
      <c r="H22" s="20">
        <v>0</v>
      </c>
      <c r="I22" s="20">
        <v>0</v>
      </c>
    </row>
    <row r="23" spans="1:9" x14ac:dyDescent="0.25">
      <c r="A23" s="35" t="s">
        <v>59</v>
      </c>
      <c r="B23" s="40"/>
      <c r="C23" s="40"/>
      <c r="D23" s="104">
        <v>0</v>
      </c>
      <c r="E23" s="20">
        <v>0</v>
      </c>
      <c r="F23" s="20">
        <v>0</v>
      </c>
      <c r="G23" s="20">
        <v>0</v>
      </c>
      <c r="H23" s="20">
        <v>0</v>
      </c>
      <c r="I23" s="20">
        <v>0</v>
      </c>
    </row>
    <row r="24" spans="1:9" x14ac:dyDescent="0.25">
      <c r="A24" s="35" t="s">
        <v>60</v>
      </c>
      <c r="B24" s="40"/>
      <c r="C24" s="40"/>
      <c r="D24" s="104">
        <v>0</v>
      </c>
      <c r="E24" s="20">
        <v>0</v>
      </c>
      <c r="F24" s="20">
        <v>0</v>
      </c>
      <c r="G24" s="20">
        <v>0</v>
      </c>
      <c r="H24" s="20">
        <v>0</v>
      </c>
      <c r="I24" s="20">
        <v>0</v>
      </c>
    </row>
    <row r="25" spans="1:9" x14ac:dyDescent="0.25">
      <c r="A25" s="35" t="s">
        <v>61</v>
      </c>
      <c r="B25" s="40"/>
      <c r="C25" s="40"/>
      <c r="D25" s="104">
        <v>0</v>
      </c>
      <c r="E25" s="20">
        <v>0</v>
      </c>
      <c r="F25" s="20">
        <v>0</v>
      </c>
      <c r="G25" s="20">
        <v>0</v>
      </c>
      <c r="H25" s="20">
        <v>0</v>
      </c>
      <c r="I25" s="20">
        <v>0</v>
      </c>
    </row>
    <row r="26" spans="1:9" x14ac:dyDescent="0.25">
      <c r="A26" s="35" t="s">
        <v>62</v>
      </c>
      <c r="B26" s="40"/>
      <c r="C26" s="40"/>
      <c r="D26" s="104">
        <v>0</v>
      </c>
      <c r="E26" s="20">
        <v>0</v>
      </c>
      <c r="F26" s="20">
        <v>0</v>
      </c>
      <c r="G26" s="20">
        <v>0</v>
      </c>
      <c r="H26" s="20">
        <v>0</v>
      </c>
      <c r="I26" s="20">
        <v>0</v>
      </c>
    </row>
    <row r="27" spans="1:9" x14ac:dyDescent="0.25">
      <c r="A27" s="35" t="s">
        <v>63</v>
      </c>
      <c r="B27" s="40"/>
      <c r="C27" s="40"/>
      <c r="D27" s="104">
        <v>0</v>
      </c>
      <c r="E27" s="20">
        <v>0</v>
      </c>
      <c r="F27" s="20">
        <v>0</v>
      </c>
      <c r="G27" s="20">
        <v>0</v>
      </c>
      <c r="H27" s="20">
        <v>0</v>
      </c>
      <c r="I27" s="20">
        <v>0</v>
      </c>
    </row>
    <row r="28" spans="1:9" x14ac:dyDescent="0.25">
      <c r="A28" s="35" t="s">
        <v>64</v>
      </c>
      <c r="B28" s="40"/>
      <c r="C28" s="40"/>
      <c r="D28" s="104">
        <v>1100</v>
      </c>
      <c r="E28" s="20">
        <v>0</v>
      </c>
      <c r="F28" s="20">
        <v>0</v>
      </c>
      <c r="G28" s="20">
        <v>0</v>
      </c>
      <c r="H28" s="20">
        <v>0</v>
      </c>
      <c r="I28" s="20">
        <v>0</v>
      </c>
    </row>
    <row r="29" spans="1:9" x14ac:dyDescent="0.25">
      <c r="A29" s="35" t="s">
        <v>65</v>
      </c>
      <c r="B29" s="40"/>
      <c r="C29" s="40"/>
      <c r="D29" s="104">
        <v>0</v>
      </c>
      <c r="E29" s="20">
        <v>0</v>
      </c>
      <c r="F29" s="20">
        <v>0</v>
      </c>
      <c r="G29" s="20">
        <v>0</v>
      </c>
      <c r="H29" s="20">
        <v>0</v>
      </c>
      <c r="I29" s="20">
        <v>0</v>
      </c>
    </row>
    <row r="30" spans="1:9" x14ac:dyDescent="0.25">
      <c r="A30" s="35" t="s">
        <v>66</v>
      </c>
      <c r="B30" s="40"/>
      <c r="C30" s="40"/>
      <c r="D30" s="104">
        <v>350</v>
      </c>
      <c r="E30" s="20">
        <v>0</v>
      </c>
      <c r="F30" s="20">
        <v>0</v>
      </c>
      <c r="G30" s="20">
        <v>0</v>
      </c>
      <c r="H30" s="20">
        <v>0</v>
      </c>
      <c r="I30" s="20">
        <v>0</v>
      </c>
    </row>
    <row r="31" spans="1:9" ht="13.8" thickBot="1" x14ac:dyDescent="0.3">
      <c r="A31" s="35" t="s">
        <v>67</v>
      </c>
      <c r="B31" s="40"/>
      <c r="C31" s="40"/>
      <c r="D31" s="104">
        <v>566.39126407563333</v>
      </c>
      <c r="E31" s="20">
        <v>0</v>
      </c>
      <c r="F31" s="20">
        <v>0</v>
      </c>
      <c r="G31" s="20">
        <v>0</v>
      </c>
      <c r="H31" s="20">
        <v>0</v>
      </c>
      <c r="I31" s="20">
        <v>0</v>
      </c>
    </row>
    <row r="32" spans="1:9" ht="27.75" customHeight="1" thickBot="1" x14ac:dyDescent="0.3">
      <c r="A32" s="265" t="s">
        <v>68</v>
      </c>
      <c r="B32" s="266"/>
      <c r="C32" s="267"/>
      <c r="D32" s="177">
        <f>SUM(D16:D31)</f>
        <v>12092.295349126456</v>
      </c>
      <c r="E32" s="197"/>
      <c r="F32" s="177">
        <v>0</v>
      </c>
      <c r="G32" s="177">
        <v>0</v>
      </c>
      <c r="H32" s="177">
        <v>0</v>
      </c>
      <c r="I32" s="177">
        <v>0</v>
      </c>
    </row>
    <row r="33" spans="1:10" ht="13.8" thickBot="1" x14ac:dyDescent="0.3">
      <c r="A33" s="41"/>
      <c r="B33" s="42"/>
      <c r="C33" s="42"/>
      <c r="D33" s="21"/>
      <c r="E33" s="21"/>
      <c r="F33" s="21"/>
      <c r="G33" s="21"/>
      <c r="H33" s="21"/>
      <c r="I33" s="21"/>
    </row>
    <row r="34" spans="1:10" ht="13.5" customHeight="1" thickBot="1" x14ac:dyDescent="0.3">
      <c r="A34" s="262" t="s">
        <v>69</v>
      </c>
      <c r="B34" s="263"/>
      <c r="C34" s="264"/>
      <c r="D34" s="178">
        <f>[4]Grondbone!$D$224</f>
        <v>3216.45</v>
      </c>
      <c r="E34" s="177">
        <v>0</v>
      </c>
      <c r="F34" s="177">
        <v>0</v>
      </c>
      <c r="G34" s="177">
        <v>0</v>
      </c>
      <c r="H34" s="177">
        <v>0</v>
      </c>
      <c r="I34" s="177">
        <v>0</v>
      </c>
      <c r="J34" s="17"/>
    </row>
    <row r="35" spans="1:10" ht="13.8" thickBot="1" x14ac:dyDescent="0.3">
      <c r="A35" s="41"/>
      <c r="B35" s="42"/>
      <c r="C35" s="42"/>
      <c r="D35" s="21"/>
      <c r="E35" s="21"/>
      <c r="F35" s="21"/>
      <c r="G35" s="21"/>
      <c r="H35" s="21"/>
      <c r="I35" s="21"/>
    </row>
    <row r="36" spans="1:10" ht="26.25" customHeight="1" thickBot="1" x14ac:dyDescent="0.3">
      <c r="A36" s="265" t="s">
        <v>70</v>
      </c>
      <c r="B36" s="266"/>
      <c r="C36" s="267"/>
      <c r="D36" s="177">
        <f>D32+D34</f>
        <v>15308.745349126457</v>
      </c>
      <c r="E36" s="177">
        <v>0</v>
      </c>
      <c r="F36" s="177">
        <v>0</v>
      </c>
      <c r="G36" s="177">
        <v>0</v>
      </c>
      <c r="H36" s="177">
        <v>0</v>
      </c>
      <c r="I36" s="177">
        <v>0</v>
      </c>
    </row>
    <row r="37" spans="1:10" ht="13.8" thickBot="1" x14ac:dyDescent="0.3">
      <c r="A37" s="36"/>
      <c r="B37" s="37"/>
      <c r="C37" s="37"/>
      <c r="D37" s="22"/>
      <c r="E37" s="22"/>
      <c r="F37" s="22"/>
      <c r="G37" s="22"/>
      <c r="H37" s="22"/>
      <c r="I37" s="22"/>
    </row>
    <row r="38" spans="1:10" ht="27.75" customHeight="1" thickBot="1" x14ac:dyDescent="0.3">
      <c r="A38" s="265" t="s">
        <v>71</v>
      </c>
      <c r="B38" s="266"/>
      <c r="C38" s="267"/>
      <c r="D38" s="177">
        <f>D36/D12</f>
        <v>10205.830232750972</v>
      </c>
      <c r="E38" s="177">
        <v>0</v>
      </c>
      <c r="F38" s="177">
        <v>0</v>
      </c>
      <c r="G38" s="177">
        <v>0</v>
      </c>
      <c r="H38" s="177">
        <v>0</v>
      </c>
      <c r="I38" s="177">
        <v>0</v>
      </c>
    </row>
    <row r="39" spans="1:10" ht="13.8" thickBot="1" x14ac:dyDescent="0.3">
      <c r="A39" s="36"/>
      <c r="B39" s="37"/>
      <c r="C39" s="37"/>
      <c r="D39" s="22"/>
      <c r="E39" s="22"/>
      <c r="F39" s="22"/>
      <c r="G39" s="22"/>
      <c r="H39" s="22"/>
      <c r="I39" s="22"/>
    </row>
    <row r="40" spans="1:10" ht="13.8" thickBot="1" x14ac:dyDescent="0.3">
      <c r="A40" s="173" t="s">
        <v>72</v>
      </c>
      <c r="B40" s="184"/>
      <c r="C40" s="184"/>
      <c r="D40" s="177">
        <v>63</v>
      </c>
      <c r="E40" s="177">
        <v>0</v>
      </c>
      <c r="F40" s="177">
        <v>0</v>
      </c>
      <c r="G40" s="177">
        <v>0</v>
      </c>
      <c r="H40" s="177">
        <v>0</v>
      </c>
      <c r="I40" s="177">
        <v>0</v>
      </c>
    </row>
    <row r="41" spans="1:10" ht="13.8" thickBot="1" x14ac:dyDescent="0.3">
      <c r="A41" s="36"/>
      <c r="B41" s="37"/>
      <c r="C41" s="37"/>
      <c r="D41" s="22"/>
      <c r="E41" s="22"/>
      <c r="F41" s="22"/>
      <c r="G41" s="22"/>
      <c r="H41" s="22"/>
      <c r="I41" s="22"/>
    </row>
    <row r="42" spans="1:10" ht="13.5" customHeight="1" thickBot="1" x14ac:dyDescent="0.3">
      <c r="A42" s="298" t="s">
        <v>102</v>
      </c>
      <c r="B42" s="305"/>
      <c r="C42" s="306"/>
      <c r="D42" s="167">
        <f>D38+D40</f>
        <v>10268.830232750972</v>
      </c>
      <c r="E42" s="167">
        <v>0</v>
      </c>
      <c r="F42" s="167">
        <v>0</v>
      </c>
      <c r="G42" s="167">
        <v>0</v>
      </c>
      <c r="H42" s="167">
        <v>0</v>
      </c>
      <c r="I42" s="167">
        <v>0</v>
      </c>
    </row>
    <row r="43" spans="1:10" ht="13.8" thickBot="1" x14ac:dyDescent="0.3">
      <c r="A43" s="181" t="s">
        <v>103</v>
      </c>
      <c r="B43" s="182"/>
      <c r="C43" s="183"/>
      <c r="D43" s="167">
        <f>'Pryse + Sensatiwiteitsanali'!B8</f>
        <v>19000</v>
      </c>
      <c r="E43" s="167">
        <v>0</v>
      </c>
      <c r="F43" s="167">
        <v>0</v>
      </c>
      <c r="G43" s="167">
        <v>0</v>
      </c>
      <c r="H43" s="167">
        <v>0</v>
      </c>
      <c r="I43" s="167">
        <v>0</v>
      </c>
    </row>
    <row r="44" spans="1:10" ht="13.8" thickBot="1" x14ac:dyDescent="0.3">
      <c r="A44" s="181" t="s">
        <v>104</v>
      </c>
      <c r="B44" s="182"/>
      <c r="C44" s="183"/>
      <c r="D44" s="167">
        <f>D10</f>
        <v>14695</v>
      </c>
      <c r="E44" s="167"/>
      <c r="F44" s="167"/>
      <c r="G44" s="167"/>
      <c r="H44" s="167"/>
      <c r="I44" s="167"/>
    </row>
    <row r="45" spans="1:10" ht="13.8" thickBot="1" x14ac:dyDescent="0.3"/>
    <row r="46" spans="1:10" customFormat="1" ht="14.4" x14ac:dyDescent="0.3">
      <c r="A46" s="291" t="s">
        <v>75</v>
      </c>
      <c r="B46" s="301"/>
      <c r="C46" s="302"/>
      <c r="D46" s="158">
        <f>D13-D32</f>
        <v>13100.204650873544</v>
      </c>
      <c r="E46" s="158"/>
      <c r="F46" s="158"/>
      <c r="G46" s="159"/>
      <c r="H46" s="158"/>
      <c r="I46" s="160"/>
    </row>
    <row r="47" spans="1:10" customFormat="1" ht="15" thickBot="1" x14ac:dyDescent="0.35">
      <c r="A47" s="293" t="s">
        <v>76</v>
      </c>
      <c r="B47" s="303"/>
      <c r="C47" s="304"/>
      <c r="D47" s="161">
        <f>D13-D36</f>
        <v>9883.7546508735431</v>
      </c>
      <c r="E47" s="161"/>
      <c r="F47" s="161"/>
      <c r="G47" s="162"/>
      <c r="H47" s="161"/>
      <c r="I47" s="163"/>
    </row>
    <row r="48" spans="1:10" ht="14.4" x14ac:dyDescent="0.25">
      <c r="A48" s="45" t="s">
        <v>77</v>
      </c>
      <c r="B48" s="46"/>
      <c r="C48" s="46"/>
      <c r="D48" s="46"/>
      <c r="E48" s="46"/>
      <c r="F48" s="46"/>
      <c r="G48" s="46"/>
      <c r="H48" s="47"/>
      <c r="I48" s="44"/>
      <c r="J48" s="44"/>
    </row>
    <row r="49" spans="1:10" ht="14.4" x14ac:dyDescent="0.25">
      <c r="A49" s="48" t="s">
        <v>78</v>
      </c>
      <c r="B49" s="49"/>
      <c r="C49" s="49"/>
      <c r="D49" s="49"/>
      <c r="E49" s="49"/>
      <c r="F49" s="49"/>
      <c r="G49" s="49"/>
      <c r="H49" s="50"/>
      <c r="I49" s="44"/>
      <c r="J49" s="44"/>
    </row>
    <row r="50" spans="1:10" ht="15" thickBot="1" x14ac:dyDescent="0.3">
      <c r="A50" s="51" t="s">
        <v>79</v>
      </c>
      <c r="B50" s="52"/>
      <c r="C50" s="52"/>
      <c r="D50" s="52"/>
      <c r="E50" s="52"/>
      <c r="F50" s="52"/>
      <c r="G50" s="52"/>
      <c r="H50" s="53"/>
      <c r="I50" s="44"/>
      <c r="J50" s="44"/>
    </row>
  </sheetData>
  <mergeCells count="11">
    <mergeCell ref="A46:C46"/>
    <mergeCell ref="A47:C47"/>
    <mergeCell ref="A1:D1"/>
    <mergeCell ref="E1:G1"/>
    <mergeCell ref="A38:C38"/>
    <mergeCell ref="A42:C42"/>
    <mergeCell ref="A15:C15"/>
    <mergeCell ref="A32:C32"/>
    <mergeCell ref="A34:C34"/>
    <mergeCell ref="A36:C36"/>
    <mergeCell ref="A10:C10"/>
  </mergeCells>
  <conditionalFormatting sqref="D46:I47">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1496062992125984" right="0.31496062992125984" top="0.55118110236220474" bottom="0.55118110236220474" header="0.31496062992125984" footer="0.31496062992125984"/>
  <pageSetup paperSize="9" scale="60" fitToHeight="0" orientation="portrait" r:id="rId1"/>
  <headerFooter>
    <oddHeader>&amp;F</oddHeader>
    <oddFooter>&amp;A&amp;RPage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7"/>
  <sheetViews>
    <sheetView zoomScale="85" zoomScaleNormal="85" workbookViewId="0">
      <selection activeCell="O14" sqref="O14"/>
    </sheetView>
  </sheetViews>
  <sheetFormatPr defaultColWidth="9.109375" defaultRowHeight="13.2" x14ac:dyDescent="0.25"/>
  <cols>
    <col min="1" max="1" width="38.88671875" customWidth="1"/>
    <col min="2" max="3" width="14.33203125" hidden="1" customWidth="1"/>
    <col min="4" max="8" width="14.33203125" customWidth="1"/>
    <col min="9" max="9" width="14.33203125" hidden="1" customWidth="1"/>
    <col min="10" max="10" width="12" bestFit="1" customWidth="1"/>
    <col min="11" max="11" width="10.88671875" bestFit="1" customWidth="1"/>
  </cols>
  <sheetData>
    <row r="1" spans="1:12" ht="14.4" x14ac:dyDescent="0.3">
      <c r="A1" s="98" t="s">
        <v>169</v>
      </c>
      <c r="B1" s="103"/>
      <c r="C1" s="103"/>
      <c r="D1" s="103"/>
      <c r="E1" s="103"/>
      <c r="F1" s="103"/>
      <c r="G1" s="103"/>
      <c r="H1" s="103"/>
      <c r="I1" s="103"/>
      <c r="J1" s="108"/>
    </row>
    <row r="2" spans="1:12" ht="28.8" x14ac:dyDescent="0.3">
      <c r="A2" s="247" t="s">
        <v>105</v>
      </c>
      <c r="B2" s="248" t="s">
        <v>106</v>
      </c>
      <c r="C2" s="248" t="s">
        <v>107</v>
      </c>
      <c r="D2" s="248" t="s">
        <v>108</v>
      </c>
      <c r="E2" s="248" t="s">
        <v>109</v>
      </c>
      <c r="F2" s="248" t="s">
        <v>110</v>
      </c>
      <c r="G2" s="248" t="s">
        <v>111</v>
      </c>
      <c r="H2" s="248" t="s">
        <v>112</v>
      </c>
      <c r="I2" s="248" t="s">
        <v>113</v>
      </c>
      <c r="J2" s="108"/>
    </row>
    <row r="3" spans="1:12" ht="14.4" x14ac:dyDescent="0.3">
      <c r="A3" s="222" t="s">
        <v>114</v>
      </c>
      <c r="B3" s="198"/>
      <c r="C3" s="198"/>
      <c r="D3" s="198"/>
      <c r="E3" s="198"/>
      <c r="F3" s="198"/>
      <c r="G3" s="198"/>
      <c r="H3" s="198"/>
      <c r="I3" s="198"/>
      <c r="J3" s="108"/>
    </row>
    <row r="4" spans="1:12" ht="14.4" x14ac:dyDescent="0.3">
      <c r="A4" s="223" t="s">
        <v>115</v>
      </c>
      <c r="B4" s="224">
        <f>'W-RR mielies Laer opbrengs '!F5</f>
        <v>4</v>
      </c>
      <c r="C4" s="224">
        <f>'W-RR mielies Hoer opbrengs  '!F5</f>
        <v>6</v>
      </c>
      <c r="D4" s="224">
        <f>'W-BT Mielies '!F5</f>
        <v>4.5</v>
      </c>
      <c r="E4" s="224">
        <f>Sonneblom!G5</f>
        <v>1.75</v>
      </c>
      <c r="F4" s="224">
        <f>Sojabone!H5</f>
        <v>2.25</v>
      </c>
      <c r="G4" s="224">
        <f>Graansorghum!F5</f>
        <v>3</v>
      </c>
      <c r="H4" s="224">
        <f>Grondbone!D12</f>
        <v>1.5</v>
      </c>
      <c r="I4" s="224">
        <f>'Bes-mielies'!G5</f>
        <v>14</v>
      </c>
      <c r="J4" s="108"/>
      <c r="L4" s="249"/>
    </row>
    <row r="5" spans="1:12" s="106" customFormat="1" ht="14.4" x14ac:dyDescent="0.3">
      <c r="A5" s="223" t="s">
        <v>116</v>
      </c>
      <c r="B5" s="225">
        <f>'Pryse + Sensatiwiteitsanali'!B4</f>
        <v>4455</v>
      </c>
      <c r="C5" s="225">
        <f>'Pryse + Sensatiwiteitsanali'!B4</f>
        <v>4455</v>
      </c>
      <c r="D5" s="225">
        <f>C5</f>
        <v>4455</v>
      </c>
      <c r="E5" s="225">
        <f>'Pryse + Sensatiwiteitsanali'!B5</f>
        <v>9600</v>
      </c>
      <c r="F5" s="225">
        <f>'Pryse + Sensatiwiteitsanali'!B6</f>
        <v>7400</v>
      </c>
      <c r="G5" s="225">
        <f>'Pryse + Sensatiwiteitsanali'!B7</f>
        <v>4993</v>
      </c>
      <c r="H5" s="225">
        <f>Grondbone!D10</f>
        <v>14695</v>
      </c>
      <c r="I5" s="225">
        <f>B5</f>
        <v>4455</v>
      </c>
      <c r="J5" s="118"/>
    </row>
    <row r="6" spans="1:12" s="106" customFormat="1" ht="14.4" x14ac:dyDescent="0.3">
      <c r="A6" s="223" t="s">
        <v>117</v>
      </c>
      <c r="B6" s="225">
        <v>420</v>
      </c>
      <c r="C6" s="225">
        <v>420</v>
      </c>
      <c r="D6" s="225">
        <f>C6</f>
        <v>420</v>
      </c>
      <c r="E6" s="225">
        <f>'Pryse + Sensatiwiteitsanali'!D5</f>
        <v>724</v>
      </c>
      <c r="F6" s="225">
        <v>218</v>
      </c>
      <c r="G6" s="225">
        <f>'Pryse + Sensatiwiteitsanali'!D7</f>
        <v>63</v>
      </c>
      <c r="H6" s="225">
        <f>'Pryse + Sensatiwiteitsanali'!D8</f>
        <v>63</v>
      </c>
      <c r="I6" s="225">
        <f>D6</f>
        <v>420</v>
      </c>
      <c r="J6" s="118"/>
    </row>
    <row r="7" spans="1:12" s="106" customFormat="1" ht="15" thickBot="1" x14ac:dyDescent="0.35">
      <c r="A7" s="223" t="s">
        <v>118</v>
      </c>
      <c r="B7" s="226">
        <f>B5-B6</f>
        <v>4035</v>
      </c>
      <c r="C7" s="226">
        <f t="shared" ref="C7:I7" si="0">C5-C6</f>
        <v>4035</v>
      </c>
      <c r="D7" s="226">
        <f t="shared" si="0"/>
        <v>4035</v>
      </c>
      <c r="E7" s="226">
        <f t="shared" si="0"/>
        <v>8876</v>
      </c>
      <c r="F7" s="226">
        <f t="shared" si="0"/>
        <v>7182</v>
      </c>
      <c r="G7" s="226">
        <f t="shared" si="0"/>
        <v>4930</v>
      </c>
      <c r="H7" s="226">
        <f t="shared" si="0"/>
        <v>14632</v>
      </c>
      <c r="I7" s="226">
        <f t="shared" si="0"/>
        <v>4035</v>
      </c>
      <c r="J7" s="118"/>
    </row>
    <row r="8" spans="1:12" ht="15" thickTop="1" x14ac:dyDescent="0.3">
      <c r="A8" s="114" t="s">
        <v>119</v>
      </c>
      <c r="B8" s="227">
        <f>B4*B7</f>
        <v>16140</v>
      </c>
      <c r="C8" s="227">
        <f>C4*C7</f>
        <v>24210</v>
      </c>
      <c r="D8" s="227">
        <f t="shared" ref="D8:I8" si="1">D4*D7</f>
        <v>18157.5</v>
      </c>
      <c r="E8" s="227">
        <f>E4*E7</f>
        <v>15533</v>
      </c>
      <c r="F8" s="227">
        <f>F4*F7</f>
        <v>16159.5</v>
      </c>
      <c r="G8" s="227">
        <f t="shared" si="1"/>
        <v>14790</v>
      </c>
      <c r="H8" s="227">
        <f>H4*H7</f>
        <v>21948</v>
      </c>
      <c r="I8" s="227">
        <f t="shared" si="1"/>
        <v>56490</v>
      </c>
      <c r="J8" s="108"/>
    </row>
    <row r="9" spans="1:12" ht="14.4" x14ac:dyDescent="0.3">
      <c r="A9" s="223"/>
      <c r="B9" s="228"/>
      <c r="C9" s="228"/>
      <c r="D9" s="228"/>
      <c r="E9" s="228"/>
      <c r="F9" s="228"/>
      <c r="G9" s="228"/>
      <c r="H9" s="228"/>
      <c r="I9" s="228"/>
      <c r="J9" s="108"/>
    </row>
    <row r="10" spans="1:12" ht="14.4" x14ac:dyDescent="0.3">
      <c r="A10" s="222" t="s">
        <v>120</v>
      </c>
      <c r="B10" s="229"/>
      <c r="C10" s="229"/>
      <c r="D10" s="229"/>
      <c r="E10" s="229"/>
      <c r="F10" s="229"/>
      <c r="G10" s="229"/>
      <c r="H10" s="229"/>
      <c r="I10" s="229"/>
      <c r="J10" s="250"/>
    </row>
    <row r="11" spans="1:12" ht="14.4" x14ac:dyDescent="0.3">
      <c r="A11" s="230" t="s">
        <v>52</v>
      </c>
      <c r="B11" s="230">
        <f>'W-RR mielies Laer opbrengs '!F9</f>
        <v>1703</v>
      </c>
      <c r="C11" s="230">
        <f>'W-RR mielies Hoer opbrengs  '!F9</f>
        <v>2597.0750000000003</v>
      </c>
      <c r="D11" s="230">
        <f>'W-BT Mielies '!F9</f>
        <v>2186.1315624999997</v>
      </c>
      <c r="E11" s="230">
        <f>Sonneblom!G9</f>
        <v>816.23611111111109</v>
      </c>
      <c r="F11" s="230">
        <f>Sojabone!H9</f>
        <v>1759.91</v>
      </c>
      <c r="G11" s="230">
        <f>Graansorghum!F9</f>
        <v>550</v>
      </c>
      <c r="H11" s="230">
        <f>Grondbone!D16</f>
        <v>1760.5</v>
      </c>
      <c r="I11" s="230">
        <f>'Bes-mielies'!G9</f>
        <v>7122.0000000000009</v>
      </c>
      <c r="J11" s="122"/>
      <c r="K11" s="251"/>
    </row>
    <row r="12" spans="1:12" ht="14.4" x14ac:dyDescent="0.3">
      <c r="A12" s="230" t="s">
        <v>53</v>
      </c>
      <c r="B12" s="230">
        <f>'W-RR mielies Laer opbrengs '!F10</f>
        <v>4572.5</v>
      </c>
      <c r="C12" s="230">
        <f>'W-RR mielies Hoer opbrengs  '!F10</f>
        <v>6968</v>
      </c>
      <c r="D12" s="230">
        <f>'W-BT Mielies '!F10</f>
        <v>5168.8</v>
      </c>
      <c r="E12" s="230">
        <f>Sonneblom!G10</f>
        <v>1955.6000000000001</v>
      </c>
      <c r="F12" s="230">
        <f>Sojabone!H10</f>
        <v>3160.6</v>
      </c>
      <c r="G12" s="230">
        <f>Graansorghum!F10</f>
        <v>3579</v>
      </c>
      <c r="H12" s="230">
        <f>Grondbone!D17</f>
        <v>2166</v>
      </c>
      <c r="I12" s="230">
        <f>'Bes-mielies'!G10</f>
        <v>14116.660000000002</v>
      </c>
      <c r="J12" s="122"/>
      <c r="K12" s="251"/>
    </row>
    <row r="13" spans="1:12" ht="14.4" x14ac:dyDescent="0.3">
      <c r="A13" s="230" t="s">
        <v>54</v>
      </c>
      <c r="B13" s="230">
        <f>'W-RR mielies Laer opbrengs '!F11</f>
        <v>760</v>
      </c>
      <c r="C13" s="230">
        <f>'W-RR mielies Hoer opbrengs  '!F11</f>
        <v>760</v>
      </c>
      <c r="D13" s="230">
        <f>'W-BT Mielies '!F11</f>
        <v>760</v>
      </c>
      <c r="E13" s="230">
        <f>Sonneblom!G11</f>
        <v>760</v>
      </c>
      <c r="F13" s="230">
        <f>Sojabone!H11</f>
        <v>760</v>
      </c>
      <c r="G13" s="230">
        <f>Graansorghum!F11</f>
        <v>179.48700000000002</v>
      </c>
      <c r="H13" s="230">
        <f>Grondbone!D18</f>
        <v>760</v>
      </c>
      <c r="I13" s="230">
        <f>'Bes-mielies'!G11</f>
        <v>179.48700000000002</v>
      </c>
      <c r="J13" s="122"/>
      <c r="K13" s="251"/>
    </row>
    <row r="14" spans="1:12" ht="14.4" x14ac:dyDescent="0.3">
      <c r="A14" s="230" t="s">
        <v>55</v>
      </c>
      <c r="B14" s="230">
        <f>'W-RR mielies Laer opbrengs '!F12</f>
        <v>1385.1459199999999</v>
      </c>
      <c r="C14" s="230">
        <f>'W-RR mielies Hoer opbrengs  '!F12</f>
        <v>1325.7459199999998</v>
      </c>
      <c r="D14" s="230">
        <f>'W-BT Mielies '!F12</f>
        <v>1402.0584200000001</v>
      </c>
      <c r="E14" s="230">
        <f>Sonneblom!G12</f>
        <v>1389.5539200000003</v>
      </c>
      <c r="F14" s="230">
        <f>Sojabone!H12</f>
        <v>1171.6092000000001</v>
      </c>
      <c r="G14" s="230">
        <f>Graansorghum!F12</f>
        <v>1625.1681199999998</v>
      </c>
      <c r="H14" s="230">
        <f>Grondbone!D19</f>
        <v>1502.9663600000001</v>
      </c>
      <c r="I14" s="230">
        <f>'Bes-mielies'!G12</f>
        <v>1988.2795500000002</v>
      </c>
      <c r="J14" s="122"/>
      <c r="K14" s="251"/>
    </row>
    <row r="15" spans="1:12" ht="14.4" x14ac:dyDescent="0.3">
      <c r="A15" s="230" t="s">
        <v>56</v>
      </c>
      <c r="B15" s="230">
        <f>'W-RR mielies Laer opbrengs '!F13</f>
        <v>1364.70448566</v>
      </c>
      <c r="C15" s="230">
        <f>'W-RR mielies Hoer opbrengs  '!F13</f>
        <v>1380.6149987399999</v>
      </c>
      <c r="D15" s="230">
        <f>'W-BT Mielies '!F13</f>
        <v>1368.68211393</v>
      </c>
      <c r="E15" s="230">
        <f>Sonneblom!G13</f>
        <v>1440.6612</v>
      </c>
      <c r="F15" s="230">
        <f>Sojabone!H13</f>
        <v>1222.8562000000002</v>
      </c>
      <c r="G15" s="230">
        <f>Graansorghum!F13</f>
        <v>778.43457046740014</v>
      </c>
      <c r="H15" s="230">
        <f>Grondbone!D20</f>
        <v>1775.4466576032387</v>
      </c>
      <c r="I15" s="230">
        <f>'Bes-mielies'!G13</f>
        <v>736.89442639740014</v>
      </c>
      <c r="J15" s="122"/>
      <c r="K15" s="251"/>
    </row>
    <row r="16" spans="1:12" ht="14.4" x14ac:dyDescent="0.3">
      <c r="A16" s="230" t="s">
        <v>168</v>
      </c>
      <c r="B16" s="230">
        <f>'W-RR mielies Laer opbrengs '!F14</f>
        <v>1230.7600000000002</v>
      </c>
      <c r="C16" s="230">
        <f>'W-RR mielies Hoer opbrengs  '!F14</f>
        <v>1230.76</v>
      </c>
      <c r="D16" s="230">
        <f>'W-BT Mielies '!F14</f>
        <v>1230.7600000000002</v>
      </c>
      <c r="E16" s="230">
        <f>Sonneblom!G14</f>
        <v>2610.8399999999997</v>
      </c>
      <c r="F16" s="230">
        <f>Sojabone!H14+1591.77</f>
        <v>2880.56122</v>
      </c>
      <c r="G16" s="230">
        <f>Graansorghum!F14</f>
        <v>1199.15190033408</v>
      </c>
      <c r="H16" s="230">
        <f>Grondbone!D21+1108.31</f>
        <v>2110.9957299235839</v>
      </c>
      <c r="I16" s="230">
        <f>'Bes-mielies'!G14</f>
        <v>1355.2874502537215</v>
      </c>
      <c r="J16" s="122"/>
      <c r="K16" s="251"/>
    </row>
    <row r="17" spans="1:19" ht="14.4" x14ac:dyDescent="0.3">
      <c r="A17" s="230" t="s">
        <v>58</v>
      </c>
      <c r="B17" s="230">
        <f>'W-RR mielies Laer opbrengs '!F15</f>
        <v>0</v>
      </c>
      <c r="C17" s="230">
        <f>'W-RR mielies Hoer opbrengs  '!F15</f>
        <v>0</v>
      </c>
      <c r="D17" s="230">
        <f>'W-BT Mielies '!F15</f>
        <v>0</v>
      </c>
      <c r="E17" s="230">
        <f>Sonneblom!G15</f>
        <v>0</v>
      </c>
      <c r="F17" s="230"/>
      <c r="G17" s="230">
        <f>Graansorghum!F15</f>
        <v>789.26103537684492</v>
      </c>
      <c r="H17" s="230"/>
      <c r="I17" s="230">
        <f>'Bes-mielies'!G15</f>
        <v>1062.494929408</v>
      </c>
      <c r="J17" s="122"/>
      <c r="K17" s="251"/>
    </row>
    <row r="18" spans="1:19" ht="14.4" x14ac:dyDescent="0.3">
      <c r="A18" s="230" t="s">
        <v>59</v>
      </c>
      <c r="B18" s="230">
        <f>'W-RR mielies Laer opbrengs '!F16</f>
        <v>316.36799999999999</v>
      </c>
      <c r="C18" s="230">
        <f>'W-RR mielies Hoer opbrengs  '!F16</f>
        <v>474.55199999999996</v>
      </c>
      <c r="D18" s="230">
        <f>'W-BT Mielies '!F16</f>
        <v>355.91399999999999</v>
      </c>
      <c r="E18" s="230">
        <f>Sonneblom!G16</f>
        <v>302.89350000000007</v>
      </c>
      <c r="F18" s="230">
        <f>Sojabone!H16</f>
        <v>308.48512499999998</v>
      </c>
      <c r="G18" s="230">
        <f>Graansorghum!F16</f>
        <v>364.86449999999996</v>
      </c>
      <c r="H18" s="230">
        <f>Grondbone!D23</f>
        <v>0</v>
      </c>
      <c r="I18" s="230">
        <f>'Bes-mielies'!G16</f>
        <v>0</v>
      </c>
      <c r="J18" s="122"/>
      <c r="K18" s="251"/>
    </row>
    <row r="19" spans="1:19" ht="14.4" x14ac:dyDescent="0.3">
      <c r="A19" s="230" t="s">
        <v>121</v>
      </c>
      <c r="B19" s="230"/>
      <c r="C19" s="230"/>
      <c r="D19" s="230"/>
      <c r="E19" s="230"/>
      <c r="F19" s="230"/>
      <c r="G19" s="230"/>
      <c r="H19" s="230"/>
      <c r="I19" s="230">
        <f>'Bes-mielies'!G17</f>
        <v>8086.3746640000008</v>
      </c>
      <c r="J19" s="122"/>
      <c r="K19" s="251"/>
    </row>
    <row r="20" spans="1:19" ht="14.4" x14ac:dyDescent="0.3">
      <c r="A20" s="230" t="s">
        <v>60</v>
      </c>
      <c r="B20" s="230">
        <f>'W-RR mielies Laer opbrengs '!F17</f>
        <v>973.22846068044214</v>
      </c>
      <c r="C20" s="230">
        <f>'W-RR mielies Hoer opbrengs  '!F17</f>
        <v>1231.1771854785873</v>
      </c>
      <c r="D20" s="230">
        <f>'W-BT Mielies '!F17</f>
        <v>1074.1326080779565</v>
      </c>
      <c r="E20" s="230">
        <f>Sonneblom!G17</f>
        <v>303.42359479495269</v>
      </c>
      <c r="F20" s="230">
        <f>Sojabone!H17</f>
        <v>191.82372396172718</v>
      </c>
      <c r="G20" s="230">
        <f>Graansorghum!F17</f>
        <v>0</v>
      </c>
      <c r="H20" s="230">
        <f>Grondbone!D24</f>
        <v>0</v>
      </c>
      <c r="I20" s="230">
        <f>'Bes-mielies'!G18</f>
        <v>3842.4725553254389</v>
      </c>
      <c r="J20" s="122"/>
      <c r="K20" s="251"/>
    </row>
    <row r="21" spans="1:19" ht="14.4" x14ac:dyDescent="0.3">
      <c r="A21" s="230" t="s">
        <v>61</v>
      </c>
      <c r="B21" s="230">
        <f>'W-RR mielies Laer opbrengs '!E18</f>
        <v>0</v>
      </c>
      <c r="C21" s="230">
        <f>'W-RR mielies Hoer opbrengs  '!G18</f>
        <v>0</v>
      </c>
      <c r="D21" s="230">
        <f>'W-BT Mielies '!F18</f>
        <v>0</v>
      </c>
      <c r="E21" s="230">
        <f>Sonneblom!F18</f>
        <v>0</v>
      </c>
      <c r="F21" s="230">
        <f>Sojabone!F18</f>
        <v>0</v>
      </c>
      <c r="G21" s="230">
        <f>Graansorghum!F18</f>
        <v>0</v>
      </c>
      <c r="H21" s="230">
        <f>Grondbone!D25</f>
        <v>0</v>
      </c>
      <c r="I21" s="230">
        <f>'Bes-mielies'!F19</f>
        <v>0</v>
      </c>
      <c r="J21" s="122"/>
      <c r="K21" s="251"/>
    </row>
    <row r="22" spans="1:19" ht="14.4" x14ac:dyDescent="0.3">
      <c r="A22" s="230" t="s">
        <v>62</v>
      </c>
      <c r="B22" s="230">
        <f>'W-RR mielies Laer opbrengs '!F19</f>
        <v>452.25600000000003</v>
      </c>
      <c r="C22" s="230">
        <f>'W-RR mielies Hoer opbrengs  '!F19</f>
        <v>678.38400000000001</v>
      </c>
      <c r="D22" s="230">
        <f>'W-BT Mielies '!F19</f>
        <v>534.22739999999999</v>
      </c>
      <c r="E22" s="230">
        <f>Sonneblom!G19</f>
        <v>698.98500000000001</v>
      </c>
      <c r="F22" s="230">
        <f>Sojabone!H19</f>
        <v>1423.7774999999999</v>
      </c>
      <c r="G22" s="230">
        <f>Graansorghum!F19</f>
        <v>429.9735</v>
      </c>
      <c r="H22" s="230">
        <f>Grondbone!D26</f>
        <v>0</v>
      </c>
      <c r="I22" s="230">
        <f>'Bes-mielies'!G20</f>
        <v>1471.7640000000001</v>
      </c>
      <c r="J22" s="122"/>
      <c r="K22" s="251"/>
    </row>
    <row r="23" spans="1:19" ht="14.4" x14ac:dyDescent="0.3">
      <c r="A23" s="230" t="s">
        <v>63</v>
      </c>
      <c r="B23" s="230">
        <f>'W-RR mielies Laer opbrengs '!E20</f>
        <v>0</v>
      </c>
      <c r="C23" s="230">
        <f>'W-RR mielies Hoer opbrengs  '!G20</f>
        <v>0</v>
      </c>
      <c r="D23" s="230">
        <f>'W-BT Mielies '!F20</f>
        <v>0</v>
      </c>
      <c r="E23" s="230">
        <f>Sonneblom!F20</f>
        <v>0</v>
      </c>
      <c r="F23" s="230">
        <f>Sojabone!F20</f>
        <v>0</v>
      </c>
      <c r="G23" s="230">
        <f>Graansorghum!F20</f>
        <v>0</v>
      </c>
      <c r="H23" s="230">
        <f>Grondbone!D27</f>
        <v>0</v>
      </c>
      <c r="I23" s="230">
        <f>'Bes-mielies'!F21</f>
        <v>0</v>
      </c>
      <c r="J23" s="122"/>
      <c r="K23" s="251"/>
    </row>
    <row r="24" spans="1:19" ht="14.4" x14ac:dyDescent="0.3">
      <c r="A24" s="230" t="s">
        <v>64</v>
      </c>
      <c r="B24" s="230">
        <f>'W-RR mielies Laer opbrengs '!E21</f>
        <v>0</v>
      </c>
      <c r="C24" s="230">
        <f>'W-RR mielies Hoer opbrengs  '!H21</f>
        <v>0</v>
      </c>
      <c r="D24" s="230">
        <f>'W-BT Mielies '!F21</f>
        <v>0</v>
      </c>
      <c r="E24" s="230">
        <f>Sonneblom!F21</f>
        <v>0</v>
      </c>
      <c r="F24" s="230">
        <f>Sojabone!F21</f>
        <v>0</v>
      </c>
      <c r="G24" s="230">
        <f>Graansorghum!F21</f>
        <v>0</v>
      </c>
      <c r="H24" s="230">
        <f>Grondbone!D28</f>
        <v>1100</v>
      </c>
      <c r="I24" s="230">
        <f>'Bes-mielies'!G22</f>
        <v>0</v>
      </c>
      <c r="J24" s="122"/>
      <c r="K24" s="251"/>
    </row>
    <row r="25" spans="1:19" ht="14.4" x14ac:dyDescent="0.3">
      <c r="A25" s="230" t="s">
        <v>65</v>
      </c>
      <c r="B25" s="230">
        <f>'W-RR mielies Laer opbrengs '!E22</f>
        <v>0</v>
      </c>
      <c r="C25" s="230">
        <f>'W-RR mielies Hoer opbrengs  '!G22</f>
        <v>0</v>
      </c>
      <c r="D25" s="230">
        <f>'W-BT Mielies '!F22</f>
        <v>0</v>
      </c>
      <c r="E25" s="230">
        <f>Sonneblom!F22</f>
        <v>0</v>
      </c>
      <c r="F25" s="230">
        <f>Sojabone!F22</f>
        <v>0</v>
      </c>
      <c r="G25" s="230">
        <f>Graansorghum!F22</f>
        <v>0</v>
      </c>
      <c r="H25" s="230">
        <f>Grondbone!D29</f>
        <v>0</v>
      </c>
      <c r="I25" s="230">
        <f>'Bes-mielies'!F23</f>
        <v>0</v>
      </c>
      <c r="J25" s="122"/>
      <c r="K25" s="251"/>
    </row>
    <row r="26" spans="1:19" ht="14.4" x14ac:dyDescent="0.3">
      <c r="A26" s="230" t="s">
        <v>66</v>
      </c>
      <c r="B26" s="230">
        <f>'W-RR mielies Laer opbrengs '!E23</f>
        <v>0</v>
      </c>
      <c r="C26" s="230">
        <f>'W-RR mielies Hoer opbrengs  '!H23</f>
        <v>0</v>
      </c>
      <c r="D26" s="230">
        <f>'W-BT Mielies '!F23</f>
        <v>0</v>
      </c>
      <c r="E26" s="230">
        <f>Sonneblom!F23</f>
        <v>0</v>
      </c>
      <c r="F26" s="230">
        <f>Sojabone!F23</f>
        <v>0</v>
      </c>
      <c r="G26" s="230">
        <f>Graansorghum!F23</f>
        <v>0</v>
      </c>
      <c r="H26" s="230">
        <f>Grondbone!D30</f>
        <v>350</v>
      </c>
      <c r="I26" s="230">
        <f>'Bes-mielies'!G24</f>
        <v>0</v>
      </c>
      <c r="J26" s="122"/>
      <c r="K26" s="251"/>
    </row>
    <row r="27" spans="1:19" ht="15" thickBot="1" x14ac:dyDescent="0.35">
      <c r="A27" s="230" t="s">
        <v>67</v>
      </c>
      <c r="B27" s="231">
        <f>'W-RR mielies Laer opbrengs '!F24</f>
        <v>813.32013272920324</v>
      </c>
      <c r="C27" s="231">
        <f>'W-RR mielies Hoer opbrengs  '!F24</f>
        <v>1028.8860553939351</v>
      </c>
      <c r="D27" s="231">
        <f>'W-BT Mielies '!F24</f>
        <v>897.64501416238227</v>
      </c>
      <c r="E27" s="231">
        <f>Sonneblom!G24</f>
        <v>655.23482452651172</v>
      </c>
      <c r="F27" s="231">
        <f>Sojabone!H24</f>
        <v>821.07569045900527</v>
      </c>
      <c r="G27" s="231">
        <f>Graansorghum!F24</f>
        <v>557.85126178797645</v>
      </c>
      <c r="H27" s="231">
        <f>Grondbone!D31</f>
        <v>566.39126407563333</v>
      </c>
      <c r="I27" s="231">
        <f>'Bes-mielies'!G25</f>
        <v>2347.7507313038432</v>
      </c>
      <c r="J27" s="122"/>
      <c r="K27" s="251"/>
    </row>
    <row r="28" spans="1:19" ht="15" thickTop="1" x14ac:dyDescent="0.3">
      <c r="A28" s="199" t="s">
        <v>122</v>
      </c>
      <c r="B28" s="232">
        <f t="shared" ref="B28:I28" si="2">SUM(B11:B27)</f>
        <v>13571.282999069645</v>
      </c>
      <c r="C28" s="232">
        <f t="shared" si="2"/>
        <v>17675.195159612522</v>
      </c>
      <c r="D28" s="232">
        <f t="shared" si="2"/>
        <v>14978.35111867034</v>
      </c>
      <c r="E28" s="232">
        <f>SUM(E11:E27)</f>
        <v>10933.428150432577</v>
      </c>
      <c r="F28" s="232">
        <f t="shared" si="2"/>
        <v>13700.698659420732</v>
      </c>
      <c r="G28" s="232">
        <f t="shared" si="2"/>
        <v>10053.191887966301</v>
      </c>
      <c r="H28" s="232">
        <f t="shared" si="2"/>
        <v>12092.300011602458</v>
      </c>
      <c r="I28" s="232">
        <f t="shared" si="2"/>
        <v>42309.465306688413</v>
      </c>
      <c r="J28" s="122"/>
    </row>
    <row r="29" spans="1:19" ht="10.199999999999999" customHeight="1" thickBot="1" x14ac:dyDescent="0.35">
      <c r="A29" s="114"/>
      <c r="B29" s="233"/>
      <c r="C29" s="233"/>
      <c r="D29" s="233"/>
      <c r="E29" s="233"/>
      <c r="F29" s="233"/>
      <c r="G29" s="233"/>
      <c r="H29" s="233"/>
      <c r="I29" s="233"/>
      <c r="J29" s="108"/>
    </row>
    <row r="30" spans="1:19" ht="15" thickTop="1" x14ac:dyDescent="0.3">
      <c r="A30" s="199" t="s">
        <v>123</v>
      </c>
      <c r="B30" s="232">
        <f>'W-RR mielies Laer opbrengs '!D27</f>
        <v>3014.6900000000005</v>
      </c>
      <c r="C30" s="232">
        <f>'W-RR mielies Hoer opbrengs  '!D27</f>
        <v>2873.22</v>
      </c>
      <c r="D30" s="232">
        <f>'W-BT Mielies '!D27</f>
        <v>3052.36</v>
      </c>
      <c r="E30" s="232">
        <f>Sonneblom!D27</f>
        <v>2980.94</v>
      </c>
      <c r="F30" s="232">
        <f>Sojabone!D27</f>
        <v>2477.4699999999998</v>
      </c>
      <c r="G30" s="232">
        <f>Graansorghum!D27</f>
        <v>2574.2000000000003</v>
      </c>
      <c r="H30" s="232">
        <f>Grondbone!D34</f>
        <v>3216.45</v>
      </c>
      <c r="I30" s="232">
        <f>'Bes-mielies'!D28</f>
        <v>4692.28</v>
      </c>
      <c r="J30" s="108"/>
      <c r="K30" s="122"/>
      <c r="L30" s="122"/>
      <c r="S30" s="106"/>
    </row>
    <row r="31" spans="1:19" ht="10.199999999999999" customHeight="1" x14ac:dyDescent="0.3">
      <c r="A31" s="114"/>
      <c r="B31" s="234"/>
      <c r="C31" s="234"/>
      <c r="D31" s="234"/>
      <c r="E31" s="234"/>
      <c r="F31" s="234"/>
      <c r="G31" s="234"/>
      <c r="H31" s="234"/>
      <c r="I31" s="234"/>
      <c r="J31" s="108"/>
      <c r="S31" s="106"/>
    </row>
    <row r="32" spans="1:19" ht="15" thickBot="1" x14ac:dyDescent="0.35">
      <c r="A32" s="199" t="s">
        <v>124</v>
      </c>
      <c r="B32" s="235">
        <f>B28+B30</f>
        <v>16585.972999069643</v>
      </c>
      <c r="C32" s="235">
        <f t="shared" ref="C32:I32" si="3">C28+C30</f>
        <v>20548.415159612523</v>
      </c>
      <c r="D32" s="235">
        <f t="shared" si="3"/>
        <v>18030.711118670341</v>
      </c>
      <c r="E32" s="235">
        <f t="shared" si="3"/>
        <v>13914.368150432578</v>
      </c>
      <c r="F32" s="235">
        <f t="shared" si="3"/>
        <v>16178.168659420731</v>
      </c>
      <c r="G32" s="235">
        <f t="shared" si="3"/>
        <v>12627.391887966302</v>
      </c>
      <c r="H32" s="235">
        <f t="shared" si="3"/>
        <v>15308.750011602457</v>
      </c>
      <c r="I32" s="235">
        <f t="shared" si="3"/>
        <v>47001.745306688412</v>
      </c>
      <c r="J32" s="108"/>
      <c r="S32" s="106"/>
    </row>
    <row r="33" spans="1:10" ht="10.199999999999999" customHeight="1" thickTop="1" thickBot="1" x14ac:dyDescent="0.35">
      <c r="A33" s="236"/>
      <c r="B33" s="233"/>
      <c r="C33" s="233"/>
      <c r="D33" s="233"/>
      <c r="E33" s="233"/>
      <c r="F33" s="233"/>
      <c r="G33" s="233"/>
      <c r="H33" s="233"/>
      <c r="I33" s="233"/>
      <c r="J33" s="108"/>
    </row>
    <row r="34" spans="1:10" ht="15" thickTop="1" x14ac:dyDescent="0.3">
      <c r="A34" s="101" t="s">
        <v>125</v>
      </c>
      <c r="B34" s="97">
        <f t="shared" ref="B34:I34" si="4">B8-B28</f>
        <v>2568.7170009303554</v>
      </c>
      <c r="C34" s="97">
        <f t="shared" si="4"/>
        <v>6534.8048403874782</v>
      </c>
      <c r="D34" s="97">
        <f t="shared" si="4"/>
        <v>3179.1488813296601</v>
      </c>
      <c r="E34" s="97">
        <f t="shared" si="4"/>
        <v>4599.5718495674228</v>
      </c>
      <c r="F34" s="97">
        <f t="shared" si="4"/>
        <v>2458.8013405792681</v>
      </c>
      <c r="G34" s="97">
        <f t="shared" si="4"/>
        <v>4736.8081120336992</v>
      </c>
      <c r="H34" s="97">
        <f t="shared" si="4"/>
        <v>9855.6999883975423</v>
      </c>
      <c r="I34" s="97">
        <f t="shared" si="4"/>
        <v>14180.534693311587</v>
      </c>
      <c r="J34" s="108"/>
    </row>
    <row r="35" spans="1:10" ht="14.4" x14ac:dyDescent="0.3">
      <c r="A35" s="101" t="s">
        <v>126</v>
      </c>
      <c r="B35" s="97">
        <f t="shared" ref="B35:I35" si="5">B8-B32</f>
        <v>-445.97299906964327</v>
      </c>
      <c r="C35" s="210">
        <f t="shared" si="5"/>
        <v>3661.584840387477</v>
      </c>
      <c r="D35" s="97">
        <f t="shared" si="5"/>
        <v>126.78888132965949</v>
      </c>
      <c r="E35" s="97">
        <f t="shared" si="5"/>
        <v>1618.6318495674223</v>
      </c>
      <c r="F35" s="97">
        <f t="shared" si="5"/>
        <v>-18.668659420731274</v>
      </c>
      <c r="G35" s="97">
        <f t="shared" si="5"/>
        <v>2162.6081120336985</v>
      </c>
      <c r="H35" s="97">
        <f t="shared" si="5"/>
        <v>6639.2499883975433</v>
      </c>
      <c r="I35" s="97">
        <f t="shared" si="5"/>
        <v>9488.2546933115882</v>
      </c>
      <c r="J35" s="108"/>
    </row>
    <row r="36" spans="1:10" ht="14.4" x14ac:dyDescent="0.3">
      <c r="A36" s="101"/>
      <c r="B36" s="97"/>
      <c r="C36" s="97"/>
      <c r="D36" s="97"/>
      <c r="E36" s="97"/>
      <c r="F36" s="97"/>
      <c r="G36" s="97"/>
      <c r="H36" s="97"/>
      <c r="I36" s="97"/>
      <c r="J36" s="108"/>
    </row>
    <row r="37" spans="1:10" ht="54" customHeight="1" x14ac:dyDescent="0.25">
      <c r="A37" s="311" t="s">
        <v>127</v>
      </c>
      <c r="B37" s="312"/>
      <c r="C37" s="312"/>
      <c r="D37" s="312"/>
      <c r="E37" s="313"/>
      <c r="F37" s="313"/>
      <c r="G37" s="313"/>
      <c r="H37" s="313"/>
      <c r="I37" s="313"/>
      <c r="J37" s="108"/>
    </row>
    <row r="38" spans="1:10" ht="9.75" customHeight="1" x14ac:dyDescent="0.25">
      <c r="A38" s="115"/>
      <c r="B38" s="115"/>
      <c r="C38" s="115"/>
      <c r="D38" s="115"/>
      <c r="E38" s="113"/>
      <c r="F38" s="113"/>
      <c r="G38" s="113"/>
      <c r="H38" s="113"/>
      <c r="I38" s="113"/>
      <c r="J38" s="108"/>
    </row>
    <row r="39" spans="1:10" x14ac:dyDescent="0.25">
      <c r="A39" s="116"/>
      <c r="B39" s="116"/>
      <c r="C39" s="116"/>
      <c r="D39" s="116"/>
      <c r="E39" s="116"/>
      <c r="F39" s="116"/>
      <c r="G39" s="116"/>
      <c r="H39" s="116"/>
      <c r="I39" s="116"/>
      <c r="J39" s="108"/>
    </row>
    <row r="40" spans="1:10" x14ac:dyDescent="0.25">
      <c r="A40" s="116"/>
      <c r="B40" s="116"/>
      <c r="C40" s="116"/>
      <c r="D40" s="116"/>
      <c r="E40" s="116"/>
      <c r="F40" s="116"/>
      <c r="G40" s="116"/>
      <c r="H40" s="116"/>
      <c r="I40" s="116"/>
      <c r="J40" s="108"/>
    </row>
    <row r="41" spans="1:10" x14ac:dyDescent="0.25">
      <c r="A41" s="116"/>
      <c r="B41" s="116"/>
      <c r="C41" s="116"/>
      <c r="D41" s="116"/>
      <c r="E41" s="116"/>
      <c r="F41" s="116"/>
      <c r="G41" s="116"/>
      <c r="H41" s="116"/>
      <c r="I41" s="116"/>
      <c r="J41" s="108"/>
    </row>
    <row r="42" spans="1:10" x14ac:dyDescent="0.25">
      <c r="A42" s="116"/>
      <c r="B42" s="116"/>
      <c r="C42" s="116"/>
      <c r="D42" s="116"/>
      <c r="E42" s="116"/>
      <c r="F42" s="116"/>
      <c r="G42" s="116"/>
      <c r="H42" s="116"/>
      <c r="I42" s="116"/>
      <c r="J42" s="108"/>
    </row>
    <row r="43" spans="1:10" x14ac:dyDescent="0.25">
      <c r="A43" s="116"/>
      <c r="B43" s="116"/>
      <c r="C43" s="116"/>
      <c r="D43" s="116"/>
      <c r="E43" s="116"/>
      <c r="F43" s="116"/>
      <c r="G43" s="116"/>
      <c r="H43" s="116"/>
      <c r="I43" s="116"/>
      <c r="J43" s="108"/>
    </row>
    <row r="44" spans="1:10" x14ac:dyDescent="0.25">
      <c r="A44" s="116"/>
      <c r="B44" s="116"/>
      <c r="C44" s="116"/>
      <c r="D44" s="116"/>
      <c r="E44" s="116"/>
      <c r="F44" s="116"/>
      <c r="G44" s="116"/>
      <c r="H44" s="116"/>
      <c r="I44" s="116"/>
      <c r="J44" s="108"/>
    </row>
    <row r="45" spans="1:10" x14ac:dyDescent="0.25">
      <c r="A45" s="116"/>
      <c r="B45" s="116"/>
      <c r="C45" s="116"/>
      <c r="D45" s="116"/>
      <c r="E45" s="116"/>
      <c r="F45" s="116"/>
      <c r="G45" s="116"/>
      <c r="H45" s="116"/>
      <c r="I45" s="116"/>
      <c r="J45" s="108"/>
    </row>
    <row r="46" spans="1:10" x14ac:dyDescent="0.25">
      <c r="A46" s="116"/>
      <c r="B46" s="116"/>
      <c r="C46" s="116"/>
      <c r="D46" s="116"/>
      <c r="E46" s="116"/>
      <c r="F46" s="116"/>
      <c r="G46" s="116"/>
      <c r="H46" s="116"/>
      <c r="I46" s="116"/>
      <c r="J46" s="108"/>
    </row>
    <row r="47" spans="1:10" x14ac:dyDescent="0.25">
      <c r="A47" s="116"/>
      <c r="B47" s="116"/>
      <c r="C47" s="116"/>
      <c r="D47" s="116"/>
      <c r="E47" s="116"/>
      <c r="F47" s="116"/>
      <c r="G47" s="116"/>
      <c r="H47" s="116"/>
      <c r="I47" s="116"/>
      <c r="J47" s="108"/>
    </row>
    <row r="48" spans="1:10" x14ac:dyDescent="0.25">
      <c r="A48" s="116"/>
      <c r="B48" s="116"/>
      <c r="C48" s="116"/>
      <c r="D48" s="116"/>
      <c r="E48" s="116"/>
      <c r="F48" s="116"/>
      <c r="G48" s="116"/>
      <c r="H48" s="116"/>
      <c r="I48" s="116"/>
      <c r="J48" s="108"/>
    </row>
    <row r="49" spans="1:10" x14ac:dyDescent="0.25">
      <c r="A49" s="116"/>
      <c r="B49" s="116"/>
      <c r="C49" s="116"/>
      <c r="D49" s="116"/>
      <c r="E49" s="116"/>
      <c r="F49" s="116"/>
      <c r="G49" s="116"/>
      <c r="H49" s="116"/>
      <c r="I49" s="116"/>
      <c r="J49" s="108"/>
    </row>
    <row r="50" spans="1:10" x14ac:dyDescent="0.25">
      <c r="A50" s="116"/>
      <c r="B50" s="116"/>
      <c r="C50" s="116"/>
      <c r="D50" s="116"/>
      <c r="E50" s="116"/>
      <c r="F50" s="116"/>
      <c r="G50" s="116"/>
      <c r="H50" s="116"/>
      <c r="I50" s="116"/>
      <c r="J50" s="108"/>
    </row>
    <row r="51" spans="1:10" x14ac:dyDescent="0.25">
      <c r="A51" s="116"/>
      <c r="B51" s="116"/>
      <c r="C51" s="116"/>
      <c r="D51" s="116"/>
      <c r="E51" s="116"/>
      <c r="F51" s="116"/>
      <c r="G51" s="116"/>
      <c r="H51" s="116"/>
      <c r="I51" s="116"/>
      <c r="J51" s="108"/>
    </row>
    <row r="52" spans="1:10" x14ac:dyDescent="0.25">
      <c r="A52" s="116"/>
      <c r="B52" s="116"/>
      <c r="C52" s="116"/>
      <c r="D52" s="116"/>
      <c r="E52" s="116"/>
      <c r="F52" s="116"/>
      <c r="G52" s="116"/>
      <c r="H52" s="116"/>
      <c r="I52" s="116"/>
      <c r="J52" s="108"/>
    </row>
    <row r="53" spans="1:10" x14ac:dyDescent="0.25">
      <c r="A53" s="116"/>
      <c r="B53" s="116"/>
      <c r="C53" s="116"/>
      <c r="D53" s="116"/>
      <c r="E53" s="116"/>
      <c r="F53" s="116"/>
      <c r="G53" s="116"/>
      <c r="H53" s="116"/>
      <c r="I53" s="116"/>
      <c r="J53" s="108"/>
    </row>
    <row r="54" spans="1:10" x14ac:dyDescent="0.25">
      <c r="A54" s="116"/>
      <c r="B54" s="116"/>
      <c r="C54" s="116"/>
      <c r="D54" s="116"/>
      <c r="E54" s="116"/>
      <c r="F54" s="116"/>
      <c r="G54" s="116"/>
      <c r="H54" s="116"/>
      <c r="I54" s="116"/>
      <c r="J54" s="108"/>
    </row>
    <row r="55" spans="1:10" x14ac:dyDescent="0.25">
      <c r="A55" s="116"/>
      <c r="B55" s="116"/>
      <c r="C55" s="116"/>
      <c r="D55" s="116"/>
      <c r="E55" s="116"/>
      <c r="F55" s="116"/>
      <c r="G55" s="116"/>
      <c r="H55" s="116"/>
      <c r="I55" s="116"/>
      <c r="J55" s="108"/>
    </row>
    <row r="56" spans="1:10" x14ac:dyDescent="0.25">
      <c r="A56" s="116"/>
      <c r="B56" s="116"/>
      <c r="C56" s="116"/>
      <c r="D56" s="116"/>
      <c r="E56" s="116"/>
      <c r="F56" s="116"/>
      <c r="G56" s="116"/>
      <c r="H56" s="116"/>
      <c r="I56" s="116"/>
      <c r="J56" s="108"/>
    </row>
    <row r="57" spans="1:10" x14ac:dyDescent="0.25">
      <c r="A57" s="116"/>
      <c r="B57" s="116"/>
      <c r="C57" s="116"/>
      <c r="D57" s="116"/>
      <c r="E57" s="116"/>
      <c r="F57" s="116"/>
      <c r="G57" s="116"/>
      <c r="H57" s="116"/>
      <c r="I57" s="116"/>
      <c r="J57" s="108"/>
    </row>
    <row r="58" spans="1:10" ht="14.4" x14ac:dyDescent="0.3">
      <c r="A58" s="109" t="s">
        <v>128</v>
      </c>
      <c r="B58" s="117"/>
      <c r="C58" s="117"/>
      <c r="D58" s="117"/>
      <c r="E58" s="117"/>
      <c r="F58" s="117"/>
      <c r="G58" s="117"/>
      <c r="H58" s="117"/>
      <c r="I58" s="117"/>
      <c r="J58" s="108"/>
    </row>
    <row r="59" spans="1:10" ht="27" customHeight="1" thickBot="1" x14ac:dyDescent="0.35">
      <c r="A59" s="102"/>
      <c r="B59" s="120" t="str">
        <f t="shared" ref="B59:I59" si="6">B2</f>
        <v>Maize (lower yield)</v>
      </c>
      <c r="C59" s="120" t="str">
        <f t="shared" si="6"/>
        <v>Maize (higher yield)</v>
      </c>
      <c r="D59" s="120" t="str">
        <f t="shared" si="6"/>
        <v>Maize (Bt)</v>
      </c>
      <c r="E59" s="120" t="str">
        <f t="shared" si="6"/>
        <v>Sunflower</v>
      </c>
      <c r="F59" s="120" t="str">
        <f t="shared" si="6"/>
        <v>Soybean</v>
      </c>
      <c r="G59" s="120" t="str">
        <f t="shared" si="6"/>
        <v>Grain Sorghum</v>
      </c>
      <c r="H59" s="120" t="str">
        <f t="shared" si="6"/>
        <v>Groundnuts</v>
      </c>
      <c r="I59" s="120" t="str">
        <f t="shared" si="6"/>
        <v>Irr-Maize</v>
      </c>
      <c r="J59" s="108"/>
    </row>
    <row r="60" spans="1:10" ht="14.4" x14ac:dyDescent="0.3">
      <c r="A60" s="237" t="s">
        <v>116</v>
      </c>
      <c r="B60" s="110">
        <f t="shared" ref="B60:I60" si="7">B5</f>
        <v>4455</v>
      </c>
      <c r="C60" s="110">
        <f t="shared" si="7"/>
        <v>4455</v>
      </c>
      <c r="D60" s="110">
        <f t="shared" si="7"/>
        <v>4455</v>
      </c>
      <c r="E60" s="110">
        <f t="shared" si="7"/>
        <v>9600</v>
      </c>
      <c r="F60" s="110">
        <f t="shared" si="7"/>
        <v>7400</v>
      </c>
      <c r="G60" s="110">
        <f t="shared" si="7"/>
        <v>4993</v>
      </c>
      <c r="H60" s="110">
        <f t="shared" si="7"/>
        <v>14695</v>
      </c>
      <c r="I60" s="110">
        <f t="shared" si="7"/>
        <v>4455</v>
      </c>
      <c r="J60" s="108"/>
    </row>
    <row r="61" spans="1:10" x14ac:dyDescent="0.25">
      <c r="A61" s="111" t="s">
        <v>129</v>
      </c>
      <c r="B61" s="119">
        <f t="shared" ref="B61:I61" si="8">B4</f>
        <v>4</v>
      </c>
      <c r="C61" s="119">
        <f t="shared" si="8"/>
        <v>6</v>
      </c>
      <c r="D61" s="119">
        <f t="shared" si="8"/>
        <v>4.5</v>
      </c>
      <c r="E61" s="119">
        <f t="shared" si="8"/>
        <v>1.75</v>
      </c>
      <c r="F61" s="119">
        <f t="shared" si="8"/>
        <v>2.25</v>
      </c>
      <c r="G61" s="119">
        <f t="shared" si="8"/>
        <v>3</v>
      </c>
      <c r="H61" s="119">
        <f t="shared" si="8"/>
        <v>1.5</v>
      </c>
      <c r="I61" s="119">
        <f t="shared" si="8"/>
        <v>14</v>
      </c>
      <c r="J61" s="108"/>
    </row>
    <row r="62" spans="1:10" x14ac:dyDescent="0.25">
      <c r="A62" s="111"/>
      <c r="B62" s="119"/>
      <c r="C62" s="119"/>
      <c r="D62" s="119"/>
      <c r="E62" s="119"/>
      <c r="F62" s="119"/>
      <c r="G62" s="119"/>
      <c r="H62" s="119"/>
      <c r="I62" s="119"/>
      <c r="J62" s="108"/>
    </row>
    <row r="63" spans="1:10" ht="14.4" x14ac:dyDescent="0.3">
      <c r="A63" s="238" t="s">
        <v>114</v>
      </c>
      <c r="B63" s="121"/>
      <c r="C63" s="121"/>
      <c r="D63" s="121"/>
      <c r="E63" s="121"/>
      <c r="F63" s="121"/>
      <c r="G63" s="121"/>
      <c r="H63" s="121"/>
      <c r="I63" s="121"/>
      <c r="J63" s="108"/>
    </row>
    <row r="64" spans="1:10" x14ac:dyDescent="0.25">
      <c r="A64" s="111" t="s">
        <v>130</v>
      </c>
      <c r="B64" s="110">
        <f t="shared" ref="B64:I64" si="9">B7</f>
        <v>4035</v>
      </c>
      <c r="C64" s="110">
        <f t="shared" si="9"/>
        <v>4035</v>
      </c>
      <c r="D64" s="110">
        <f t="shared" si="9"/>
        <v>4035</v>
      </c>
      <c r="E64" s="110">
        <f t="shared" si="9"/>
        <v>8876</v>
      </c>
      <c r="F64" s="110">
        <f t="shared" si="9"/>
        <v>7182</v>
      </c>
      <c r="G64" s="110">
        <f t="shared" si="9"/>
        <v>4930</v>
      </c>
      <c r="H64" s="110">
        <f t="shared" si="9"/>
        <v>14632</v>
      </c>
      <c r="I64" s="110">
        <f t="shared" si="9"/>
        <v>4035</v>
      </c>
      <c r="J64" s="108"/>
    </row>
    <row r="65" spans="1:10" x14ac:dyDescent="0.25">
      <c r="A65" s="111" t="s">
        <v>131</v>
      </c>
      <c r="B65" s="110">
        <f t="shared" ref="B65:I65" si="10">B64/B61</f>
        <v>1008.75</v>
      </c>
      <c r="C65" s="110">
        <f t="shared" si="10"/>
        <v>672.5</v>
      </c>
      <c r="D65" s="110">
        <f t="shared" si="10"/>
        <v>896.66666666666663</v>
      </c>
      <c r="E65" s="110">
        <f t="shared" si="10"/>
        <v>5072</v>
      </c>
      <c r="F65" s="110">
        <f t="shared" si="10"/>
        <v>3192</v>
      </c>
      <c r="G65" s="110">
        <f t="shared" si="10"/>
        <v>1643.3333333333333</v>
      </c>
      <c r="H65" s="110">
        <f t="shared" si="10"/>
        <v>9754.6666666666661</v>
      </c>
      <c r="I65" s="110">
        <f t="shared" si="10"/>
        <v>288.21428571428572</v>
      </c>
      <c r="J65" s="108"/>
    </row>
    <row r="66" spans="1:10" x14ac:dyDescent="0.25">
      <c r="A66" s="111"/>
      <c r="B66" s="110"/>
      <c r="C66" s="110"/>
      <c r="D66" s="110"/>
      <c r="E66" s="110"/>
      <c r="F66" s="110"/>
      <c r="G66" s="110"/>
      <c r="H66" s="110"/>
      <c r="I66" s="110"/>
      <c r="J66" s="108"/>
    </row>
    <row r="67" spans="1:10" ht="14.4" x14ac:dyDescent="0.3">
      <c r="A67" s="126" t="s">
        <v>132</v>
      </c>
      <c r="B67" s="121"/>
      <c r="C67" s="121"/>
      <c r="D67" s="121"/>
      <c r="E67" s="121"/>
      <c r="F67" s="121"/>
      <c r="G67" s="121"/>
      <c r="H67" s="121"/>
      <c r="I67" s="121"/>
      <c r="J67" s="108"/>
    </row>
    <row r="68" spans="1:10" x14ac:dyDescent="0.25">
      <c r="A68" s="124" t="s">
        <v>133</v>
      </c>
      <c r="B68" s="110">
        <f>B28</f>
        <v>13571.282999069645</v>
      </c>
      <c r="C68" s="110">
        <f t="shared" ref="C68:I68" si="11">C28</f>
        <v>17675.195159612522</v>
      </c>
      <c r="D68" s="110">
        <f t="shared" si="11"/>
        <v>14978.35111867034</v>
      </c>
      <c r="E68" s="110">
        <f t="shared" si="11"/>
        <v>10933.428150432577</v>
      </c>
      <c r="F68" s="110">
        <f t="shared" si="11"/>
        <v>13700.698659420732</v>
      </c>
      <c r="G68" s="110">
        <f t="shared" si="11"/>
        <v>10053.191887966301</v>
      </c>
      <c r="H68" s="110">
        <f t="shared" si="11"/>
        <v>12092.300011602458</v>
      </c>
      <c r="I68" s="110">
        <f t="shared" si="11"/>
        <v>42309.465306688413</v>
      </c>
      <c r="J68" s="108"/>
    </row>
    <row r="69" spans="1:10" x14ac:dyDescent="0.25">
      <c r="A69" s="124" t="s">
        <v>134</v>
      </c>
      <c r="B69" s="110">
        <f>B68/B61</f>
        <v>3392.8207497674111</v>
      </c>
      <c r="C69" s="110">
        <f t="shared" ref="C69:I69" si="12">C68/C61</f>
        <v>2945.8658599354203</v>
      </c>
      <c r="D69" s="110">
        <f t="shared" si="12"/>
        <v>3328.5224708156311</v>
      </c>
      <c r="E69" s="110">
        <f t="shared" si="12"/>
        <v>6247.6732288186158</v>
      </c>
      <c r="F69" s="110">
        <f t="shared" si="12"/>
        <v>6089.1994041869921</v>
      </c>
      <c r="G69" s="110">
        <f t="shared" si="12"/>
        <v>3351.0639626554334</v>
      </c>
      <c r="H69" s="110">
        <f t="shared" si="12"/>
        <v>8061.5333410683052</v>
      </c>
      <c r="I69" s="110">
        <f t="shared" si="12"/>
        <v>3022.104664763458</v>
      </c>
      <c r="J69" s="108"/>
    </row>
    <row r="70" spans="1:10" x14ac:dyDescent="0.25">
      <c r="A70" s="111"/>
      <c r="B70" s="110"/>
      <c r="C70" s="110"/>
      <c r="D70" s="110"/>
      <c r="E70" s="110"/>
      <c r="F70" s="110"/>
      <c r="G70" s="110"/>
      <c r="H70" s="110"/>
      <c r="I70" s="110"/>
      <c r="J70" s="108"/>
    </row>
    <row r="71" spans="1:10" x14ac:dyDescent="0.25">
      <c r="A71" s="111" t="s">
        <v>135</v>
      </c>
      <c r="B71" s="110">
        <f>B32</f>
        <v>16585.972999069643</v>
      </c>
      <c r="C71" s="110">
        <f t="shared" ref="C71:I71" si="13">C32</f>
        <v>20548.415159612523</v>
      </c>
      <c r="D71" s="110">
        <f t="shared" si="13"/>
        <v>18030.711118670341</v>
      </c>
      <c r="E71" s="110">
        <f t="shared" si="13"/>
        <v>13914.368150432578</v>
      </c>
      <c r="F71" s="110">
        <f t="shared" si="13"/>
        <v>16178.168659420731</v>
      </c>
      <c r="G71" s="110">
        <f t="shared" si="13"/>
        <v>12627.391887966302</v>
      </c>
      <c r="H71" s="110">
        <f t="shared" si="13"/>
        <v>15308.750011602457</v>
      </c>
      <c r="I71" s="110">
        <f t="shared" si="13"/>
        <v>47001.745306688412</v>
      </c>
      <c r="J71" s="108"/>
    </row>
    <row r="72" spans="1:10" x14ac:dyDescent="0.25">
      <c r="A72" s="111" t="s">
        <v>136</v>
      </c>
      <c r="B72" s="110">
        <f>B71/B61</f>
        <v>4146.4932497674108</v>
      </c>
      <c r="C72" s="110">
        <f t="shared" ref="C72:I72" si="14">C71/C61</f>
        <v>3424.7358599354206</v>
      </c>
      <c r="D72" s="110">
        <f t="shared" si="14"/>
        <v>4006.8246930378536</v>
      </c>
      <c r="E72" s="110">
        <f t="shared" si="14"/>
        <v>7951.0675145329014</v>
      </c>
      <c r="F72" s="110">
        <f t="shared" si="14"/>
        <v>7190.2971819647692</v>
      </c>
      <c r="G72" s="110">
        <f t="shared" si="14"/>
        <v>4209.1306293221005</v>
      </c>
      <c r="H72" s="110">
        <f t="shared" si="14"/>
        <v>10205.833341068304</v>
      </c>
      <c r="I72" s="110">
        <f t="shared" si="14"/>
        <v>3357.2675219063153</v>
      </c>
      <c r="J72" s="108"/>
    </row>
    <row r="73" spans="1:10" x14ac:dyDescent="0.25">
      <c r="A73" s="111"/>
      <c r="B73" s="110"/>
      <c r="C73" s="110"/>
      <c r="D73" s="110"/>
      <c r="E73" s="110"/>
      <c r="F73" s="110"/>
      <c r="G73" s="110"/>
      <c r="H73" s="110"/>
      <c r="I73" s="110"/>
      <c r="J73" s="108"/>
    </row>
    <row r="74" spans="1:10" x14ac:dyDescent="0.25">
      <c r="A74" s="123" t="s">
        <v>137</v>
      </c>
      <c r="B74" s="100"/>
      <c r="C74" s="100"/>
      <c r="D74" s="100"/>
      <c r="E74" s="100"/>
      <c r="F74" s="100"/>
      <c r="G74" s="100"/>
      <c r="H74" s="100"/>
      <c r="I74" s="100"/>
      <c r="J74" s="108"/>
    </row>
    <row r="75" spans="1:10" x14ac:dyDescent="0.25">
      <c r="A75" s="124" t="s">
        <v>138</v>
      </c>
      <c r="B75" s="110">
        <f>B34</f>
        <v>2568.7170009303554</v>
      </c>
      <c r="C75" s="110">
        <f t="shared" ref="C75:I75" si="15">C34</f>
        <v>6534.8048403874782</v>
      </c>
      <c r="D75" s="110">
        <f t="shared" si="15"/>
        <v>3179.1488813296601</v>
      </c>
      <c r="E75" s="110">
        <f t="shared" si="15"/>
        <v>4599.5718495674228</v>
      </c>
      <c r="F75" s="110">
        <f t="shared" si="15"/>
        <v>2458.8013405792681</v>
      </c>
      <c r="G75" s="110">
        <f t="shared" si="15"/>
        <v>4736.8081120336992</v>
      </c>
      <c r="H75" s="110">
        <f t="shared" si="15"/>
        <v>9855.6999883975423</v>
      </c>
      <c r="I75" s="110">
        <f t="shared" si="15"/>
        <v>14180.534693311587</v>
      </c>
      <c r="J75" s="108"/>
    </row>
    <row r="76" spans="1:10" x14ac:dyDescent="0.25">
      <c r="A76" s="124" t="s">
        <v>139</v>
      </c>
      <c r="B76" s="110">
        <f>B75/B61</f>
        <v>642.17925023258886</v>
      </c>
      <c r="C76" s="110">
        <f t="shared" ref="C76:I76" si="16">C75/C61</f>
        <v>1089.1341400645797</v>
      </c>
      <c r="D76" s="110">
        <f t="shared" si="16"/>
        <v>706.4775291843689</v>
      </c>
      <c r="E76" s="110">
        <f t="shared" si="16"/>
        <v>2628.3267711813846</v>
      </c>
      <c r="F76" s="110">
        <f t="shared" si="16"/>
        <v>1092.8005958130079</v>
      </c>
      <c r="G76" s="110">
        <f t="shared" si="16"/>
        <v>1578.9360373445663</v>
      </c>
      <c r="H76" s="110">
        <f t="shared" si="16"/>
        <v>6570.4666589316948</v>
      </c>
      <c r="I76" s="110">
        <f t="shared" si="16"/>
        <v>1012.8953352365419</v>
      </c>
      <c r="J76" s="108"/>
    </row>
    <row r="77" spans="1:10" x14ac:dyDescent="0.25">
      <c r="A77" s="111"/>
      <c r="B77" s="110"/>
      <c r="C77" s="110"/>
      <c r="D77" s="110"/>
      <c r="E77" s="110"/>
      <c r="F77" s="110"/>
      <c r="G77" s="110"/>
      <c r="H77" s="110"/>
      <c r="I77" s="110"/>
      <c r="J77" s="108"/>
    </row>
    <row r="78" spans="1:10" x14ac:dyDescent="0.25">
      <c r="A78" s="111" t="s">
        <v>140</v>
      </c>
      <c r="B78" s="110">
        <f>B35</f>
        <v>-445.97299906964327</v>
      </c>
      <c r="C78" s="110">
        <f t="shared" ref="C78:I78" si="17">C35</f>
        <v>3661.584840387477</v>
      </c>
      <c r="D78" s="110">
        <f t="shared" si="17"/>
        <v>126.78888132965949</v>
      </c>
      <c r="E78" s="110">
        <f t="shared" si="17"/>
        <v>1618.6318495674223</v>
      </c>
      <c r="F78" s="110">
        <f t="shared" si="17"/>
        <v>-18.668659420731274</v>
      </c>
      <c r="G78" s="110">
        <f t="shared" si="17"/>
        <v>2162.6081120336985</v>
      </c>
      <c r="H78" s="110">
        <f t="shared" si="17"/>
        <v>6639.2499883975433</v>
      </c>
      <c r="I78" s="110">
        <f t="shared" si="17"/>
        <v>9488.2546933115882</v>
      </c>
      <c r="J78" s="108"/>
    </row>
    <row r="79" spans="1:10" x14ac:dyDescent="0.25">
      <c r="A79" s="111" t="s">
        <v>141</v>
      </c>
      <c r="B79" s="110">
        <f t="shared" ref="B79:I79" si="18">B78/B4</f>
        <v>-111.49324976741082</v>
      </c>
      <c r="C79" s="110">
        <f t="shared" si="18"/>
        <v>610.26414006457946</v>
      </c>
      <c r="D79" s="110">
        <f t="shared" si="18"/>
        <v>28.175306962146554</v>
      </c>
      <c r="E79" s="110">
        <f t="shared" si="18"/>
        <v>924.93248546709845</v>
      </c>
      <c r="F79" s="110">
        <f t="shared" si="18"/>
        <v>-8.2971819647694556</v>
      </c>
      <c r="G79" s="110">
        <f t="shared" si="18"/>
        <v>720.8693706778995</v>
      </c>
      <c r="H79" s="110">
        <f t="shared" si="18"/>
        <v>4426.1666589316956</v>
      </c>
      <c r="I79" s="110">
        <f t="shared" si="18"/>
        <v>677.7324780936849</v>
      </c>
      <c r="J79" s="108"/>
    </row>
    <row r="80" spans="1:10" x14ac:dyDescent="0.25">
      <c r="A80" s="111"/>
      <c r="B80" s="110"/>
      <c r="C80" s="110"/>
      <c r="D80" s="110"/>
      <c r="E80" s="110"/>
      <c r="F80" s="110"/>
      <c r="G80" s="110"/>
      <c r="H80" s="110"/>
      <c r="I80" s="110"/>
      <c r="J80" s="108"/>
    </row>
    <row r="81" spans="1:10" ht="14.4" x14ac:dyDescent="0.3">
      <c r="A81" s="125" t="s">
        <v>142</v>
      </c>
      <c r="B81" s="100"/>
      <c r="C81" s="100"/>
      <c r="D81" s="100"/>
      <c r="E81" s="100"/>
      <c r="F81" s="100"/>
      <c r="G81" s="100"/>
      <c r="H81" s="100"/>
      <c r="I81" s="100"/>
      <c r="J81" s="108"/>
    </row>
    <row r="82" spans="1:10" ht="13.8" thickBot="1" x14ac:dyDescent="0.3">
      <c r="A82" s="124" t="s">
        <v>143</v>
      </c>
      <c r="B82" s="99">
        <f>B68/B64</f>
        <v>3.3633910778363432</v>
      </c>
      <c r="C82" s="99">
        <f t="shared" ref="C82:I82" si="19">C68/C64</f>
        <v>4.3804696802013687</v>
      </c>
      <c r="D82" s="99">
        <f t="shared" si="19"/>
        <v>3.7121068447757968</v>
      </c>
      <c r="E82" s="99">
        <f t="shared" si="19"/>
        <v>1.231796772243418</v>
      </c>
      <c r="F82" s="99">
        <f t="shared" si="19"/>
        <v>1.9076439236174787</v>
      </c>
      <c r="G82" s="99">
        <f t="shared" si="19"/>
        <v>2.0391869955306898</v>
      </c>
      <c r="H82" s="99">
        <f t="shared" si="19"/>
        <v>0.82642837695478799</v>
      </c>
      <c r="I82" s="99">
        <f t="shared" si="19"/>
        <v>10.485617176378788</v>
      </c>
      <c r="J82" s="108"/>
    </row>
    <row r="83" spans="1:10" ht="14.4" thickTop="1" thickBot="1" x14ac:dyDescent="0.3">
      <c r="A83" s="124" t="s">
        <v>144</v>
      </c>
      <c r="B83" s="112">
        <f>B69+B6</f>
        <v>3812.8207497674111</v>
      </c>
      <c r="C83" s="112">
        <f t="shared" ref="C83:I83" si="20">C69+C6</f>
        <v>3365.8658599354203</v>
      </c>
      <c r="D83" s="112">
        <f t="shared" si="20"/>
        <v>3748.5224708156311</v>
      </c>
      <c r="E83" s="112">
        <f t="shared" si="20"/>
        <v>6971.6732288186158</v>
      </c>
      <c r="F83" s="112">
        <f t="shared" si="20"/>
        <v>6307.1994041869921</v>
      </c>
      <c r="G83" s="112">
        <f t="shared" si="20"/>
        <v>3414.0639626554334</v>
      </c>
      <c r="H83" s="112">
        <f t="shared" si="20"/>
        <v>8124.5333410683052</v>
      </c>
      <c r="I83" s="112">
        <f t="shared" si="20"/>
        <v>3442.104664763458</v>
      </c>
      <c r="J83" s="108"/>
    </row>
    <row r="84" spans="1:10" ht="15" thickTop="1" x14ac:dyDescent="0.3">
      <c r="A84" s="125" t="s">
        <v>145</v>
      </c>
      <c r="B84" s="100"/>
      <c r="C84" s="100"/>
      <c r="D84" s="100"/>
      <c r="E84" s="100"/>
      <c r="F84" s="100"/>
      <c r="G84" s="100"/>
      <c r="H84" s="100"/>
      <c r="I84" s="100"/>
      <c r="J84" s="108"/>
    </row>
    <row r="85" spans="1:10" ht="13.8" thickBot="1" x14ac:dyDescent="0.3">
      <c r="A85" s="124" t="s">
        <v>143</v>
      </c>
      <c r="B85" s="99">
        <f>B71/B64</f>
        <v>4.110526145989998</v>
      </c>
      <c r="C85" s="99">
        <f t="shared" ref="C85:I85" si="21">C71/C64</f>
        <v>5.0925440296437481</v>
      </c>
      <c r="D85" s="99">
        <f t="shared" si="21"/>
        <v>4.468577724577532</v>
      </c>
      <c r="E85" s="99">
        <f t="shared" si="21"/>
        <v>1.567639494190241</v>
      </c>
      <c r="F85" s="99">
        <f t="shared" si="21"/>
        <v>2.252599367783449</v>
      </c>
      <c r="G85" s="99">
        <f t="shared" si="21"/>
        <v>2.5613370969505684</v>
      </c>
      <c r="H85" s="99">
        <f t="shared" si="21"/>
        <v>1.0462513676600913</v>
      </c>
      <c r="I85" s="99">
        <f t="shared" si="21"/>
        <v>11.648511848002086</v>
      </c>
      <c r="J85" s="108"/>
    </row>
    <row r="86" spans="1:10" ht="14.4" thickTop="1" thickBot="1" x14ac:dyDescent="0.3">
      <c r="A86" s="111" t="s">
        <v>144</v>
      </c>
      <c r="B86" s="112">
        <f>B72+B6</f>
        <v>4566.4932497674108</v>
      </c>
      <c r="C86" s="112">
        <f t="shared" ref="C86:I86" si="22">C72+C6</f>
        <v>3844.7358599354206</v>
      </c>
      <c r="D86" s="112">
        <f t="shared" si="22"/>
        <v>4426.8246930378536</v>
      </c>
      <c r="E86" s="112">
        <f t="shared" si="22"/>
        <v>8675.0675145329005</v>
      </c>
      <c r="F86" s="112">
        <f t="shared" si="22"/>
        <v>7408.2971819647692</v>
      </c>
      <c r="G86" s="112">
        <f t="shared" si="22"/>
        <v>4272.1306293221005</v>
      </c>
      <c r="H86" s="112">
        <f t="shared" si="22"/>
        <v>10268.833341068304</v>
      </c>
      <c r="I86" s="112">
        <f t="shared" si="22"/>
        <v>3777.2675219063153</v>
      </c>
      <c r="J86" s="108"/>
    </row>
    <row r="87" spans="1:10" ht="13.8" thickTop="1" x14ac:dyDescent="0.25"/>
  </sheetData>
  <mergeCells count="1">
    <mergeCell ref="A37:I37"/>
  </mergeCells>
  <conditionalFormatting sqref="B34:I36">
    <cfRule type="colorScale" priority="64">
      <colorScale>
        <cfvo type="min"/>
        <cfvo type="percentile" val="50"/>
        <cfvo type="max"/>
        <color rgb="FFF8696B"/>
        <color rgb="FFFFEB84"/>
        <color rgb="FF63BE7B"/>
      </colorScale>
    </cfRule>
  </conditionalFormatting>
  <conditionalFormatting sqref="E34:I36">
    <cfRule type="colorScale" priority="3">
      <colorScale>
        <cfvo type="min"/>
        <cfvo type="percentile" val="50"/>
        <cfvo type="max"/>
        <color rgb="FFF8696B"/>
        <color rgb="FFFFEB84"/>
        <color rgb="FF63BE7B"/>
      </colorScale>
    </cfRule>
  </conditionalFormatting>
  <conditionalFormatting sqref="E35:I35 B35:D36 B34:I34">
    <cfRule type="colorScale" priority="2">
      <colorScale>
        <cfvo type="min"/>
        <cfvo type="percentile" val="50"/>
        <cfvo type="max"/>
        <color rgb="FFF8696B"/>
        <color rgb="FFFFEB84"/>
        <color rgb="FF63BE7B"/>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7b95ce-97cf-4a61-8884-fde260c16070" xsi:nil="true"/>
    <lcf76f155ced4ddcb4097134ff3c332f xmlns="25435354-646d-4f90-a923-d4d04749eaf7">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EB078C1C8474F8AAD7AD9366D8E54" ma:contentTypeVersion="19" ma:contentTypeDescription="Create a new document." ma:contentTypeScope="" ma:versionID="f067c3b21b4b898d5ec7e227a0bb26eb">
  <xsd:schema xmlns:xsd="http://www.w3.org/2001/XMLSchema" xmlns:xs="http://www.w3.org/2001/XMLSchema" xmlns:p="http://schemas.microsoft.com/office/2006/metadata/properties" xmlns:ns2="25435354-646d-4f90-a923-d4d04749eaf7" xmlns:ns3="5d7b95ce-97cf-4a61-8884-fde260c16070" targetNamespace="http://schemas.microsoft.com/office/2006/metadata/properties" ma:root="true" ma:fieldsID="58b85da5961b648019cc234b526c8ef2" ns2:_="" ns3:_="">
    <xsd:import namespace="25435354-646d-4f90-a923-d4d04749eaf7"/>
    <xsd:import namespace="5d7b95ce-97cf-4a61-8884-fde260c160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35354-646d-4f90-a923-d4d04749e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362023-a8c1-4b5e-9a31-595cfc7316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7b95ce-97cf-4a61-8884-fde260c160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09ad402-32d3-4889-bd98-4915c3de7cc5}" ma:internalName="TaxCatchAll" ma:showField="CatchAllData" ma:web="5d7b95ce-97cf-4a61-8884-fde260c16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E82B7-1571-46C7-A951-94BE145F8682}">
  <ds:schemaRefs>
    <ds:schemaRef ds:uri="http://schemas.microsoft.com/office/2006/documentManagement/types"/>
    <ds:schemaRef ds:uri="http://schemas.openxmlformats.org/package/2006/metadata/core-properties"/>
    <ds:schemaRef ds:uri="25435354-646d-4f90-a923-d4d04749eaf7"/>
    <ds:schemaRef ds:uri="http://purl.org/dc/terms/"/>
    <ds:schemaRef ds:uri="http://schemas.microsoft.com/office/infopath/2007/PartnerControls"/>
    <ds:schemaRef ds:uri="http://purl.org/dc/elements/1.1/"/>
    <ds:schemaRef ds:uri="http://purl.org/dc/dcmitype/"/>
    <ds:schemaRef ds:uri="5d7b95ce-97cf-4a61-8884-fde260c1607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A27C4FE-94EC-4313-BE22-5577F9A47DB4}">
  <ds:schemaRefs>
    <ds:schemaRef ds:uri="http://schemas.microsoft.com/office/2006/metadata/longProperties"/>
  </ds:schemaRefs>
</ds:datastoreItem>
</file>

<file path=customXml/itemProps3.xml><?xml version="1.0" encoding="utf-8"?>
<ds:datastoreItem xmlns:ds="http://schemas.openxmlformats.org/officeDocument/2006/customXml" ds:itemID="{205AFD5C-B7C5-4261-894E-65331DDE2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435354-646d-4f90-a923-d4d04749eaf7"/>
    <ds:schemaRef ds:uri="5d7b95ce-97cf-4a61-8884-fde260c16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C1FEC93-6801-41ED-8C47-7DDA3A68BD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Pryse + Sensatiwiteitsanali</vt:lpstr>
      <vt:lpstr>W-RR mielies Laer opbrengs </vt:lpstr>
      <vt:lpstr>W-RR mielies Hoer opbrengs  </vt:lpstr>
      <vt:lpstr>W-BT Mielies </vt:lpstr>
      <vt:lpstr>Sonneblom</vt:lpstr>
      <vt:lpstr>Sojabone</vt:lpstr>
      <vt:lpstr>Graansorghum</vt:lpstr>
      <vt:lpstr>Grondbone</vt:lpstr>
      <vt:lpstr>Crop Comparison</vt:lpstr>
      <vt:lpstr>Bes-mielies</vt:lpstr>
      <vt:lpstr>Grafieke</vt:lpstr>
      <vt:lpstr>BTopbrengspeil</vt:lpstr>
      <vt:lpstr>'Bes-mielies'!Print_Area</vt:lpstr>
      <vt:lpstr>Graansorghum!Print_Area</vt:lpstr>
      <vt:lpstr>Grondbone!Print_Area</vt:lpstr>
      <vt:lpstr>Sojabone!Print_Area</vt:lpstr>
      <vt:lpstr>Sonneblom!Print_Area</vt:lpstr>
      <vt:lpstr>'W-BT Mielies '!Print_Area</vt:lpstr>
      <vt:lpstr>'W-RR mielies Hoer opbrengs  '!Print_Area</vt:lpstr>
      <vt:lpstr>'W-RR mielies Laer opbrengs '!Print_Area</vt:lpstr>
      <vt:lpstr>RRHpbrengspeil</vt:lpstr>
      <vt:lpstr>RRLopbrengspeil</vt:lpstr>
      <vt:lpstr>RRopbrengspeil</vt:lpstr>
      <vt:lpstr>Sojaopbrengspeil</vt:lpstr>
      <vt:lpstr>Sonopbrengspeil</vt:lpstr>
      <vt:lpstr>Sorgopbrengspeil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Private</dc:creator>
  <cp:keywords/>
  <dc:description/>
  <cp:lastModifiedBy>Marguerite Pienaar</cp:lastModifiedBy>
  <cp:revision/>
  <dcterms:created xsi:type="dcterms:W3CDTF">2007-01-09T12:07:13Z</dcterms:created>
  <dcterms:modified xsi:type="dcterms:W3CDTF">2025-09-30T11:08:53Z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Petru Fourie</vt:lpwstr>
  </property>
  <property fmtid="{D5CDD505-2E9C-101B-9397-08002B2CF9AE}" pid="3" name="Order">
    <vt:lpwstr>16553000.0000000</vt:lpwstr>
  </property>
  <property fmtid="{D5CDD505-2E9C-101B-9397-08002B2CF9AE}" pid="4" name="display_urn:schemas-microsoft-com:office:office#Author">
    <vt:lpwstr>Petru Fourie</vt:lpwstr>
  </property>
  <property fmtid="{D5CDD505-2E9C-101B-9397-08002B2CF9AE}" pid="5" name="MediaServiceImageTags">
    <vt:lpwstr/>
  </property>
  <property fmtid="{D5CDD505-2E9C-101B-9397-08002B2CF9AE}" pid="6" name="ContentTypeId">
    <vt:lpwstr>0x010100ED8EB078C1C8474F8AAD7AD9366D8E54</vt:lpwstr>
  </property>
</Properties>
</file>