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883" activeTab="0"/>
  </bookViews>
  <sheets>
    <sheet name="Pryse + Sensatiwiteitsanali" sheetId="1" r:id="rId1"/>
    <sheet name="W-RR mielies Laer opbrengs " sheetId="2" r:id="rId2"/>
    <sheet name="W-RR mielies Hoer opbrengs  " sheetId="3" r:id="rId3"/>
    <sheet name="W-BT Mielies " sheetId="4" r:id="rId4"/>
    <sheet name="Sonneblom" sheetId="5" r:id="rId5"/>
    <sheet name="Sojabone" sheetId="6" r:id="rId6"/>
    <sheet name="Graansorghum" sheetId="7" r:id="rId7"/>
    <sheet name="Grondbone" sheetId="8" r:id="rId8"/>
    <sheet name="Bes-mielies" sheetId="9" r:id="rId9"/>
    <sheet name="Crop Comparison" sheetId="10" r:id="rId10"/>
  </sheets>
  <externalReferences>
    <externalReference r:id="rId13"/>
  </externalReferences>
  <definedNames>
    <definedName name="_xlfn.AGGREGATE" hidden="1">#NAME?</definedName>
    <definedName name="BTopbrengspeil">'W-BT Mielies '!$M$9:$M$14</definedName>
    <definedName name="_xlnm.Print_Area" localSheetId="8">'Bes-mielies'!$A$1:$I$44</definedName>
    <definedName name="_xlnm.Print_Area" localSheetId="6">'Graansorghum'!$A$1:$I$39</definedName>
    <definedName name="_xlnm.Print_Area" localSheetId="7">'Grondbone'!$A$1:$I$47</definedName>
    <definedName name="_xlnm.Print_Area" localSheetId="5">'Sojabone'!$A$1:$I$39</definedName>
    <definedName name="_xlnm.Print_Area" localSheetId="4">'Sonneblom'!$A$1:$I$39</definedName>
    <definedName name="_xlnm.Print_Area" localSheetId="3">'W-BT Mielies '!$A$1:$I$43</definedName>
    <definedName name="_xlnm.Print_Area" localSheetId="2">'W-RR mielies Hoer opbrengs  '!$A$1:$I$43</definedName>
    <definedName name="_xlnm.Print_Area" localSheetId="1">'W-RR mielies Laer opbrengs '!$A$1:$I$47</definedName>
    <definedName name="RRHpbrengspeil">'W-RR mielies Hoer opbrengs  '!$M$9:$M$14</definedName>
    <definedName name="RRLopbrengspeil">'W-RR mielies Laer opbrengs '!$M$9:$M$14</definedName>
    <definedName name="RRopbrengspeil">'W-RR mielies Laer opbrengs '!$M$9:$M$14</definedName>
    <definedName name="RRopbrens">'[1]W-BT Mielies'!$K$9:$K$14</definedName>
    <definedName name="Sojaopbrengspeil">'Sojabone'!$M$9:$M$13</definedName>
    <definedName name="Sonopbrengspeil">'Sonneblom'!$M$9:$M$14</definedName>
    <definedName name="Sorgopbrengspeil">'Graansorghum'!$M$9:$M$13</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<sst xmlns="http://schemas.openxmlformats.org/spreadsheetml/2006/main" count="489" uniqueCount="152">
  <si>
    <t>Rand/ton</t>
  </si>
  <si>
    <t>Produsent prys raming vir droëland SONNEBLOM vir die                                                    Producer price framework for dry land SUNFLOWER for the</t>
  </si>
  <si>
    <t>Produsent prys raming vir droëland GRAANSORGHUM vir die                                                                 Producer price framework for dry land GRAIN SORGHUM for the</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</si>
  <si>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</si>
  <si>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</si>
  <si>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</si>
  <si>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</si>
  <si>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</si>
  <si>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</si>
  <si>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</si>
  <si>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</si>
  <si>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</si>
  <si>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</si>
  <si>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</si>
  <si>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</si>
  <si>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</si>
  <si>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</si>
  <si>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</si>
  <si>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</si>
  <si>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</si>
  <si>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</si>
  <si>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</si>
  <si>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</si>
  <si>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</si>
  <si>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</si>
  <si>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</si>
  <si>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</si>
  <si>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</si>
  <si>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</si>
  <si>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</si>
  <si>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t>Verwagte minimum prys SONDER wins/ Expected minimum price, WITHOUT profit</t>
  </si>
  <si>
    <t>Huidige prys / Current price (keur)</t>
  </si>
  <si>
    <t>Gemiddelde prys vir al die grade / Average price for all the grades</t>
  </si>
  <si>
    <t>Besproeiingskoste / Irrigation cost</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</si>
  <si>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</si>
  <si>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</si>
  <si>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</si>
  <si>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</si>
  <si>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t>Produsent prys raming vir droëland GRONDBONE vir die /                                                               Producer price framework for dry land GROUNDNUTS for the</t>
  </si>
  <si>
    <t>Produsent prys raming vir droëland SOJABONE vir die                                                                              Producer price framework for dry land SOYBEANS for the</t>
  </si>
  <si>
    <t>Produsent prys raming vir BESPROEIING MIELIES vir die                                                                Producer price framework for IRRIGATION MAIZE for the</t>
  </si>
  <si>
    <t>Gewas</t>
  </si>
  <si>
    <t>SAFEX pryse (R/ton)</t>
  </si>
  <si>
    <t>Total deductions (R/ton)</t>
  </si>
  <si>
    <t xml:space="preserve">                    Diverse</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</si>
  <si>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</si>
  <si>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</si>
  <si>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</si>
  <si>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</si>
  <si>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</si>
  <si>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</si>
  <si>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</si>
  <si>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</si>
  <si>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</si>
  <si>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</si>
  <si>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</si>
  <si>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t xml:space="preserve">NWFS </t>
  </si>
  <si>
    <t>Graadverdeling / Grade distribution</t>
  </si>
  <si>
    <t>Prys per graad / Price per grade (R/ton)</t>
  </si>
  <si>
    <t>%</t>
  </si>
  <si>
    <t>Diverse / Diverse</t>
  </si>
  <si>
    <t xml:space="preserve">Pers (eet) / Crusch </t>
  </si>
  <si>
    <t>Pers (olie)</t>
  </si>
  <si>
    <t>Hooi verkope / sales</t>
  </si>
  <si>
    <t>Gemiddelde prys vir al die grade / Average price for all grades</t>
  </si>
  <si>
    <t>Datum opgedateer / Date updated</t>
  </si>
  <si>
    <t>BT MIELIES / BT MAIZE</t>
  </si>
  <si>
    <t>ROUNDUP READY MIELIES (Laer potensiaal) / ROUNDUP READY MAIZE (Lower potential)</t>
  </si>
  <si>
    <t>SOJABONE / SOYBEANS</t>
  </si>
  <si>
    <t>SONNEBLOM / SUNFLOWER</t>
  </si>
  <si>
    <t>GRAANSORGHUM / GRAIN SORGHUM</t>
  </si>
  <si>
    <t>Graansorghum / Grain sorghum</t>
  </si>
  <si>
    <t xml:space="preserve">                    Pers (eet) / Crush (eat)</t>
  </si>
  <si>
    <t xml:space="preserve">                    Pers (olie) / Crush (oil)</t>
  </si>
  <si>
    <t>Opbrengspeil</t>
  </si>
  <si>
    <t>Lopende koste</t>
  </si>
  <si>
    <t>Oorhoofse koste</t>
  </si>
  <si>
    <t>RRLMielies</t>
  </si>
  <si>
    <t>RRHMielies</t>
  </si>
  <si>
    <t>BTMielies</t>
  </si>
  <si>
    <t>Sonneblom</t>
  </si>
  <si>
    <t>Sojabone</t>
  </si>
  <si>
    <t>Sorghum</t>
  </si>
  <si>
    <t xml:space="preserve">                    Hooi verkope / sales</t>
  </si>
  <si>
    <r>
      <t>ROUNDUP READY MIELIES (Ho</t>
    </r>
    <r>
      <rPr>
        <b/>
        <sz val="10"/>
        <rFont val="Calibri"/>
        <family val="2"/>
      </rPr>
      <t>ё</t>
    </r>
    <r>
      <rPr>
        <b/>
        <sz val="10"/>
        <rFont val="Arial"/>
        <family val="2"/>
      </rPr>
      <t>r potensiaal) / ROUNDUP READY MAIZE (Higher potential)</t>
    </r>
  </si>
  <si>
    <t>MIELIES: SENSITIWITEITSANALISE - TOTALE KOSTES ( DIREKTE KOSTE + VASTE KOSTE) R/ton</t>
  </si>
  <si>
    <t>SONNEBLOM: SENSITIWITEITSANALISE - TOTALE KOSTES ( DIREKTE KOSTE + VASTE KOSTE) R/ton</t>
  </si>
  <si>
    <t>SOJABONE: SENSITIWITEITSANALISE - TOTALE KOSTES ( DIREKTE KOSTE + VASTE KOSTE) R/ton</t>
  </si>
  <si>
    <t>SORGHUM: SENSITIWITEITSANALISE - TOTALE KOSTES ( DIREKTE KOSTE + VASTE KOSTE) R/ton</t>
  </si>
  <si>
    <t>SORGHUM: SENSATIWITIETSANALISE - DIREKTE KOSTE R/ton</t>
  </si>
  <si>
    <t>SOJABONE: SENSITIWITEITSANALISE - DIREKTE KOSTE R/ton</t>
  </si>
  <si>
    <t>SONNEBLOM: SENSITIWITEITSANALISE - DIREKTE KOSTE R/ton</t>
  </si>
  <si>
    <t>MIELIES: SENSITIWITEITSANALISE - DIREKTE KOSTE R/ton</t>
  </si>
  <si>
    <t xml:space="preserve">Crop </t>
  </si>
  <si>
    <t>Maize (lower yield)</t>
  </si>
  <si>
    <t>Maize (higher yield)</t>
  </si>
  <si>
    <t>Maize (Bt)</t>
  </si>
  <si>
    <t>Sunflower</t>
  </si>
  <si>
    <t>Soy bean</t>
  </si>
  <si>
    <t>Grain Sorghum</t>
  </si>
  <si>
    <t>Groundnuts</t>
  </si>
  <si>
    <t>Irr-Maize</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</si>
  <si>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</si>
  <si>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</si>
  <si>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</si>
  <si>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</si>
  <si>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</si>
  <si>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</si>
  <si>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</si>
  <si>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</si>
  <si>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</si>
  <si>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</si>
  <si>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</si>
  <si>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</si>
  <si>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t xml:space="preserve">SUMMARY </t>
  </si>
  <si>
    <t>LGO (ton/ha)</t>
  </si>
  <si>
    <t>Net Farm Gate Price (R/ha)</t>
  </si>
  <si>
    <t>Net Farm Gate Price (R/ton)</t>
  </si>
  <si>
    <t>Total variable &amp; fixed expenditure (R/ha)</t>
  </si>
  <si>
    <t>Total variable &amp; fixed expenditure (R/ton)</t>
  </si>
  <si>
    <t>Nett margin (R/ha)</t>
  </si>
  <si>
    <t>Net margin (R/ton)</t>
  </si>
  <si>
    <t>Break-even yields (t/ha)</t>
  </si>
  <si>
    <t>Break-even Safex price (t/ha)</t>
  </si>
  <si>
    <r>
      <rPr>
        <b/>
        <sz val="11"/>
        <color indexed="8"/>
        <rFont val="Calibri"/>
        <family val="2"/>
      </rPr>
      <t>Disclaimer:</t>
    </r>
    <r>
      <rPr>
        <sz val="10"/>
        <rFont val="Arial"/>
        <family val="0"/>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</si>
  <si>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2) EXPENDITURES </t>
  </si>
  <si>
    <t>Total variable cost (R/ha)</t>
  </si>
  <si>
    <t>Total variable cost (R/ton)</t>
  </si>
  <si>
    <t>3) MARGIN</t>
  </si>
  <si>
    <t>Gross margin (R/ha)</t>
  </si>
  <si>
    <t>Gross margin (R/ton)</t>
  </si>
  <si>
    <t>BREAK-EVEN &amp; PROFITABILITY (ONLY variable cost)</t>
  </si>
  <si>
    <t>BREAK-EVEN &amp; PROFITABILITY (variable &amp; fixed cost)</t>
  </si>
  <si>
    <t>Produsent prys raming vir droëland Bt MIELIES  /                                                                               Producer price framework for dry land BT MAIZE</t>
  </si>
  <si>
    <t>Grondbone/ Groundnuts:  Keur/ Choice 1</t>
  </si>
  <si>
    <t xml:space="preserve">                    Keur/ Choice 2</t>
  </si>
  <si>
    <t>Keur / Choice 1</t>
  </si>
  <si>
    <t>Keur / Choice 2</t>
  </si>
  <si>
    <t>PRODUKSIEJAAR   2020-21   PRODUCTION YEAR 2020-21</t>
  </si>
  <si>
    <t>PRODUKSIEJAAR   2020-21        PRODUCTION YEAR 2020-21</t>
  </si>
  <si>
    <r>
      <rPr>
        <b/>
        <sz val="11"/>
        <color indexed="30"/>
        <rFont val="Calibri"/>
        <family val="2"/>
      </rPr>
      <t>NORTH WEST FREE STATE</t>
    </r>
    <r>
      <rPr>
        <b/>
        <sz val="11"/>
        <color indexed="8"/>
        <rFont val="Calibri"/>
        <family val="2"/>
      </rPr>
      <t xml:space="preserve"> INCOME &amp; COST BUDGETS - SUMMER CROPS 2020/21 </t>
    </r>
  </si>
  <si>
    <t>PRODUKSIEJAAR   2020-21          PRODUCTION YEAR 2020-21</t>
  </si>
  <si>
    <t>2020/21 season</t>
  </si>
  <si>
    <t>Mielies / Maize- Jul 21</t>
  </si>
  <si>
    <t>Sonneblom / Sunflower- Mei 21</t>
  </si>
  <si>
    <t>Sojabone / Soybeans- Mei 21</t>
  </si>
  <si>
    <t>SAFEX Jul'21 WM 1 prys/price  (R/ton)</t>
  </si>
  <si>
    <t>SAFEX May'21 prys/price  (R/ton)</t>
  </si>
  <si>
    <t>SAFEX Mei'21 Soy prys/price  (R/ton)</t>
  </si>
  <si>
    <t>SAFEX Jul'21 prys/price  (R/ton)</t>
  </si>
  <si>
    <t>Produsent prys raming vir droëland ROUND-UP READY MIELIES (hoe potensiaal)  / Producer price framework for dry land ROUND-UP READY MAIZE (high potential)</t>
  </si>
  <si>
    <t>Produsent prys raming vir droëland ROUND-UP READY MIELIES (lae potensiaal)  /               Producer price framework for dry land ROUND-UP READY MAIZE (low potential)</t>
  </si>
</sst>
</file>

<file path=xl/styles.xml><?xml version="1.0" encoding="utf-8"?>
<styleSheet xmlns="http://schemas.openxmlformats.org/spreadsheetml/2006/main">
  <numFmts count="2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 &quot;R&quot;\ * #,##0_ ;_ &quot;R&quot;\ * \-#,##0_ ;_ &quot;R&quot;\ * &quot;-&quot;_ ;_ @_ "/>
    <numFmt numFmtId="165" formatCode="_ * #,##0_ ;_ * \-#,##0_ ;_ * &quot;-&quot;_ ;_ @_ "/>
    <numFmt numFmtId="166" formatCode="_ &quot;R&quot;\ * #,##0.00_ ;_ &quot;R&quot;\ * \-#,##0.00_ ;_ &quot;R&quot;\ * &quot;-&quot;??_ ;_ @_ "/>
    <numFmt numFmtId="167" formatCode="_ * #,##0.00_ ;_ * \-#,##0.00_ ;_ * &quot;-&quot;??_ ;_ @_ "/>
    <numFmt numFmtId="168" formatCode="_(* #,##0.00_);_(* \(#,##0.00\);_(* &quot;-&quot;??_);_(@_)"/>
    <numFmt numFmtId="169" formatCode="0.00_)"/>
    <numFmt numFmtId="170" formatCode="0_)"/>
    <numFmt numFmtId="171" formatCode="0.0"/>
    <numFmt numFmtId="172" formatCode="_ * #,##0.0_ ;_ * \-#,##0.0_ ;_ * &quot;-&quot;?_ ;_ @_ "/>
    <numFmt numFmtId="173" formatCode="_ * #,##0_ ;_ * \-#,##0_ ;_ * &quot;-&quot;??_ ;_ @_ "/>
    <numFmt numFmtId="174" formatCode="_ * #,##0.00_ ;_ * \-#,##0.00_ ;_ * &quot;-&quot;?_ ;_ @_ "/>
    <numFmt numFmtId="175" formatCode="_(&quot;$&quot;* #,##0.00_);_(&quot;$&quot;* \(#,##0.00\);_(&quot;$&quot;* &quot;-&quot;??_);_(@_)"/>
    <numFmt numFmtId="176" formatCode="&quot;R&quot;\ #,##0.00"/>
    <numFmt numFmtId="177" formatCode="&quot;R&quot;\ #,##0"/>
    <numFmt numFmtId="178" formatCode="_ [$R-1C09]\ * #,##0.00_ ;_ [$R-1C09]\ * \-#,##0.00_ ;_ [$R-1C09]\ * &quot;-&quot;??_ ;_ @_ "/>
    <numFmt numFmtId="179" formatCode="&quot;R&quot;\ #\ ##0"/>
  </numFmts>
  <fonts count="64">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0"/>
      <color indexed="30"/>
      <name val="Arial"/>
      <family val="2"/>
    </font>
    <font>
      <b/>
      <sz val="11"/>
      <name val="Calibri"/>
      <family val="2"/>
    </font>
    <font>
      <sz val="11"/>
      <name val="Calibri"/>
      <family val="2"/>
    </font>
    <font>
      <sz val="10"/>
      <name val="Arial Black"/>
      <family val="2"/>
    </font>
    <font>
      <b/>
      <sz val="9"/>
      <name val="Tahoma"/>
      <family val="2"/>
    </font>
    <font>
      <sz val="9"/>
      <name val="Tahoma"/>
      <family val="2"/>
    </font>
    <font>
      <u val="single"/>
      <sz val="7.5"/>
      <color indexed="12"/>
      <name val="Arial"/>
      <family val="2"/>
    </font>
    <font>
      <b/>
      <sz val="10"/>
      <name val="Calibri"/>
      <family val="2"/>
    </font>
    <font>
      <b/>
      <sz val="11"/>
      <color indexed="8"/>
      <name val="Calibri"/>
      <family val="2"/>
    </font>
    <font>
      <sz val="11"/>
      <color indexed="10"/>
      <name val="Calibri"/>
      <family val="2"/>
    </font>
    <font>
      <b/>
      <sz val="18"/>
      <color indexed="17"/>
      <name val="Arial"/>
      <family val="2"/>
    </font>
    <font>
      <b/>
      <sz val="10"/>
      <color indexed="8"/>
      <name val="Arial"/>
      <family val="2"/>
    </font>
    <font>
      <b/>
      <sz val="11"/>
      <color indexed="10"/>
      <name val="Calibri"/>
      <family val="2"/>
    </font>
    <font>
      <sz val="11"/>
      <name val="Times New Roman"/>
      <family val="1"/>
    </font>
    <font>
      <b/>
      <sz val="11"/>
      <color indexed="30"/>
      <name val="Calibri"/>
      <family val="2"/>
    </font>
    <font>
      <sz val="10"/>
      <color indexed="8"/>
      <name val="Calibri"/>
      <family val="2"/>
    </font>
    <font>
      <b/>
      <sz val="10.5"/>
      <color indexed="63"/>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9.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right/>
      <top/>
      <bottom style="thin"/>
    </border>
    <border>
      <left style="thin"/>
      <right/>
      <top style="thin"/>
      <bottom/>
    </border>
    <border>
      <left/>
      <right/>
      <top/>
      <bottom style="double"/>
    </border>
    <border>
      <left style="thin"/>
      <right/>
      <top/>
      <bottom style="thin"/>
    </border>
    <border>
      <left style="thin"/>
      <right/>
      <top/>
      <bottom/>
    </border>
    <border>
      <left/>
      <right/>
      <top style="thin"/>
      <bottom/>
    </border>
    <border>
      <left style="thin"/>
      <right/>
      <top style="thin"/>
      <bottom style="thin"/>
    </border>
    <border>
      <left/>
      <right/>
      <top style="double"/>
      <bottom style="double"/>
    </border>
    <border>
      <left/>
      <right/>
      <top style="thin"/>
      <bottom style="double"/>
    </border>
    <border>
      <left>
        <color indexed="63"/>
      </left>
      <right>
        <color indexed="63"/>
      </right>
      <top style="thin"/>
      <bottom style="medium"/>
    </border>
    <border>
      <left style="medium"/>
      <right style="medium"/>
      <top>
        <color indexed="63"/>
      </top>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5" fontId="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9" fillId="0" borderId="0">
      <alignment/>
      <protection/>
    </xf>
    <xf numFmtId="0" fontId="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24" fillId="0" borderId="0">
      <alignment/>
      <protection/>
    </xf>
    <xf numFmtId="0" fontId="0" fillId="0" borderId="0">
      <alignment/>
      <protection/>
    </xf>
    <xf numFmtId="0" fontId="0" fillId="0" borderId="0">
      <alignment/>
      <protection/>
    </xf>
    <xf numFmtId="0" fontId="45"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45" fillId="0" borderId="0">
      <alignment/>
      <protection/>
    </xf>
    <xf numFmtId="0" fontId="8" fillId="0" borderId="0">
      <alignment/>
      <protection/>
    </xf>
    <xf numFmtId="0" fontId="8" fillId="0" borderId="0">
      <alignment/>
      <protection/>
    </xf>
    <xf numFmtId="0" fontId="45" fillId="0" borderId="0">
      <alignment/>
      <protection/>
    </xf>
    <xf numFmtId="0" fontId="0" fillId="0" borderId="0">
      <alignment/>
      <protection/>
    </xf>
    <xf numFmtId="0" fontId="8" fillId="0" borderId="0">
      <alignment/>
      <protection/>
    </xf>
    <xf numFmtId="0" fontId="8" fillId="0" borderId="0">
      <alignment/>
      <protection/>
    </xf>
    <xf numFmtId="0" fontId="9"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6">
    <xf numFmtId="0" fontId="0" fillId="0" borderId="0" xfId="0" applyAlignment="1">
      <alignment/>
    </xf>
    <xf numFmtId="0" fontId="0" fillId="0" borderId="0" xfId="0" applyFont="1" applyFill="1" applyAlignment="1" applyProtection="1">
      <alignment/>
      <protection hidden="1"/>
    </xf>
    <xf numFmtId="0" fontId="1" fillId="33" borderId="1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1" fillId="0" borderId="10" xfId="0" applyFont="1" applyFill="1" applyBorder="1" applyAlignment="1" applyProtection="1">
      <alignment horizontal="centerContinuous"/>
      <protection hidden="1"/>
    </xf>
    <xf numFmtId="0" fontId="1" fillId="0" borderId="10" xfId="0" applyFont="1" applyFill="1" applyBorder="1" applyAlignment="1" applyProtection="1">
      <alignment horizontal="left"/>
      <protection hidden="1"/>
    </xf>
    <xf numFmtId="2" fontId="1" fillId="35" borderId="13" xfId="0" applyNumberFormat="1" applyFont="1" applyFill="1" applyBorder="1" applyAlignment="1" applyProtection="1">
      <alignment/>
      <protection hidden="1"/>
    </xf>
    <xf numFmtId="0" fontId="0" fillId="0" borderId="10"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2" fontId="1" fillId="0" borderId="15" xfId="0" applyNumberFormat="1" applyFont="1" applyFill="1" applyBorder="1" applyAlignment="1" applyProtection="1">
      <alignment/>
      <protection hidden="1"/>
    </xf>
    <xf numFmtId="168" fontId="0" fillId="0" borderId="0" xfId="0" applyNumberFormat="1" applyFont="1" applyBorder="1" applyAlignment="1" applyProtection="1">
      <alignment/>
      <protection hidden="1"/>
    </xf>
    <xf numFmtId="168" fontId="0" fillId="0" borderId="0" xfId="0" applyNumberFormat="1" applyFont="1" applyAlignment="1" applyProtection="1">
      <alignment/>
      <protection hidden="1"/>
    </xf>
    <xf numFmtId="0" fontId="0" fillId="0" borderId="0" xfId="0" applyFont="1" applyBorder="1" applyAlignment="1" applyProtection="1">
      <alignment/>
      <protection hidden="1"/>
    </xf>
    <xf numFmtId="0" fontId="1" fillId="33" borderId="12" xfId="0" applyFont="1" applyFill="1" applyBorder="1" applyAlignment="1" applyProtection="1">
      <alignment/>
      <protection hidden="1"/>
    </xf>
    <xf numFmtId="0" fontId="4" fillId="0" borderId="16"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4" borderId="10" xfId="0" applyFont="1" applyFill="1" applyBorder="1" applyAlignment="1" applyProtection="1">
      <alignment/>
      <protection hidden="1"/>
    </xf>
    <xf numFmtId="0" fontId="2"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169" fontId="1" fillId="36" borderId="13" xfId="0" applyNumberFormat="1" applyFont="1" applyFill="1" applyBorder="1" applyAlignment="1" applyProtection="1">
      <alignment/>
      <protection hidden="1"/>
    </xf>
    <xf numFmtId="170" fontId="1" fillId="36" borderId="13" xfId="0" applyNumberFormat="1" applyFont="1" applyFill="1" applyBorder="1" applyAlignment="1" applyProtection="1">
      <alignment horizontal="right"/>
      <protection hidden="1"/>
    </xf>
    <xf numFmtId="0" fontId="0" fillId="34" borderId="13" xfId="0" applyFont="1" applyFill="1" applyBorder="1" applyAlignment="1" applyProtection="1">
      <alignment/>
      <protection hidden="1"/>
    </xf>
    <xf numFmtId="2" fontId="1" fillId="36" borderId="15" xfId="0" applyNumberFormat="1" applyFont="1" applyFill="1" applyBorder="1" applyAlignment="1" applyProtection="1">
      <alignment/>
      <protection hidden="1"/>
    </xf>
    <xf numFmtId="2" fontId="1" fillId="34" borderId="13" xfId="0" applyNumberFormat="1" applyFont="1" applyFill="1" applyBorder="1" applyAlignment="1" applyProtection="1">
      <alignment/>
      <protection hidden="1"/>
    </xf>
    <xf numFmtId="168" fontId="1" fillId="0" borderId="0" xfId="0" applyNumberFormat="1" applyFont="1" applyBorder="1" applyAlignment="1" applyProtection="1">
      <alignment/>
      <protection hidden="1"/>
    </xf>
    <xf numFmtId="168" fontId="1" fillId="35" borderId="13" xfId="0" applyNumberFormat="1" applyFont="1" applyFill="1" applyBorder="1" applyAlignment="1" applyProtection="1">
      <alignment/>
      <protection hidden="1"/>
    </xf>
    <xf numFmtId="167" fontId="0" fillId="0" borderId="0" xfId="0" applyNumberFormat="1" applyFont="1" applyFill="1" applyAlignment="1" applyProtection="1">
      <alignment/>
      <protection hidden="1"/>
    </xf>
    <xf numFmtId="0" fontId="1" fillId="34" borderId="10" xfId="0" applyFont="1" applyFill="1" applyBorder="1" applyAlignment="1" applyProtection="1">
      <alignment/>
      <protection hidden="1"/>
    </xf>
    <xf numFmtId="167" fontId="1" fillId="0" borderId="17" xfId="0" applyNumberFormat="1" applyFont="1" applyFill="1" applyBorder="1" applyAlignment="1" applyProtection="1">
      <alignment/>
      <protection hidden="1"/>
    </xf>
    <xf numFmtId="167" fontId="1" fillId="0" borderId="18" xfId="0" applyNumberFormat="1" applyFont="1" applyFill="1" applyBorder="1" applyAlignment="1" applyProtection="1">
      <alignment/>
      <protection hidden="1"/>
    </xf>
    <xf numFmtId="167" fontId="1" fillId="35" borderId="13" xfId="0" applyNumberFormat="1" applyFont="1" applyFill="1" applyBorder="1" applyAlignment="1" applyProtection="1">
      <alignment/>
      <protection hidden="1"/>
    </xf>
    <xf numFmtId="167" fontId="1" fillId="36" borderId="15" xfId="0" applyNumberFormat="1" applyFont="1" applyFill="1" applyBorder="1" applyAlignment="1" applyProtection="1">
      <alignment/>
      <protection hidden="1"/>
    </xf>
    <xf numFmtId="167" fontId="1" fillId="34" borderId="13" xfId="0" applyNumberFormat="1" applyFont="1" applyFill="1" applyBorder="1" applyAlignment="1" applyProtection="1">
      <alignment/>
      <protection hidden="1"/>
    </xf>
    <xf numFmtId="167" fontId="1" fillId="0" borderId="15" xfId="0" applyNumberFormat="1" applyFont="1" applyFill="1" applyBorder="1" applyAlignment="1" applyProtection="1">
      <alignment/>
      <protection hidden="1"/>
    </xf>
    <xf numFmtId="167" fontId="1" fillId="35" borderId="13" xfId="0" applyNumberFormat="1" applyFont="1" applyFill="1" applyBorder="1" applyAlignment="1" applyProtection="1">
      <alignment horizontal="right"/>
      <protection hidden="1"/>
    </xf>
    <xf numFmtId="167" fontId="1" fillId="0" borderId="0" xfId="0" applyNumberFormat="1" applyFont="1" applyFill="1" applyBorder="1" applyAlignment="1" applyProtection="1">
      <alignment/>
      <protection hidden="1"/>
    </xf>
    <xf numFmtId="167" fontId="1" fillId="34" borderId="10" xfId="0" applyNumberFormat="1" applyFont="1" applyFill="1" applyBorder="1" applyAlignment="1" applyProtection="1">
      <alignment horizontal="left"/>
      <protection hidden="1"/>
    </xf>
    <xf numFmtId="167" fontId="1" fillId="36" borderId="13" xfId="0" applyNumberFormat="1" applyFont="1" applyFill="1" applyBorder="1" applyAlignment="1" applyProtection="1">
      <alignment/>
      <protection hidden="1"/>
    </xf>
    <xf numFmtId="167" fontId="1" fillId="36" borderId="13" xfId="0" applyNumberFormat="1" applyFont="1" applyFill="1" applyBorder="1" applyAlignment="1" applyProtection="1">
      <alignment horizontal="right"/>
      <protection hidden="1"/>
    </xf>
    <xf numFmtId="167" fontId="0" fillId="34" borderId="13" xfId="0" applyNumberFormat="1" applyFont="1" applyFill="1" applyBorder="1" applyAlignment="1" applyProtection="1">
      <alignment/>
      <protection hidden="1"/>
    </xf>
    <xf numFmtId="172" fontId="1" fillId="36" borderId="13" xfId="0" applyNumberFormat="1" applyFont="1" applyFill="1" applyBorder="1" applyAlignment="1" applyProtection="1">
      <alignment/>
      <protection hidden="1"/>
    </xf>
    <xf numFmtId="167" fontId="11" fillId="35" borderId="13" xfId="0" applyNumberFormat="1" applyFont="1" applyFill="1" applyBorder="1" applyAlignment="1" applyProtection="1">
      <alignment/>
      <protection hidden="1"/>
    </xf>
    <xf numFmtId="174" fontId="1" fillId="36" borderId="13" xfId="0" applyNumberFormat="1" applyFont="1" applyFill="1" applyBorder="1" applyAlignment="1" applyProtection="1">
      <alignment/>
      <protection hidden="1"/>
    </xf>
    <xf numFmtId="167" fontId="0" fillId="0" borderId="0" xfId="0" applyNumberFormat="1" applyFont="1" applyBorder="1" applyAlignment="1" applyProtection="1">
      <alignment/>
      <protection hidden="1"/>
    </xf>
    <xf numFmtId="172" fontId="1" fillId="0" borderId="0" xfId="0" applyNumberFormat="1" applyFont="1" applyFill="1" applyBorder="1" applyAlignment="1" applyProtection="1">
      <alignment/>
      <protection hidden="1"/>
    </xf>
    <xf numFmtId="167" fontId="1" fillId="0" borderId="0" xfId="0" applyNumberFormat="1" applyFont="1" applyFill="1" applyBorder="1" applyAlignment="1" applyProtection="1">
      <alignment horizontal="right"/>
      <protection hidden="1"/>
    </xf>
    <xf numFmtId="170" fontId="1" fillId="0" borderId="0" xfId="0" applyNumberFormat="1" applyFont="1" applyFill="1" applyBorder="1" applyAlignment="1" applyProtection="1">
      <alignment horizontal="right"/>
      <protection hidden="1"/>
    </xf>
    <xf numFmtId="0" fontId="1" fillId="34" borderId="19" xfId="0" applyFont="1" applyFill="1" applyBorder="1" applyAlignment="1" applyProtection="1">
      <alignment horizontal="left"/>
      <protection hidden="1"/>
    </xf>
    <xf numFmtId="0" fontId="1" fillId="34" borderId="10" xfId="0" applyFont="1" applyFill="1" applyBorder="1" applyAlignment="1" applyProtection="1">
      <alignment horizontal="left"/>
      <protection hidden="1"/>
    </xf>
    <xf numFmtId="0" fontId="1" fillId="0" borderId="20"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35" borderId="19" xfId="0" applyFont="1" applyFill="1" applyBorder="1" applyAlignment="1" applyProtection="1">
      <alignment horizontal="left"/>
      <protection hidden="1"/>
    </xf>
    <xf numFmtId="0" fontId="1" fillId="35" borderId="10" xfId="0" applyFont="1" applyFill="1" applyBorder="1" applyAlignment="1" applyProtection="1">
      <alignment horizontal="left"/>
      <protection hidden="1"/>
    </xf>
    <xf numFmtId="169" fontId="1" fillId="35" borderId="12" xfId="0" applyNumberFormat="1" applyFont="1" applyFill="1" applyBorder="1" applyAlignment="1" applyProtection="1">
      <alignment horizontal="left"/>
      <protection hidden="1"/>
    </xf>
    <xf numFmtId="0" fontId="1" fillId="0" borderId="19" xfId="86" applyFont="1" applyFill="1" applyBorder="1" applyAlignment="1" applyProtection="1">
      <alignment horizontal="left"/>
      <protection hidden="1"/>
    </xf>
    <xf numFmtId="0" fontId="1" fillId="35" borderId="19" xfId="86" applyFont="1" applyFill="1" applyBorder="1" applyAlignment="1" applyProtection="1">
      <alignment horizontal="left"/>
      <protection hidden="1"/>
    </xf>
    <xf numFmtId="0" fontId="1" fillId="0" borderId="21" xfId="86" applyFont="1" applyFill="1" applyBorder="1" applyAlignment="1" applyProtection="1">
      <alignment horizontal="left"/>
      <protection hidden="1"/>
    </xf>
    <xf numFmtId="0" fontId="1" fillId="0" borderId="20" xfId="86" applyFont="1" applyFill="1" applyBorder="1" applyAlignment="1" applyProtection="1">
      <alignment horizontal="left"/>
      <protection hidden="1"/>
    </xf>
    <xf numFmtId="0" fontId="1" fillId="0" borderId="0" xfId="86" applyFont="1" applyFill="1" applyBorder="1" applyAlignment="1" applyProtection="1">
      <alignment horizontal="left"/>
      <protection hidden="1"/>
    </xf>
    <xf numFmtId="0" fontId="1" fillId="0" borderId="22" xfId="86" applyFont="1" applyFill="1" applyBorder="1" applyAlignment="1" applyProtection="1">
      <alignment horizontal="left"/>
      <protection hidden="1"/>
    </xf>
    <xf numFmtId="0" fontId="1" fillId="0" borderId="23" xfId="86" applyFont="1" applyFill="1" applyBorder="1" applyAlignment="1" applyProtection="1">
      <alignment horizontal="left"/>
      <protection hidden="1"/>
    </xf>
    <xf numFmtId="0" fontId="1" fillId="0" borderId="24" xfId="86" applyFont="1" applyFill="1" applyBorder="1" applyAlignment="1" applyProtection="1">
      <alignment horizontal="left"/>
      <protection hidden="1"/>
    </xf>
    <xf numFmtId="0" fontId="1" fillId="36" borderId="20" xfId="86" applyFont="1" applyFill="1" applyBorder="1" applyAlignment="1" applyProtection="1">
      <alignment horizontal="left"/>
      <protection hidden="1"/>
    </xf>
    <xf numFmtId="0" fontId="1" fillId="36" borderId="0" xfId="86" applyFont="1" applyFill="1" applyBorder="1" applyAlignment="1" applyProtection="1">
      <alignment horizontal="left"/>
      <protection hidden="1"/>
    </xf>
    <xf numFmtId="0" fontId="1" fillId="34" borderId="19" xfId="86" applyFont="1" applyFill="1" applyBorder="1" applyAlignment="1" applyProtection="1">
      <alignment horizontal="left"/>
      <protection hidden="1"/>
    </xf>
    <xf numFmtId="0" fontId="1" fillId="34" borderId="10" xfId="86" applyFont="1" applyFill="1" applyBorder="1" applyAlignment="1" applyProtection="1">
      <alignment horizontal="left"/>
      <protection hidden="1"/>
    </xf>
    <xf numFmtId="0" fontId="0" fillId="34" borderId="12" xfId="86" applyFont="1" applyFill="1" applyBorder="1" applyAlignment="1" applyProtection="1">
      <alignment/>
      <protection hidden="1"/>
    </xf>
    <xf numFmtId="0" fontId="1" fillId="0" borderId="10" xfId="86" applyFont="1" applyFill="1" applyBorder="1" applyAlignment="1" applyProtection="1">
      <alignment horizontal="left"/>
      <protection hidden="1"/>
    </xf>
    <xf numFmtId="0" fontId="1" fillId="35" borderId="10" xfId="86" applyFont="1" applyFill="1" applyBorder="1" applyAlignment="1" applyProtection="1">
      <alignment horizontal="left"/>
      <protection hidden="1"/>
    </xf>
    <xf numFmtId="169" fontId="1" fillId="35" borderId="12" xfId="86" applyNumberFormat="1" applyFont="1" applyFill="1" applyBorder="1" applyAlignment="1" applyProtection="1">
      <alignment horizontal="left"/>
      <protection hidden="1"/>
    </xf>
    <xf numFmtId="0" fontId="0" fillId="0" borderId="0" xfId="86">
      <alignment/>
      <protection/>
    </xf>
    <xf numFmtId="0" fontId="12" fillId="36" borderId="25" xfId="86" applyNumberFormat="1" applyFont="1" applyFill="1" applyBorder="1" applyAlignment="1">
      <alignment vertical="center"/>
      <protection/>
    </xf>
    <xf numFmtId="0" fontId="0" fillId="36" borderId="26" xfId="86" applyNumberFormat="1" applyFont="1" applyFill="1" applyBorder="1" applyAlignment="1" applyProtection="1">
      <alignment/>
      <protection hidden="1"/>
    </xf>
    <xf numFmtId="0" fontId="0" fillId="36" borderId="27" xfId="86" applyNumberFormat="1" applyFont="1" applyFill="1" applyBorder="1" applyAlignment="1" applyProtection="1">
      <alignment/>
      <protection hidden="1"/>
    </xf>
    <xf numFmtId="0" fontId="13" fillId="36" borderId="20" xfId="86" applyNumberFormat="1" applyFont="1" applyFill="1" applyBorder="1" applyAlignment="1">
      <alignment vertical="center"/>
      <protection/>
    </xf>
    <xf numFmtId="0" fontId="0" fillId="36" borderId="0" xfId="86" applyNumberFormat="1" applyFont="1" applyFill="1" applyBorder="1" applyAlignment="1" applyProtection="1">
      <alignment/>
      <protection hidden="1"/>
    </xf>
    <xf numFmtId="0" fontId="0" fillId="36" borderId="28" xfId="86" applyNumberFormat="1" applyFont="1" applyFill="1" applyBorder="1" applyAlignment="1" applyProtection="1">
      <alignment/>
      <protection hidden="1"/>
    </xf>
    <xf numFmtId="0" fontId="13" fillId="36" borderId="16" xfId="86" applyNumberFormat="1" applyFont="1" applyFill="1" applyBorder="1" applyAlignment="1">
      <alignment vertical="center"/>
      <protection/>
    </xf>
    <xf numFmtId="0" fontId="0" fillId="36" borderId="14" xfId="86" applyNumberFormat="1" applyFont="1" applyFill="1" applyBorder="1" applyAlignment="1" applyProtection="1">
      <alignment/>
      <protection hidden="1"/>
    </xf>
    <xf numFmtId="0" fontId="0" fillId="36" borderId="11" xfId="86" applyNumberFormat="1" applyFont="1" applyFill="1" applyBorder="1" applyAlignment="1" applyProtection="1">
      <alignment/>
      <protection hidden="1"/>
    </xf>
    <xf numFmtId="0" fontId="0" fillId="0" borderId="0" xfId="120">
      <alignment/>
      <protection/>
    </xf>
    <xf numFmtId="0" fontId="4" fillId="0" borderId="0" xfId="120" applyFont="1">
      <alignment/>
      <protection/>
    </xf>
    <xf numFmtId="0" fontId="0" fillId="0" borderId="0" xfId="120" applyFill="1">
      <alignment/>
      <protection/>
    </xf>
    <xf numFmtId="0" fontId="0" fillId="0" borderId="19" xfId="120" applyFont="1" applyBorder="1" applyAlignment="1">
      <alignment horizontal="center" vertical="center" wrapText="1"/>
      <protection/>
    </xf>
    <xf numFmtId="0" fontId="0" fillId="0" borderId="10" xfId="120" applyFont="1" applyBorder="1" applyAlignment="1">
      <alignment horizontal="center" vertical="center" wrapText="1"/>
      <protection/>
    </xf>
    <xf numFmtId="0" fontId="2" fillId="36" borderId="13" xfId="120" applyFont="1" applyFill="1" applyBorder="1" applyAlignment="1">
      <alignment horizontal="center" vertical="center"/>
      <protection/>
    </xf>
    <xf numFmtId="0" fontId="22" fillId="36" borderId="13" xfId="120" applyFont="1" applyFill="1" applyBorder="1" applyAlignment="1">
      <alignment horizontal="center" vertical="center"/>
      <protection/>
    </xf>
    <xf numFmtId="0" fontId="2" fillId="36" borderId="10" xfId="120" applyFont="1" applyFill="1" applyBorder="1" applyAlignment="1">
      <alignment horizontal="center" vertical="center"/>
      <protection/>
    </xf>
    <xf numFmtId="0" fontId="1" fillId="36" borderId="13" xfId="120" applyFont="1" applyFill="1" applyBorder="1" applyAlignment="1">
      <alignment horizontal="center" vertical="center"/>
      <protection/>
    </xf>
    <xf numFmtId="177" fontId="2" fillId="36" borderId="13" xfId="120" applyNumberFormat="1" applyFont="1" applyFill="1" applyBorder="1" applyAlignment="1">
      <alignment horizontal="center" vertical="center"/>
      <protection/>
    </xf>
    <xf numFmtId="0" fontId="1" fillId="36" borderId="13" xfId="120" applyNumberFormat="1" applyFont="1" applyFill="1" applyBorder="1" applyAlignment="1">
      <alignment horizontal="center" vertical="center"/>
      <protection/>
    </xf>
    <xf numFmtId="0" fontId="2" fillId="36" borderId="13" xfId="120" applyNumberFormat="1" applyFont="1" applyFill="1" applyBorder="1" applyAlignment="1">
      <alignment horizontal="center" vertical="center"/>
      <protection/>
    </xf>
    <xf numFmtId="0" fontId="1" fillId="0" borderId="29" xfId="120" applyNumberFormat="1" applyFont="1" applyBorder="1" applyAlignment="1">
      <alignment horizontal="center" vertical="center"/>
      <protection/>
    </xf>
    <xf numFmtId="177" fontId="2" fillId="0" borderId="29" xfId="120" applyNumberFormat="1" applyFont="1" applyBorder="1" applyAlignment="1">
      <alignment horizontal="center" vertical="center"/>
      <protection/>
    </xf>
    <xf numFmtId="0" fontId="2" fillId="0" borderId="29" xfId="120" applyNumberFormat="1" applyFont="1" applyBorder="1" applyAlignment="1">
      <alignment horizontal="center" vertical="center"/>
      <protection/>
    </xf>
    <xf numFmtId="171" fontId="1" fillId="0" borderId="19" xfId="120" applyNumberFormat="1" applyFont="1" applyBorder="1" applyAlignment="1">
      <alignment horizontal="center" vertical="center"/>
      <protection/>
    </xf>
    <xf numFmtId="1" fontId="1" fillId="37" borderId="30" xfId="120" applyNumberFormat="1" applyFont="1" applyFill="1" applyBorder="1" applyAlignment="1">
      <alignment horizontal="center" vertical="center"/>
      <protection/>
    </xf>
    <xf numFmtId="1" fontId="1" fillId="37" borderId="31" xfId="120" applyNumberFormat="1" applyFont="1" applyFill="1" applyBorder="1" applyAlignment="1">
      <alignment horizontal="center" vertical="center"/>
      <protection/>
    </xf>
    <xf numFmtId="1" fontId="1" fillId="38" borderId="31" xfId="120" applyNumberFormat="1" applyFont="1" applyFill="1" applyBorder="1" applyAlignment="1">
      <alignment horizontal="center" vertical="center"/>
      <protection/>
    </xf>
    <xf numFmtId="1" fontId="1" fillId="38" borderId="32" xfId="120" applyNumberFormat="1" applyFont="1" applyFill="1" applyBorder="1" applyAlignment="1">
      <alignment horizontal="center" vertical="center"/>
      <protection/>
    </xf>
    <xf numFmtId="1" fontId="1" fillId="37" borderId="33" xfId="120" applyNumberFormat="1" applyFont="1" applyFill="1" applyBorder="1" applyAlignment="1">
      <alignment horizontal="center" vertical="center"/>
      <protection/>
    </xf>
    <xf numFmtId="1" fontId="1" fillId="37" borderId="34" xfId="120" applyNumberFormat="1" applyFont="1" applyFill="1" applyBorder="1" applyAlignment="1">
      <alignment horizontal="center" vertical="center"/>
      <protection/>
    </xf>
    <xf numFmtId="1" fontId="1" fillId="38" borderId="34" xfId="120" applyNumberFormat="1" applyFont="1" applyFill="1" applyBorder="1" applyAlignment="1">
      <alignment horizontal="center" vertical="center"/>
      <protection/>
    </xf>
    <xf numFmtId="1" fontId="1" fillId="38" borderId="35" xfId="120" applyNumberFormat="1" applyFont="1" applyFill="1" applyBorder="1" applyAlignment="1">
      <alignment horizontal="center" vertical="center"/>
      <protection/>
    </xf>
    <xf numFmtId="171" fontId="2" fillId="0" borderId="19" xfId="120" applyNumberFormat="1" applyFont="1" applyBorder="1" applyAlignment="1">
      <alignment horizontal="center" vertical="center"/>
      <protection/>
    </xf>
    <xf numFmtId="1" fontId="1" fillId="37" borderId="36" xfId="120" applyNumberFormat="1" applyFont="1" applyFill="1" applyBorder="1" applyAlignment="1">
      <alignment horizontal="center" vertical="center"/>
      <protection/>
    </xf>
    <xf numFmtId="1" fontId="1" fillId="37" borderId="37" xfId="120" applyNumberFormat="1" applyFont="1" applyFill="1" applyBorder="1" applyAlignment="1">
      <alignment horizontal="center" vertical="center"/>
      <protection/>
    </xf>
    <xf numFmtId="1" fontId="1" fillId="38" borderId="37" xfId="120" applyNumberFormat="1" applyFont="1" applyFill="1" applyBorder="1" applyAlignment="1">
      <alignment horizontal="center" vertical="center"/>
      <protection/>
    </xf>
    <xf numFmtId="1" fontId="1" fillId="38" borderId="38" xfId="120" applyNumberFormat="1" applyFont="1" applyFill="1" applyBorder="1" applyAlignment="1">
      <alignment horizontal="center" vertical="center"/>
      <protection/>
    </xf>
    <xf numFmtId="0" fontId="14" fillId="0" borderId="0" xfId="120" applyFont="1" applyBorder="1" applyAlignment="1">
      <alignment horizontal="center" vertical="center" textRotation="90" wrapText="1"/>
      <protection/>
    </xf>
    <xf numFmtId="171" fontId="14" fillId="0" borderId="0" xfId="120" applyNumberFormat="1" applyFont="1" applyBorder="1" applyAlignment="1">
      <alignment horizontal="center" vertical="center"/>
      <protection/>
    </xf>
    <xf numFmtId="1" fontId="14" fillId="0" borderId="0" xfId="120" applyNumberFormat="1" applyFont="1" applyFill="1" applyBorder="1" applyAlignment="1">
      <alignment horizontal="center" vertical="center"/>
      <protection/>
    </xf>
    <xf numFmtId="0" fontId="14" fillId="0" borderId="0" xfId="120" applyFont="1" applyFill="1" applyBorder="1" applyAlignment="1">
      <alignment horizontal="center" vertical="center" textRotation="90" wrapText="1"/>
      <protection/>
    </xf>
    <xf numFmtId="171" fontId="14" fillId="0" borderId="0" xfId="120" applyNumberFormat="1" applyFont="1" applyFill="1" applyBorder="1" applyAlignment="1">
      <alignment horizontal="center" vertical="center"/>
      <protection/>
    </xf>
    <xf numFmtId="173" fontId="1" fillId="36" borderId="13" xfId="120" applyNumberFormat="1" applyFont="1" applyFill="1" applyBorder="1" applyAlignment="1">
      <alignment horizontal="center" vertical="center"/>
      <protection/>
    </xf>
    <xf numFmtId="173" fontId="22" fillId="36" borderId="13" xfId="120" applyNumberFormat="1" applyFont="1" applyFill="1" applyBorder="1" applyAlignment="1">
      <alignment horizontal="center" vertical="center"/>
      <protection/>
    </xf>
    <xf numFmtId="173" fontId="2" fillId="36" borderId="13" xfId="120" applyNumberFormat="1" applyFont="1" applyFill="1" applyBorder="1" applyAlignment="1">
      <alignment horizontal="center" vertical="center"/>
      <protection/>
    </xf>
    <xf numFmtId="173" fontId="22" fillId="0" borderId="29" xfId="120" applyNumberFormat="1" applyFont="1" applyBorder="1" applyAlignment="1">
      <alignment horizontal="center" vertical="center"/>
      <protection/>
    </xf>
    <xf numFmtId="173" fontId="2" fillId="0" borderId="29" xfId="120" applyNumberFormat="1" applyFont="1" applyBorder="1" applyAlignment="1">
      <alignment horizontal="center" vertical="center"/>
      <protection/>
    </xf>
    <xf numFmtId="173" fontId="1" fillId="0" borderId="29" xfId="120" applyNumberFormat="1" applyFont="1" applyBorder="1" applyAlignment="1">
      <alignment horizontal="center" vertical="center"/>
      <protection/>
    </xf>
    <xf numFmtId="0" fontId="1" fillId="34" borderId="12" xfId="86" applyFont="1" applyFill="1" applyBorder="1" applyAlignment="1" applyProtection="1">
      <alignment horizontal="left" vertical="center"/>
      <protection hidden="1"/>
    </xf>
    <xf numFmtId="0" fontId="1" fillId="34" borderId="12" xfId="86" applyFont="1" applyFill="1" applyBorder="1" applyAlignment="1" applyProtection="1">
      <alignment vertical="center" wrapText="1"/>
      <protection hidden="1"/>
    </xf>
    <xf numFmtId="0" fontId="0" fillId="34" borderId="12" xfId="86" applyFont="1" applyFill="1" applyBorder="1" applyAlignment="1" applyProtection="1">
      <alignment vertical="center"/>
      <protection hidden="1"/>
    </xf>
    <xf numFmtId="0" fontId="0" fillId="0" borderId="0" xfId="86" applyFont="1" applyFill="1" applyBorder="1" applyAlignment="1" applyProtection="1">
      <alignment/>
      <protection hidden="1"/>
    </xf>
    <xf numFmtId="0" fontId="0" fillId="0" borderId="0" xfId="86" applyFont="1" applyFill="1" applyAlignment="1" applyProtection="1">
      <alignment/>
      <protection hidden="1"/>
    </xf>
    <xf numFmtId="0" fontId="1" fillId="0" borderId="33" xfId="86" applyFont="1" applyFill="1" applyBorder="1" applyAlignment="1" applyProtection="1">
      <alignment horizontal="left"/>
      <protection locked="0"/>
    </xf>
    <xf numFmtId="0" fontId="1" fillId="0" borderId="34" xfId="86" applyFont="1" applyFill="1" applyBorder="1" applyAlignment="1" applyProtection="1">
      <alignment horizontal="left"/>
      <protection hidden="1"/>
    </xf>
    <xf numFmtId="167" fontId="1" fillId="0" borderId="34" xfId="86" applyNumberFormat="1" applyFont="1" applyFill="1" applyBorder="1" applyAlignment="1" applyProtection="1">
      <alignment/>
      <protection hidden="1"/>
    </xf>
    <xf numFmtId="10" fontId="2" fillId="0" borderId="34" xfId="86" applyNumberFormat="1" applyFont="1" applyFill="1" applyBorder="1" applyAlignment="1" applyProtection="1">
      <alignment horizontal="center"/>
      <protection locked="0"/>
    </xf>
    <xf numFmtId="167" fontId="1" fillId="0" borderId="35" xfId="86" applyNumberFormat="1" applyFont="1" applyFill="1" applyBorder="1" applyAlignment="1" applyProtection="1">
      <alignment/>
      <protection hidden="1"/>
    </xf>
    <xf numFmtId="0" fontId="1" fillId="0" borderId="33" xfId="0" applyFont="1" applyFill="1" applyBorder="1" applyAlignment="1" applyProtection="1">
      <alignment horizontal="left"/>
      <protection locked="0"/>
    </xf>
    <xf numFmtId="0" fontId="1" fillId="0" borderId="39" xfId="0" applyFont="1" applyFill="1" applyBorder="1" applyAlignment="1" applyProtection="1">
      <alignment horizontal="left"/>
      <protection locked="0"/>
    </xf>
    <xf numFmtId="0" fontId="1" fillId="0" borderId="40" xfId="86" applyFont="1" applyFill="1" applyBorder="1" applyAlignment="1" applyProtection="1">
      <alignment horizontal="left"/>
      <protection hidden="1"/>
    </xf>
    <xf numFmtId="167" fontId="1" fillId="0" borderId="40" xfId="86" applyNumberFormat="1" applyFont="1" applyFill="1" applyBorder="1" applyAlignment="1" applyProtection="1">
      <alignment/>
      <protection hidden="1"/>
    </xf>
    <xf numFmtId="10" fontId="2" fillId="0" borderId="40" xfId="86" applyNumberFormat="1" applyFont="1" applyFill="1" applyBorder="1" applyAlignment="1" applyProtection="1">
      <alignment horizontal="center"/>
      <protection locked="0"/>
    </xf>
    <xf numFmtId="167" fontId="1" fillId="0" borderId="41" xfId="86" applyNumberFormat="1" applyFont="1" applyFill="1" applyBorder="1" applyAlignment="1" applyProtection="1">
      <alignment/>
      <protection hidden="1"/>
    </xf>
    <xf numFmtId="167" fontId="1" fillId="34" borderId="10" xfId="86" applyNumberFormat="1" applyFont="1" applyFill="1" applyBorder="1" applyAlignment="1" applyProtection="1">
      <alignment/>
      <protection hidden="1"/>
    </xf>
    <xf numFmtId="0" fontId="1" fillId="34" borderId="10" xfId="86" applyFont="1" applyFill="1" applyBorder="1" applyAlignment="1" applyProtection="1">
      <alignment/>
      <protection hidden="1"/>
    </xf>
    <xf numFmtId="0" fontId="0" fillId="34" borderId="10" xfId="86" applyFont="1" applyFill="1" applyBorder="1" applyAlignment="1" applyProtection="1">
      <alignment/>
      <protection hidden="1"/>
    </xf>
    <xf numFmtId="0" fontId="20" fillId="0" borderId="0" xfId="102" applyFont="1">
      <alignment/>
      <protection/>
    </xf>
    <xf numFmtId="167" fontId="20" fillId="0" borderId="0" xfId="102" applyNumberFormat="1" applyFont="1">
      <alignment/>
      <protection/>
    </xf>
    <xf numFmtId="167" fontId="1" fillId="0" borderId="17" xfId="86" applyNumberFormat="1" applyFont="1" applyFill="1" applyBorder="1" applyAlignment="1" applyProtection="1">
      <alignment/>
      <protection hidden="1"/>
    </xf>
    <xf numFmtId="167" fontId="1" fillId="0" borderId="18" xfId="86" applyNumberFormat="1" applyFont="1" applyFill="1" applyBorder="1" applyAlignment="1" applyProtection="1">
      <alignment/>
      <protection hidden="1"/>
    </xf>
    <xf numFmtId="167" fontId="1" fillId="35" borderId="13" xfId="86" applyNumberFormat="1" applyFont="1" applyFill="1" applyBorder="1" applyAlignment="1" applyProtection="1">
      <alignment/>
      <protection hidden="1"/>
    </xf>
    <xf numFmtId="177" fontId="19" fillId="36" borderId="42" xfId="0" applyNumberFormat="1" applyFont="1" applyFill="1" applyBorder="1" applyAlignment="1">
      <alignment/>
    </xf>
    <xf numFmtId="0" fontId="19" fillId="36" borderId="43" xfId="0" applyFont="1" applyFill="1" applyBorder="1" applyAlignment="1">
      <alignment/>
    </xf>
    <xf numFmtId="177" fontId="13" fillId="36" borderId="44" xfId="0" applyNumberFormat="1" applyFont="1" applyFill="1" applyBorder="1" applyAlignment="1">
      <alignment/>
    </xf>
    <xf numFmtId="2" fontId="0" fillId="39" borderId="44" xfId="0" applyNumberFormat="1" applyFont="1" applyFill="1" applyBorder="1" applyAlignment="1">
      <alignment/>
    </xf>
    <xf numFmtId="178" fontId="0" fillId="40" borderId="0" xfId="0" applyNumberFormat="1" applyFont="1" applyFill="1" applyBorder="1" applyAlignment="1">
      <alignment/>
    </xf>
    <xf numFmtId="0" fontId="19" fillId="36" borderId="45" xfId="0" applyFont="1" applyFill="1" applyBorder="1" applyAlignment="1">
      <alignment/>
    </xf>
    <xf numFmtId="0" fontId="19" fillId="39" borderId="46" xfId="0" applyFont="1" applyFill="1" applyBorder="1" applyAlignment="1">
      <alignment/>
    </xf>
    <xf numFmtId="0" fontId="0" fillId="36" borderId="47" xfId="0" applyFont="1" applyFill="1" applyBorder="1" applyAlignment="1">
      <alignment/>
    </xf>
    <xf numFmtId="167" fontId="1" fillId="0" borderId="18" xfId="90" applyNumberFormat="1" applyFont="1" applyFill="1" applyBorder="1" applyAlignment="1" applyProtection="1">
      <alignment/>
      <protection hidden="1"/>
    </xf>
    <xf numFmtId="167" fontId="1" fillId="0" borderId="17" xfId="90" applyNumberFormat="1" applyFont="1" applyFill="1" applyBorder="1" applyAlignment="1" applyProtection="1">
      <alignment/>
      <protection hidden="1"/>
    </xf>
    <xf numFmtId="0" fontId="20" fillId="0" borderId="0" xfId="0" applyFont="1" applyBorder="1" applyAlignment="1">
      <alignment/>
    </xf>
    <xf numFmtId="167" fontId="1" fillId="35" borderId="13" xfId="90" applyNumberFormat="1" applyFont="1" applyFill="1" applyBorder="1" applyAlignment="1" applyProtection="1">
      <alignment/>
      <protection hidden="1"/>
    </xf>
    <xf numFmtId="172" fontId="1" fillId="36" borderId="13" xfId="90" applyNumberFormat="1" applyFont="1" applyFill="1" applyBorder="1" applyAlignment="1" applyProtection="1">
      <alignment/>
      <protection hidden="1"/>
    </xf>
    <xf numFmtId="0" fontId="0" fillId="36" borderId="0" xfId="0" applyFont="1" applyFill="1" applyBorder="1" applyAlignment="1">
      <alignment/>
    </xf>
    <xf numFmtId="0" fontId="19" fillId="36" borderId="48" xfId="0" applyFont="1" applyFill="1" applyBorder="1" applyAlignment="1">
      <alignment/>
    </xf>
    <xf numFmtId="0" fontId="19" fillId="36" borderId="0" xfId="0" applyFont="1" applyFill="1" applyBorder="1" applyAlignment="1">
      <alignment/>
    </xf>
    <xf numFmtId="0" fontId="19" fillId="39" borderId="43" xfId="0" applyFont="1" applyFill="1" applyBorder="1" applyAlignment="1">
      <alignment/>
    </xf>
    <xf numFmtId="178" fontId="0" fillId="39" borderId="0" xfId="0" applyNumberFormat="1" applyFont="1" applyFill="1" applyBorder="1" applyAlignment="1">
      <alignment/>
    </xf>
    <xf numFmtId="0" fontId="0" fillId="39" borderId="46" xfId="0" applyFont="1" applyFill="1" applyBorder="1" applyAlignment="1">
      <alignment/>
    </xf>
    <xf numFmtId="0" fontId="0" fillId="0" borderId="0" xfId="0" applyFont="1" applyBorder="1" applyAlignment="1">
      <alignment/>
    </xf>
    <xf numFmtId="2" fontId="0" fillId="39" borderId="49" xfId="0" applyNumberFormat="1" applyFont="1" applyFill="1" applyBorder="1" applyAlignment="1">
      <alignment/>
    </xf>
    <xf numFmtId="0" fontId="0" fillId="39" borderId="0" xfId="0" applyFont="1" applyFill="1" applyBorder="1" applyAlignment="1">
      <alignment wrapText="1"/>
    </xf>
    <xf numFmtId="0" fontId="19" fillId="36" borderId="46" xfId="0" applyFont="1" applyFill="1" applyBorder="1" applyAlignment="1">
      <alignment/>
    </xf>
    <xf numFmtId="0" fontId="0" fillId="39" borderId="0" xfId="0" applyFont="1" applyFill="1" applyBorder="1" applyAlignment="1">
      <alignment vertical="center" wrapText="1"/>
    </xf>
    <xf numFmtId="0" fontId="0" fillId="39" borderId="0" xfId="0" applyFont="1" applyFill="1" applyBorder="1" applyAlignment="1">
      <alignment/>
    </xf>
    <xf numFmtId="0" fontId="0" fillId="39" borderId="47" xfId="0" applyFont="1" applyFill="1" applyBorder="1" applyAlignment="1">
      <alignment/>
    </xf>
    <xf numFmtId="0" fontId="19" fillId="36" borderId="24" xfId="0" applyFont="1" applyFill="1" applyBorder="1" applyAlignment="1">
      <alignment horizontal="center" wrapText="1"/>
    </xf>
    <xf numFmtId="0" fontId="20" fillId="36" borderId="0" xfId="0" applyFont="1" applyFill="1" applyBorder="1" applyAlignment="1">
      <alignment/>
    </xf>
    <xf numFmtId="167" fontId="0" fillId="39" borderId="0" xfId="0" applyNumberFormat="1" applyFont="1" applyFill="1" applyBorder="1" applyAlignment="1">
      <alignment/>
    </xf>
    <xf numFmtId="0" fontId="19" fillId="39" borderId="14" xfId="0" applyFont="1" applyFill="1" applyBorder="1" applyAlignment="1">
      <alignment horizontal="center" wrapText="1"/>
    </xf>
    <xf numFmtId="177" fontId="13" fillId="36" borderId="0" xfId="0" applyNumberFormat="1" applyFont="1" applyFill="1" applyBorder="1" applyAlignment="1">
      <alignment/>
    </xf>
    <xf numFmtId="167" fontId="0" fillId="40" borderId="0" xfId="0" applyNumberFormat="1" applyFont="1" applyFill="1" applyBorder="1" applyAlignment="1">
      <alignment/>
    </xf>
    <xf numFmtId="178" fontId="0" fillId="0" borderId="0" xfId="0" applyNumberFormat="1" applyFont="1" applyBorder="1" applyAlignment="1">
      <alignment/>
    </xf>
    <xf numFmtId="167" fontId="12" fillId="36" borderId="46" xfId="61" applyFont="1" applyFill="1" applyBorder="1" applyAlignment="1">
      <alignment/>
    </xf>
    <xf numFmtId="167" fontId="13" fillId="36" borderId="46" xfId="61" applyNumberFormat="1" applyFont="1" applyFill="1" applyBorder="1" applyAlignment="1">
      <alignment/>
    </xf>
    <xf numFmtId="167" fontId="12" fillId="36" borderId="46" xfId="61" applyNumberFormat="1" applyFont="1" applyFill="1" applyBorder="1" applyAlignment="1">
      <alignment/>
    </xf>
    <xf numFmtId="167" fontId="13" fillId="36" borderId="0" xfId="61" applyFont="1" applyFill="1" applyBorder="1" applyAlignment="1">
      <alignment horizontal="center" vertical="center" wrapText="1"/>
    </xf>
    <xf numFmtId="177" fontId="12" fillId="36" borderId="0" xfId="61" applyNumberFormat="1" applyFont="1" applyFill="1" applyBorder="1" applyAlignment="1">
      <alignment horizontal="center" vertical="center" wrapText="1"/>
    </xf>
    <xf numFmtId="167" fontId="12" fillId="36" borderId="0" xfId="61" applyFont="1" applyFill="1" applyBorder="1" applyAlignment="1">
      <alignment horizontal="center" vertical="center" wrapText="1"/>
    </xf>
    <xf numFmtId="178" fontId="13" fillId="36" borderId="0" xfId="61" applyNumberFormat="1" applyFont="1" applyFill="1" applyBorder="1" applyAlignment="1">
      <alignment/>
    </xf>
    <xf numFmtId="178" fontId="13" fillId="36" borderId="44" xfId="61" applyNumberFormat="1" applyFont="1" applyFill="1" applyBorder="1" applyAlignment="1">
      <alignment/>
    </xf>
    <xf numFmtId="178" fontId="12" fillId="36" borderId="0" xfId="61" applyNumberFormat="1" applyFont="1" applyFill="1" applyBorder="1" applyAlignment="1">
      <alignment/>
    </xf>
    <xf numFmtId="178" fontId="12" fillId="36" borderId="44" xfId="61" applyNumberFormat="1" applyFont="1" applyFill="1" applyBorder="1" applyAlignment="1">
      <alignment/>
    </xf>
    <xf numFmtId="167" fontId="12" fillId="40" borderId="46" xfId="61" applyNumberFormat="1" applyFont="1" applyFill="1" applyBorder="1" applyAlignment="1">
      <alignment/>
    </xf>
    <xf numFmtId="167" fontId="13" fillId="39" borderId="46" xfId="61" applyNumberFormat="1" applyFont="1" applyFill="1" applyBorder="1" applyAlignment="1">
      <alignment horizontal="left"/>
    </xf>
    <xf numFmtId="178" fontId="12" fillId="36" borderId="50" xfId="61" applyNumberFormat="1" applyFont="1" applyFill="1" applyBorder="1" applyAlignment="1">
      <alignment/>
    </xf>
    <xf numFmtId="178" fontId="1" fillId="40" borderId="0" xfId="0" applyNumberFormat="1" applyFont="1" applyFill="1" applyBorder="1" applyAlignment="1">
      <alignment/>
    </xf>
    <xf numFmtId="0" fontId="0" fillId="39" borderId="46" xfId="86" applyFont="1" applyFill="1" applyBorder="1">
      <alignment/>
      <protection/>
    </xf>
    <xf numFmtId="0" fontId="12" fillId="40" borderId="46" xfId="86" applyFont="1" applyFill="1" applyBorder="1">
      <alignment/>
      <protection/>
    </xf>
    <xf numFmtId="167" fontId="12" fillId="40" borderId="46" xfId="59" applyNumberFormat="1" applyFont="1" applyFill="1" applyBorder="1" applyAlignment="1">
      <alignment/>
    </xf>
    <xf numFmtId="0" fontId="0" fillId="41" borderId="0" xfId="120" applyFill="1">
      <alignment/>
      <protection/>
    </xf>
    <xf numFmtId="0" fontId="4" fillId="41" borderId="0" xfId="120" applyFont="1" applyFill="1">
      <alignment/>
      <protection/>
    </xf>
    <xf numFmtId="0" fontId="19" fillId="41" borderId="0" xfId="0" applyFont="1" applyFill="1" applyBorder="1" applyAlignment="1">
      <alignment/>
    </xf>
    <xf numFmtId="177" fontId="19" fillId="41" borderId="0" xfId="0" applyNumberFormat="1" applyFont="1" applyFill="1" applyBorder="1" applyAlignment="1">
      <alignment horizontal="center"/>
    </xf>
    <xf numFmtId="0" fontId="21" fillId="41" borderId="0" xfId="120" applyFont="1" applyFill="1" applyBorder="1">
      <alignment/>
      <protection/>
    </xf>
    <xf numFmtId="0" fontId="1" fillId="41" borderId="0" xfId="120" applyFont="1" applyFill="1" applyBorder="1" applyAlignment="1">
      <alignment horizontal="center" vertical="center"/>
      <protection/>
    </xf>
    <xf numFmtId="0" fontId="0" fillId="41" borderId="0" xfId="120" applyFill="1" applyBorder="1">
      <alignment/>
      <protection/>
    </xf>
    <xf numFmtId="0" fontId="4" fillId="41" borderId="0" xfId="120" applyFont="1" applyFill="1" applyBorder="1">
      <alignment/>
      <protection/>
    </xf>
    <xf numFmtId="0" fontId="0" fillId="41" borderId="0" xfId="91" applyFill="1" applyBorder="1">
      <alignment/>
      <protection/>
    </xf>
    <xf numFmtId="15" fontId="0" fillId="41" borderId="0" xfId="91" applyNumberFormat="1" applyFill="1" applyBorder="1">
      <alignment/>
      <protection/>
    </xf>
    <xf numFmtId="177" fontId="23" fillId="41" borderId="0" xfId="86" applyNumberFormat="1" applyFont="1" applyFill="1" applyBorder="1" applyAlignment="1" applyProtection="1">
      <alignment horizontal="center"/>
      <protection locked="0"/>
    </xf>
    <xf numFmtId="0" fontId="0" fillId="41" borderId="0" xfId="120" applyFill="1" applyBorder="1" applyProtection="1">
      <alignment/>
      <protection locked="0"/>
    </xf>
    <xf numFmtId="177" fontId="23" fillId="41" borderId="0" xfId="91" applyNumberFormat="1" applyFont="1" applyFill="1" applyBorder="1" applyAlignment="1" applyProtection="1">
      <alignment horizontal="center"/>
      <protection locked="0"/>
    </xf>
    <xf numFmtId="0" fontId="10" fillId="41" borderId="0" xfId="0" applyFont="1" applyFill="1" applyBorder="1" applyAlignment="1">
      <alignment/>
    </xf>
    <xf numFmtId="14" fontId="1" fillId="41" borderId="0" xfId="120" applyNumberFormat="1" applyFont="1" applyFill="1" applyBorder="1">
      <alignment/>
      <protection/>
    </xf>
    <xf numFmtId="167" fontId="0" fillId="41" borderId="0" xfId="120" applyNumberFormat="1" applyFill="1" applyBorder="1" applyAlignment="1">
      <alignment horizontal="center"/>
      <protection/>
    </xf>
    <xf numFmtId="167" fontId="1" fillId="41" borderId="0" xfId="120" applyNumberFormat="1" applyFont="1" applyFill="1" applyBorder="1" applyAlignment="1">
      <alignment horizontal="center"/>
      <protection/>
    </xf>
    <xf numFmtId="0" fontId="1" fillId="41" borderId="0" xfId="120" applyFont="1" applyFill="1" applyBorder="1" applyAlignment="1">
      <alignment horizontal="left" vertical="center" wrapText="1"/>
      <protection/>
    </xf>
    <xf numFmtId="167" fontId="0" fillId="41" borderId="0" xfId="120" applyNumberFormat="1" applyFill="1" applyBorder="1" applyAlignment="1">
      <alignment horizontal="center" vertical="center"/>
      <protection/>
    </xf>
    <xf numFmtId="0" fontId="0" fillId="41" borderId="0" xfId="120" applyFill="1" applyBorder="1" applyAlignment="1">
      <alignment horizontal="center" vertical="center"/>
      <protection/>
    </xf>
    <xf numFmtId="2" fontId="0" fillId="41" borderId="0" xfId="120" applyNumberFormat="1" applyFill="1" applyBorder="1" applyAlignment="1">
      <alignment horizontal="center" vertical="center"/>
      <protection/>
    </xf>
    <xf numFmtId="167" fontId="0" fillId="41" borderId="0" xfId="120" applyNumberFormat="1" applyFill="1" applyBorder="1" applyAlignment="1">
      <alignment horizontal="center" vertical="center" wrapText="1"/>
      <protection/>
    </xf>
    <xf numFmtId="0" fontId="0" fillId="41" borderId="0" xfId="120" applyFont="1" applyFill="1" applyBorder="1" applyAlignment="1">
      <alignment horizontal="left" vertical="center"/>
      <protection/>
    </xf>
    <xf numFmtId="0" fontId="1" fillId="41" borderId="0" xfId="120" applyFont="1" applyFill="1" applyBorder="1" applyAlignment="1">
      <alignment horizontal="left" vertical="center"/>
      <protection/>
    </xf>
    <xf numFmtId="167" fontId="2" fillId="41" borderId="0" xfId="120" applyNumberFormat="1" applyFont="1" applyFill="1" applyBorder="1" applyAlignment="1" applyProtection="1">
      <alignment horizontal="center"/>
      <protection locked="0"/>
    </xf>
    <xf numFmtId="0" fontId="0" fillId="41" borderId="0" xfId="120" applyFont="1" applyFill="1" applyBorder="1" applyAlignment="1">
      <alignment horizontal="left" vertical="center" wrapText="1"/>
      <protection/>
    </xf>
    <xf numFmtId="0" fontId="19" fillId="41" borderId="42" xfId="0" applyFont="1" applyFill="1" applyBorder="1" applyAlignment="1">
      <alignment/>
    </xf>
    <xf numFmtId="0" fontId="19" fillId="41" borderId="42" xfId="0" applyFont="1" applyFill="1" applyBorder="1" applyAlignment="1">
      <alignment horizontal="center" wrapText="1"/>
    </xf>
    <xf numFmtId="0" fontId="19" fillId="41" borderId="42" xfId="91" applyFont="1" applyFill="1" applyBorder="1" applyAlignment="1">
      <alignment horizontal="center" wrapText="1"/>
      <protection/>
    </xf>
    <xf numFmtId="176" fontId="0" fillId="41" borderId="0" xfId="120" applyNumberFormat="1" applyFill="1" applyBorder="1" applyAlignment="1">
      <alignment horizontal="right"/>
      <protection/>
    </xf>
    <xf numFmtId="177" fontId="0" fillId="41" borderId="0" xfId="120" applyNumberFormat="1" applyFill="1" applyBorder="1" applyAlignment="1">
      <alignment horizontal="right"/>
      <protection/>
    </xf>
    <xf numFmtId="176" fontId="1" fillId="41" borderId="24" xfId="120" applyNumberFormat="1" applyFont="1" applyFill="1" applyBorder="1" applyAlignment="1">
      <alignment horizontal="right"/>
      <protection/>
    </xf>
    <xf numFmtId="0" fontId="1" fillId="0" borderId="10"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1" fillId="41" borderId="51" xfId="0" applyFont="1" applyFill="1" applyBorder="1" applyAlignment="1" applyProtection="1">
      <alignment horizontal="left" wrapText="1"/>
      <protection hidden="1"/>
    </xf>
    <xf numFmtId="0" fontId="1" fillId="0" borderId="19" xfId="120" applyFont="1" applyBorder="1" applyAlignment="1">
      <alignment horizontal="center" vertical="center"/>
      <protection/>
    </xf>
    <xf numFmtId="0" fontId="1" fillId="0" borderId="10" xfId="120" applyFont="1" applyBorder="1" applyAlignment="1">
      <alignment horizontal="center" vertical="center"/>
      <protection/>
    </xf>
    <xf numFmtId="0" fontId="1" fillId="0" borderId="12" xfId="120" applyFont="1" applyBorder="1" applyAlignment="1">
      <alignment horizontal="center" vertical="center"/>
      <protection/>
    </xf>
    <xf numFmtId="0" fontId="1" fillId="0" borderId="19" xfId="120" applyFont="1" applyBorder="1" applyAlignment="1">
      <alignment vertical="center" wrapText="1"/>
      <protection/>
    </xf>
    <xf numFmtId="0" fontId="1" fillId="0" borderId="12" xfId="120" applyFont="1" applyBorder="1" applyAlignment="1">
      <alignment vertical="center" wrapText="1"/>
      <protection/>
    </xf>
    <xf numFmtId="0" fontId="1" fillId="0" borderId="29" xfId="120" applyFont="1" applyBorder="1" applyAlignment="1">
      <alignment horizontal="center" vertical="center" textRotation="90" wrapText="1"/>
      <protection/>
    </xf>
    <xf numFmtId="0" fontId="1" fillId="0" borderId="15" xfId="120" applyFont="1" applyBorder="1" applyAlignment="1">
      <alignment horizontal="center" vertical="center" textRotation="90" wrapText="1"/>
      <protection/>
    </xf>
    <xf numFmtId="0" fontId="1" fillId="0" borderId="52" xfId="120" applyFont="1" applyBorder="1" applyAlignment="1">
      <alignment horizontal="center" vertical="center" textRotation="90" wrapText="1"/>
      <protection/>
    </xf>
    <xf numFmtId="0" fontId="1" fillId="41" borderId="0" xfId="0" applyFont="1" applyFill="1" applyBorder="1" applyAlignment="1" applyProtection="1">
      <alignment horizontal="center" wrapText="1"/>
      <protection hidden="1"/>
    </xf>
    <xf numFmtId="0" fontId="20" fillId="0" borderId="0" xfId="102" applyFont="1" applyAlignment="1">
      <alignment horizontal="center"/>
      <protection/>
    </xf>
    <xf numFmtId="0" fontId="0" fillId="0" borderId="25" xfId="0" applyFont="1" applyFill="1" applyBorder="1" applyAlignment="1" applyProtection="1">
      <alignment horizontal="left" vertical="center"/>
      <protection hidden="1"/>
    </xf>
    <xf numFmtId="0" fontId="0" fillId="0" borderId="26" xfId="0" applyFont="1" applyFill="1" applyBorder="1" applyAlignment="1" applyProtection="1">
      <alignment horizontal="left" vertical="center"/>
      <protection hidden="1"/>
    </xf>
    <xf numFmtId="0" fontId="0" fillId="0" borderId="27" xfId="0" applyFont="1" applyFill="1" applyBorder="1" applyAlignment="1" applyProtection="1">
      <alignment horizontal="left" vertical="center"/>
      <protection hidden="1"/>
    </xf>
    <xf numFmtId="0" fontId="0" fillId="0" borderId="2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28" xfId="0" applyFont="1" applyFill="1" applyBorder="1" applyAlignment="1" applyProtection="1">
      <alignment horizontal="left" vertical="center"/>
      <protection hidden="1"/>
    </xf>
    <xf numFmtId="0" fontId="0" fillId="0" borderId="16"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6" fillId="33" borderId="19" xfId="86" applyFont="1" applyFill="1" applyBorder="1" applyAlignment="1" applyProtection="1">
      <alignment horizontal="left" wrapText="1"/>
      <protection hidden="1"/>
    </xf>
    <xf numFmtId="0" fontId="0" fillId="0" borderId="10" xfId="86" applyBorder="1" applyAlignment="1">
      <alignment wrapText="1"/>
      <protection/>
    </xf>
    <xf numFmtId="0" fontId="6" fillId="33" borderId="10" xfId="86" applyFont="1" applyFill="1" applyBorder="1" applyAlignment="1" applyProtection="1">
      <alignment wrapText="1"/>
      <protection hidden="1"/>
    </xf>
    <xf numFmtId="0" fontId="1" fillId="35" borderId="19" xfId="86" applyFont="1" applyFill="1" applyBorder="1" applyAlignment="1" applyProtection="1">
      <alignment horizontal="left" wrapText="1"/>
      <protection hidden="1"/>
    </xf>
    <xf numFmtId="0" fontId="0" fillId="0" borderId="10" xfId="86" applyBorder="1" applyAlignment="1">
      <alignment horizontal="left" wrapText="1"/>
      <protection/>
    </xf>
    <xf numFmtId="0" fontId="0" fillId="0" borderId="12" xfId="86" applyBorder="1" applyAlignment="1">
      <alignment horizontal="left" wrapText="1"/>
      <protection/>
    </xf>
    <xf numFmtId="0" fontId="1" fillId="34" borderId="19" xfId="0" applyFont="1" applyFill="1" applyBorder="1" applyAlignment="1" applyProtection="1">
      <alignment horizontal="left" wrapText="1"/>
      <protection hidden="1"/>
    </xf>
    <xf numFmtId="0" fontId="0" fillId="0" borderId="10" xfId="0" applyBorder="1" applyAlignment="1">
      <alignment horizontal="left" wrapText="1"/>
    </xf>
    <xf numFmtId="0" fontId="0" fillId="0" borderId="12" xfId="0" applyBorder="1" applyAlignment="1">
      <alignment horizontal="left" wrapText="1"/>
    </xf>
    <xf numFmtId="0" fontId="1" fillId="34" borderId="19" xfId="86" applyFont="1" applyFill="1" applyBorder="1" applyAlignment="1" applyProtection="1">
      <alignment horizontal="left" wrapText="1" readingOrder="1"/>
      <protection hidden="1"/>
    </xf>
    <xf numFmtId="0" fontId="1" fillId="34" borderId="10" xfId="86" applyFont="1" applyFill="1" applyBorder="1" applyAlignment="1" applyProtection="1">
      <alignment horizontal="left" wrapText="1" readingOrder="1"/>
      <protection hidden="1"/>
    </xf>
    <xf numFmtId="0" fontId="1" fillId="34" borderId="12" xfId="86" applyFont="1" applyFill="1" applyBorder="1" applyAlignment="1" applyProtection="1">
      <alignment horizontal="left" wrapText="1" readingOrder="1"/>
      <protection hidden="1"/>
    </xf>
    <xf numFmtId="0" fontId="1" fillId="35" borderId="10" xfId="86" applyFont="1" applyFill="1" applyBorder="1" applyAlignment="1" applyProtection="1">
      <alignment horizontal="left" wrapText="1"/>
      <protection hidden="1"/>
    </xf>
    <xf numFmtId="0" fontId="1" fillId="35" borderId="12" xfId="86" applyFont="1" applyFill="1" applyBorder="1" applyAlignment="1" applyProtection="1">
      <alignment horizontal="left" wrapText="1"/>
      <protection hidden="1"/>
    </xf>
    <xf numFmtId="168" fontId="1" fillId="35" borderId="19" xfId="86" applyNumberFormat="1" applyFont="1" applyFill="1" applyBorder="1" applyAlignment="1" applyProtection="1">
      <alignment horizontal="left" wrapText="1"/>
      <protection hidden="1"/>
    </xf>
    <xf numFmtId="168" fontId="1" fillId="35" borderId="10" xfId="86" applyNumberFormat="1" applyFont="1" applyFill="1" applyBorder="1" applyAlignment="1" applyProtection="1">
      <alignment horizontal="left" wrapText="1"/>
      <protection hidden="1"/>
    </xf>
    <xf numFmtId="168" fontId="1" fillId="35" borderId="12" xfId="86" applyNumberFormat="1" applyFont="1" applyFill="1" applyBorder="1" applyAlignment="1" applyProtection="1">
      <alignment horizontal="left" wrapText="1"/>
      <protection hidden="1"/>
    </xf>
    <xf numFmtId="0" fontId="1" fillId="34" borderId="19" xfId="86" applyFont="1" applyFill="1" applyBorder="1" applyAlignment="1" applyProtection="1">
      <alignment horizontal="left" wrapText="1"/>
      <protection hidden="1"/>
    </xf>
    <xf numFmtId="0" fontId="1" fillId="34" borderId="10" xfId="86" applyFont="1" applyFill="1" applyBorder="1" applyAlignment="1" applyProtection="1">
      <alignment horizontal="left" wrapText="1"/>
      <protection hidden="1"/>
    </xf>
    <xf numFmtId="0" fontId="1" fillId="34" borderId="12" xfId="86" applyFont="1" applyFill="1" applyBorder="1" applyAlignment="1" applyProtection="1">
      <alignment horizontal="left" wrapText="1"/>
      <protection hidden="1"/>
    </xf>
    <xf numFmtId="0" fontId="1" fillId="34" borderId="10" xfId="0" applyFont="1" applyFill="1" applyBorder="1" applyAlignment="1" applyProtection="1">
      <alignment horizontal="left" wrapText="1"/>
      <protection hidden="1"/>
    </xf>
    <xf numFmtId="0" fontId="0" fillId="36" borderId="48" xfId="0" applyFont="1" applyFill="1" applyBorder="1" applyAlignment="1">
      <alignment vertical="center" wrapText="1"/>
    </xf>
    <xf numFmtId="0" fontId="0" fillId="36" borderId="24" xfId="0" applyFont="1" applyFill="1" applyBorder="1" applyAlignment="1">
      <alignment vertical="center" wrapText="1"/>
    </xf>
    <xf numFmtId="0" fontId="0" fillId="36" borderId="24" xfId="0" applyFont="1" applyFill="1" applyBorder="1" applyAlignment="1">
      <alignment wrapText="1"/>
    </xf>
  </cellXfs>
  <cellStyles count="1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3 3" xfId="50"/>
    <cellStyle name="Comma 3 3 2" xfId="51"/>
    <cellStyle name="Comma 3 4" xfId="52"/>
    <cellStyle name="Comma 4" xfId="53"/>
    <cellStyle name="Comma 4 2" xfId="54"/>
    <cellStyle name="Comma 5" xfId="55"/>
    <cellStyle name="Comma 5 2" xfId="56"/>
    <cellStyle name="Comma 5 3" xfId="57"/>
    <cellStyle name="Comma 5 3 2" xfId="58"/>
    <cellStyle name="Comma 6" xfId="59"/>
    <cellStyle name="Comma 6 2" xfId="60"/>
    <cellStyle name="Comma 6 3" xfId="61"/>
    <cellStyle name="Comma 6 3 2" xfId="62"/>
    <cellStyle name="Comma 7" xfId="63"/>
    <cellStyle name="Comma 7 2" xfId="64"/>
    <cellStyle name="Currency" xfId="65"/>
    <cellStyle name="Currency [0]" xfId="66"/>
    <cellStyle name="Currency 2" xfId="67"/>
    <cellStyle name="Currency 3" xfId="68"/>
    <cellStyle name="Currency 3 2"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Hyperlink 2" xfId="78"/>
    <cellStyle name="Hyperlink 2 2" xfId="79"/>
    <cellStyle name="Hyperlink 2 3" xfId="80"/>
    <cellStyle name="Hyperlink 3" xfId="81"/>
    <cellStyle name="Hyperlink 3 2" xfId="82"/>
    <cellStyle name="Input" xfId="83"/>
    <cellStyle name="Linked Cell" xfId="84"/>
    <cellStyle name="Neutral" xfId="85"/>
    <cellStyle name="Normal 2" xfId="86"/>
    <cellStyle name="Normal 2 2" xfId="87"/>
    <cellStyle name="Normal 2 2 2" xfId="88"/>
    <cellStyle name="Normal 2 2 2 2" xfId="89"/>
    <cellStyle name="Normal 2 2 2 3" xfId="90"/>
    <cellStyle name="Normal 2 2 3" xfId="91"/>
    <cellStyle name="Normal 2 2 4" xfId="92"/>
    <cellStyle name="Normal 2 2 5" xfId="93"/>
    <cellStyle name="Normal 2 3" xfId="94"/>
    <cellStyle name="Normal 2 3 2" xfId="95"/>
    <cellStyle name="Normal 2 3 3" xfId="96"/>
    <cellStyle name="Normal 2 4" xfId="97"/>
    <cellStyle name="Normal 2 5" xfId="98"/>
    <cellStyle name="Normal 2 6" xfId="99"/>
    <cellStyle name="Normal 3" xfId="100"/>
    <cellStyle name="Normal 3 2" xfId="101"/>
    <cellStyle name="Normal 3 2 2" xfId="102"/>
    <cellStyle name="Normal 3 2 3" xfId="103"/>
    <cellStyle name="Normal 3 2 4" xfId="104"/>
    <cellStyle name="Normal 3 2 4 2" xfId="105"/>
    <cellStyle name="Normal 3 2 4 3" xfId="106"/>
    <cellStyle name="Normal 3 2 5" xfId="107"/>
    <cellStyle name="Normal 3 3" xfId="108"/>
    <cellStyle name="Normal 3 4" xfId="109"/>
    <cellStyle name="Normal 3 5" xfId="110"/>
    <cellStyle name="Normal 4" xfId="111"/>
    <cellStyle name="Normal 4 2" xfId="112"/>
    <cellStyle name="Normal 4 2 2" xfId="113"/>
    <cellStyle name="Normal 4 2 3" xfId="114"/>
    <cellStyle name="Normal 4 3" xfId="115"/>
    <cellStyle name="Normal 5" xfId="116"/>
    <cellStyle name="Normal 5 2" xfId="117"/>
    <cellStyle name="Normal 5 3" xfId="118"/>
    <cellStyle name="Normal 5 4" xfId="119"/>
    <cellStyle name="Normal 6" xfId="120"/>
    <cellStyle name="Normal 6 2" xfId="121"/>
    <cellStyle name="Normal 6 3" xfId="122"/>
    <cellStyle name="Normal 6 3 2" xfId="123"/>
    <cellStyle name="Normal 6 3 3" xfId="124"/>
    <cellStyle name="Normal 7" xfId="125"/>
    <cellStyle name="Normal 7 2" xfId="126"/>
    <cellStyle name="Normal 8" xfId="127"/>
    <cellStyle name="Normal 9" xfId="128"/>
    <cellStyle name="Normal 9 2" xfId="129"/>
    <cellStyle name="Note" xfId="130"/>
    <cellStyle name="Output" xfId="131"/>
    <cellStyle name="Percent" xfId="132"/>
    <cellStyle name="Percent 10" xfId="133"/>
    <cellStyle name="Percent 10 2" xfId="134"/>
    <cellStyle name="Percent 10 3" xfId="135"/>
    <cellStyle name="Percent 10 4" xfId="136"/>
    <cellStyle name="Percent 2" xfId="137"/>
    <cellStyle name="Percent 2 2" xfId="138"/>
    <cellStyle name="Percent 2 3" xfId="139"/>
    <cellStyle name="Percent 2 3 2" xfId="140"/>
    <cellStyle name="Percent 2 3 3" xfId="141"/>
    <cellStyle name="Percent 2 3 4" xfId="142"/>
    <cellStyle name="Percent 2 4" xfId="143"/>
    <cellStyle name="Percent 2 5" xfId="144"/>
    <cellStyle name="Percent 2 5 2" xfId="145"/>
    <cellStyle name="Percent 3" xfId="146"/>
    <cellStyle name="Percent 3 2" xfId="147"/>
    <cellStyle name="Percent 4" xfId="148"/>
    <cellStyle name="Percent 4 2" xfId="149"/>
    <cellStyle name="Percent 5" xfId="150"/>
    <cellStyle name="Percent 5 2" xfId="151"/>
    <cellStyle name="Percent 5 2 2" xfId="152"/>
    <cellStyle name="Percent 5 2 3" xfId="153"/>
    <cellStyle name="Percent 5 2 3 2" xfId="154"/>
    <cellStyle name="Percent 5 3" xfId="155"/>
    <cellStyle name="Percent 5 3 2" xfId="156"/>
    <cellStyle name="Percent 6" xfId="157"/>
    <cellStyle name="Percent 6 2" xfId="158"/>
    <cellStyle name="Percent 6 3" xfId="159"/>
    <cellStyle name="Percent 6 3 2" xfId="160"/>
    <cellStyle name="Percent 7" xfId="161"/>
    <cellStyle name="Percent 7 2" xfId="162"/>
    <cellStyle name="Percent 7 3" xfId="163"/>
    <cellStyle name="Percent 7 4" xfId="164"/>
    <cellStyle name="Percent 7 4 2" xfId="165"/>
    <cellStyle name="Percent 7 5" xfId="166"/>
    <cellStyle name="Percent 7 5 2" xfId="167"/>
    <cellStyle name="Percent 8" xfId="168"/>
    <cellStyle name="Percent 8 2" xfId="169"/>
    <cellStyle name="Percent 8 3" xfId="170"/>
    <cellStyle name="Percent 8 3 2" xfId="171"/>
    <cellStyle name="Percent 9" xfId="172"/>
    <cellStyle name="Title" xfId="173"/>
    <cellStyle name="Total" xfId="174"/>
    <cellStyle name="Warning Text" xfId="175"/>
  </cellStyles>
  <dxfs count="4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rPr>
              <a:t>Margin Comparison / Marge Vergelyking: Northwest Free State  R/ha)</a:t>
            </a:r>
          </a:p>
        </c:rich>
      </c:tx>
      <c:layout>
        <c:manualLayout>
          <c:xMode val="factor"/>
          <c:yMode val="factor"/>
          <c:x val="-0.001"/>
          <c:y val="-0.01025"/>
        </c:manualLayout>
      </c:layout>
      <c:spPr>
        <a:noFill/>
        <a:ln w="3175">
          <a:noFill/>
        </a:ln>
      </c:spPr>
    </c:title>
    <c:plotArea>
      <c:layout>
        <c:manualLayout>
          <c:xMode val="edge"/>
          <c:yMode val="edge"/>
          <c:x val="0.03075"/>
          <c:y val="0.03925"/>
          <c:w val="0.949"/>
          <c:h val="0.89525"/>
        </c:manualLayout>
      </c:layout>
      <c:barChart>
        <c:barDir val="col"/>
        <c:grouping val="clustered"/>
        <c:varyColors val="0"/>
        <c:ser>
          <c:idx val="0"/>
          <c:order val="0"/>
          <c:tx>
            <c:strRef>
              <c:f>'Crop Comparison'!$A$34</c:f>
              <c:strCache>
                <c:ptCount val="1"/>
                <c:pt idx="0">
                  <c:v>3) GROSS MARGIN  (R/ha)</c:v>
                </c:pt>
              </c:strCache>
            </c:strRef>
          </c:tx>
          <c:spPr>
            <a:solidFill>
              <a:srgbClr val="FFFFFF"/>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solidFill>
                  <a:srgbClr val="666699"/>
                </a:solidFill>
              </a:ln>
              <a:effectLst>
                <a:outerShdw dist="35921" dir="2700000" algn="br">
                  <a:prstClr val="black"/>
                </a:outerShdw>
              </a:effectLst>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Comparison'!$B$2:$I$2</c:f>
              <c:strCache/>
            </c:strRef>
          </c:cat>
          <c:val>
            <c:numRef>
              <c:f>'Crop Comparison'!$B$34:$I$34</c:f>
              <c:numCache/>
            </c:numRef>
          </c:val>
        </c:ser>
        <c:ser>
          <c:idx val="1"/>
          <c:order val="1"/>
          <c:tx>
            <c:strRef>
              <c:f>'Crop Comparison'!$A$35</c:f>
              <c:strCache>
                <c:ptCount val="1"/>
                <c:pt idx="0">
                  <c:v>4) NETT MARGIN  (R/ha)</c:v>
                </c:pt>
              </c:strCache>
            </c:strRef>
          </c:tx>
          <c:spPr>
            <a:noFill/>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numFmt formatCode="General" sourceLinked="1"/>
            <c:spPr>
              <a:noFill/>
              <a:ln w="12700">
                <a:solidFill>
                  <a:srgbClr val="FF0000"/>
                </a:solid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Comparison'!$B$2:$I$2</c:f>
              <c:strCache/>
            </c:strRef>
          </c:cat>
          <c:val>
            <c:numRef>
              <c:f>'Crop Comparison'!$B$35:$I$35</c:f>
              <c:numCache/>
            </c:numRef>
          </c:val>
        </c:ser>
        <c:axId val="63857111"/>
        <c:axId val="15976672"/>
      </c:barChart>
      <c:catAx>
        <c:axId val="638571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333333"/>
                </a:solidFill>
              </a:defRPr>
            </a:pPr>
          </a:p>
        </c:txPr>
        <c:crossAx val="15976672"/>
        <c:crosses val="autoZero"/>
        <c:auto val="1"/>
        <c:lblOffset val="100"/>
        <c:tickLblSkip val="1"/>
        <c:noMultiLvlLbl val="0"/>
      </c:catAx>
      <c:valAx>
        <c:axId val="15976672"/>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333333"/>
                </a:solidFill>
              </a:defRPr>
            </a:pPr>
          </a:p>
        </c:txPr>
        <c:crossAx val="63857111"/>
        <c:crossesAt val="1"/>
        <c:crossBetween val="between"/>
        <c:dispUnits/>
      </c:valAx>
      <c:spPr>
        <a:noFill/>
        <a:ln>
          <a:noFill/>
        </a:ln>
      </c:spPr>
    </c:plotArea>
    <c:legend>
      <c:legendPos val="b"/>
      <c:layout>
        <c:manualLayout>
          <c:xMode val="edge"/>
          <c:yMode val="edge"/>
          <c:x val="0.16425"/>
          <c:y val="0.9035"/>
          <c:w val="0.67975"/>
          <c:h val="0.07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4</xdr:row>
      <xdr:rowOff>47625</xdr:rowOff>
    </xdr:from>
    <xdr:to>
      <xdr:col>3</xdr:col>
      <xdr:colOff>238125</xdr:colOff>
      <xdr:row>8</xdr:row>
      <xdr:rowOff>57150</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4657725" y="1104900"/>
          <a:ext cx="57150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9</xdr:col>
      <xdr:colOff>85725</xdr:colOff>
      <xdr:row>56</xdr:row>
      <xdr:rowOff>28575</xdr:rowOff>
    </xdr:to>
    <xdr:graphicFrame>
      <xdr:nvGraphicFramePr>
        <xdr:cNvPr id="1" name="Chart 1"/>
        <xdr:cNvGraphicFramePr/>
      </xdr:nvGraphicFramePr>
      <xdr:xfrm>
        <a:off x="0" y="7858125"/>
        <a:ext cx="10296525" cy="29432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0</xdr:colOff>
      <xdr:row>1</xdr:row>
      <xdr:rowOff>9525</xdr:rowOff>
    </xdr:from>
    <xdr:to>
      <xdr:col>9</xdr:col>
      <xdr:colOff>571500</xdr:colOff>
      <xdr:row>3</xdr:row>
      <xdr:rowOff>114300</xdr:rowOff>
    </xdr:to>
    <xdr:pic>
      <xdr:nvPicPr>
        <xdr:cNvPr id="2" name="Picture 2" descr="L:\Bedryfsbediening\Templates\Graan SA - nuwe logo.jpg"/>
        <xdr:cNvPicPr preferRelativeResize="1">
          <a:picLocks noChangeAspect="1"/>
        </xdr:cNvPicPr>
      </xdr:nvPicPr>
      <xdr:blipFill>
        <a:blip r:embed="rId2"/>
        <a:stretch>
          <a:fillRect/>
        </a:stretch>
      </xdr:blipFill>
      <xdr:spPr>
        <a:xfrm>
          <a:off x="10210800" y="200025"/>
          <a:ext cx="5715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19050</xdr:rowOff>
    </xdr:from>
    <xdr:to>
      <xdr:col>0</xdr:col>
      <xdr:colOff>990600</xdr:colOff>
      <xdr:row>42</xdr:row>
      <xdr:rowOff>161925</xdr:rowOff>
    </xdr:to>
    <xdr:pic>
      <xdr:nvPicPr>
        <xdr:cNvPr id="1" name="Picture 3" descr="http://www.maizetrust.co.za/images/masthead.jpg"/>
        <xdr:cNvPicPr preferRelativeResize="1">
          <a:picLocks noChangeAspect="1"/>
        </xdr:cNvPicPr>
      </xdr:nvPicPr>
      <xdr:blipFill>
        <a:blip r:embed="rId1"/>
        <a:stretch>
          <a:fillRect/>
        </a:stretch>
      </xdr:blipFill>
      <xdr:spPr>
        <a:xfrm>
          <a:off x="19050" y="7943850"/>
          <a:ext cx="971550" cy="628650"/>
        </a:xfrm>
        <a:prstGeom prst="rect">
          <a:avLst/>
        </a:prstGeom>
        <a:noFill/>
        <a:ln w="9525" cmpd="sng">
          <a:noFill/>
        </a:ln>
      </xdr:spPr>
    </xdr:pic>
    <xdr:clientData/>
  </xdr:twoCellAnchor>
  <xdr:twoCellAnchor editAs="oneCell">
    <xdr:from>
      <xdr:col>8</xdr:col>
      <xdr:colOff>171450</xdr:colOff>
      <xdr:row>0</xdr:row>
      <xdr:rowOff>142875</xdr:rowOff>
    </xdr:from>
    <xdr:to>
      <xdr:col>8</xdr:col>
      <xdr:colOff>742950</xdr:colOff>
      <xdr:row>2</xdr:row>
      <xdr:rowOff>209550</xdr:rowOff>
    </xdr:to>
    <xdr:pic>
      <xdr:nvPicPr>
        <xdr:cNvPr id="2" name="Picture 3" descr="L:\Bedryfsbediening\Templates\Graan SA - nuwe logo.jpg"/>
        <xdr:cNvPicPr preferRelativeResize="1">
          <a:picLocks noChangeAspect="1"/>
        </xdr:cNvPicPr>
      </xdr:nvPicPr>
      <xdr:blipFill>
        <a:blip r:embed="rId2"/>
        <a:stretch>
          <a:fillRect/>
        </a:stretch>
      </xdr:blipFill>
      <xdr:spPr>
        <a:xfrm>
          <a:off x="9505950" y="142875"/>
          <a:ext cx="5715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70</xdr:row>
      <xdr:rowOff>152400</xdr:rowOff>
    </xdr:from>
    <xdr:to>
      <xdr:col>9</xdr:col>
      <xdr:colOff>866775</xdr:colOff>
      <xdr:row>78</xdr:row>
      <xdr:rowOff>0</xdr:rowOff>
    </xdr:to>
    <xdr:pic>
      <xdr:nvPicPr>
        <xdr:cNvPr id="1" name="Picture 5" descr="Graan SA - nuwe logo.jpg"/>
        <xdr:cNvPicPr preferRelativeResize="1">
          <a:picLocks noChangeAspect="1"/>
        </xdr:cNvPicPr>
      </xdr:nvPicPr>
      <xdr:blipFill>
        <a:blip r:embed="rId1"/>
        <a:stretch>
          <a:fillRect/>
        </a:stretch>
      </xdr:blipFill>
      <xdr:spPr>
        <a:xfrm>
          <a:off x="11029950" y="13163550"/>
          <a:ext cx="809625" cy="114300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2" name="Picture 6" descr="http://www.maizetrust.co.za/images/masthead.jpg"/>
        <xdr:cNvPicPr preferRelativeResize="1">
          <a:picLocks noChangeAspect="1"/>
        </xdr:cNvPicPr>
      </xdr:nvPicPr>
      <xdr:blipFill>
        <a:blip r:embed="rId2"/>
        <a:stretch>
          <a:fillRect/>
        </a:stretch>
      </xdr:blipFill>
      <xdr:spPr>
        <a:xfrm>
          <a:off x="19050" y="8001000"/>
          <a:ext cx="971550" cy="62865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3" name="Picture 7" descr="http://www.maizetrust.co.za/images/masthead.jpg"/>
        <xdr:cNvPicPr preferRelativeResize="1">
          <a:picLocks noChangeAspect="1"/>
        </xdr:cNvPicPr>
      </xdr:nvPicPr>
      <xdr:blipFill>
        <a:blip r:embed="rId2"/>
        <a:stretch>
          <a:fillRect/>
        </a:stretch>
      </xdr:blipFill>
      <xdr:spPr>
        <a:xfrm>
          <a:off x="19050" y="8001000"/>
          <a:ext cx="971550" cy="628650"/>
        </a:xfrm>
        <a:prstGeom prst="rect">
          <a:avLst/>
        </a:prstGeom>
        <a:noFill/>
        <a:ln w="9525" cmpd="sng">
          <a:noFill/>
        </a:ln>
      </xdr:spPr>
    </xdr:pic>
    <xdr:clientData/>
  </xdr:twoCellAnchor>
  <xdr:twoCellAnchor editAs="oneCell">
    <xdr:from>
      <xdr:col>8</xdr:col>
      <xdr:colOff>161925</xdr:colOff>
      <xdr:row>0</xdr:row>
      <xdr:rowOff>142875</xdr:rowOff>
    </xdr:from>
    <xdr:to>
      <xdr:col>8</xdr:col>
      <xdr:colOff>733425</xdr:colOff>
      <xdr:row>2</xdr:row>
      <xdr:rowOff>161925</xdr:rowOff>
    </xdr:to>
    <xdr:pic>
      <xdr:nvPicPr>
        <xdr:cNvPr id="4" name="Picture 5" descr="L:\Bedryfsbediening\Templates\Graan SA - nuwe logo.jpg"/>
        <xdr:cNvPicPr preferRelativeResize="1">
          <a:picLocks noChangeAspect="1"/>
        </xdr:cNvPicPr>
      </xdr:nvPicPr>
      <xdr:blipFill>
        <a:blip r:embed="rId3"/>
        <a:stretch>
          <a:fillRect/>
        </a:stretch>
      </xdr:blipFill>
      <xdr:spPr>
        <a:xfrm>
          <a:off x="10182225" y="142875"/>
          <a:ext cx="5715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19050</xdr:rowOff>
    </xdr:from>
    <xdr:to>
      <xdr:col>0</xdr:col>
      <xdr:colOff>990600</xdr:colOff>
      <xdr:row>42</xdr:row>
      <xdr:rowOff>161925</xdr:rowOff>
    </xdr:to>
    <xdr:pic>
      <xdr:nvPicPr>
        <xdr:cNvPr id="1" name="Picture 3" descr="http://www.maizetrust.co.za/images/masthead.jpg"/>
        <xdr:cNvPicPr preferRelativeResize="1">
          <a:picLocks noChangeAspect="1"/>
        </xdr:cNvPicPr>
      </xdr:nvPicPr>
      <xdr:blipFill>
        <a:blip r:embed="rId1"/>
        <a:stretch>
          <a:fillRect/>
        </a:stretch>
      </xdr:blipFill>
      <xdr:spPr>
        <a:xfrm>
          <a:off x="19050" y="8096250"/>
          <a:ext cx="971550" cy="62865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2" name="Picture 4" descr="http://www.maizetrust.co.za/images/masthead.jpg"/>
        <xdr:cNvPicPr preferRelativeResize="1">
          <a:picLocks noChangeAspect="1"/>
        </xdr:cNvPicPr>
      </xdr:nvPicPr>
      <xdr:blipFill>
        <a:blip r:embed="rId1"/>
        <a:stretch>
          <a:fillRect/>
        </a:stretch>
      </xdr:blipFill>
      <xdr:spPr>
        <a:xfrm>
          <a:off x="19050" y="8096250"/>
          <a:ext cx="971550" cy="628650"/>
        </a:xfrm>
        <a:prstGeom prst="rect">
          <a:avLst/>
        </a:prstGeom>
        <a:noFill/>
        <a:ln w="9525" cmpd="sng">
          <a:noFill/>
        </a:ln>
      </xdr:spPr>
    </xdr:pic>
    <xdr:clientData/>
  </xdr:twoCellAnchor>
  <xdr:twoCellAnchor editAs="oneCell">
    <xdr:from>
      <xdr:col>8</xdr:col>
      <xdr:colOff>266700</xdr:colOff>
      <xdr:row>0</xdr:row>
      <xdr:rowOff>123825</xdr:rowOff>
    </xdr:from>
    <xdr:to>
      <xdr:col>8</xdr:col>
      <xdr:colOff>838200</xdr:colOff>
      <xdr:row>2</xdr:row>
      <xdr:rowOff>161925</xdr:rowOff>
    </xdr:to>
    <xdr:pic>
      <xdr:nvPicPr>
        <xdr:cNvPr id="3" name="Picture 4" descr="L:\Bedryfsbediening\Templates\Graan SA - nuwe logo.jpg"/>
        <xdr:cNvPicPr preferRelativeResize="1">
          <a:picLocks noChangeAspect="1"/>
        </xdr:cNvPicPr>
      </xdr:nvPicPr>
      <xdr:blipFill>
        <a:blip r:embed="rId2"/>
        <a:stretch>
          <a:fillRect/>
        </a:stretch>
      </xdr:blipFill>
      <xdr:spPr>
        <a:xfrm>
          <a:off x="10325100" y="123825"/>
          <a:ext cx="5715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92</xdr:row>
      <xdr:rowOff>95250</xdr:rowOff>
    </xdr:from>
    <xdr:to>
      <xdr:col>7</xdr:col>
      <xdr:colOff>723900</xdr:colOff>
      <xdr:row>96</xdr:row>
      <xdr:rowOff>9525</xdr:rowOff>
    </xdr:to>
    <xdr:pic>
      <xdr:nvPicPr>
        <xdr:cNvPr id="1" name="Picture 3" descr="Graan SA - nuwe logo.jpg"/>
        <xdr:cNvPicPr preferRelativeResize="1">
          <a:picLocks noChangeAspect="1"/>
        </xdr:cNvPicPr>
      </xdr:nvPicPr>
      <xdr:blipFill>
        <a:blip r:embed="rId1"/>
        <a:stretch>
          <a:fillRect/>
        </a:stretch>
      </xdr:blipFill>
      <xdr:spPr>
        <a:xfrm>
          <a:off x="9010650" y="16287750"/>
          <a:ext cx="476250" cy="561975"/>
        </a:xfrm>
        <a:prstGeom prst="rect">
          <a:avLst/>
        </a:prstGeom>
        <a:noFill/>
        <a:ln w="9525" cmpd="sng">
          <a:noFill/>
        </a:ln>
      </xdr:spPr>
    </xdr:pic>
    <xdr:clientData/>
  </xdr:twoCellAnchor>
  <xdr:twoCellAnchor editAs="oneCell">
    <xdr:from>
      <xdr:col>8</xdr:col>
      <xdr:colOff>228600</xdr:colOff>
      <xdr:row>0</xdr:row>
      <xdr:rowOff>152400</xdr:rowOff>
    </xdr:from>
    <xdr:to>
      <xdr:col>8</xdr:col>
      <xdr:colOff>800100</xdr:colOff>
      <xdr:row>2</xdr:row>
      <xdr:rowOff>219075</xdr:rowOff>
    </xdr:to>
    <xdr:pic>
      <xdr:nvPicPr>
        <xdr:cNvPr id="2" name="Picture 3" descr="L:\Bedryfsbediening\Templates\Graan SA - nuwe logo.jpg"/>
        <xdr:cNvPicPr preferRelativeResize="1">
          <a:picLocks noChangeAspect="1"/>
        </xdr:cNvPicPr>
      </xdr:nvPicPr>
      <xdr:blipFill>
        <a:blip r:embed="rId2"/>
        <a:stretch>
          <a:fillRect/>
        </a:stretch>
      </xdr:blipFill>
      <xdr:spPr>
        <a:xfrm>
          <a:off x="9944100" y="152400"/>
          <a:ext cx="57150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79</xdr:row>
      <xdr:rowOff>152400</xdr:rowOff>
    </xdr:from>
    <xdr:to>
      <xdr:col>9</xdr:col>
      <xdr:colOff>885825</xdr:colOff>
      <xdr:row>86</xdr:row>
      <xdr:rowOff>85725</xdr:rowOff>
    </xdr:to>
    <xdr:pic>
      <xdr:nvPicPr>
        <xdr:cNvPr id="1" name="Picture 3" descr="Graan SA - nuwe logo.jpg"/>
        <xdr:cNvPicPr preferRelativeResize="1">
          <a:picLocks noChangeAspect="1"/>
        </xdr:cNvPicPr>
      </xdr:nvPicPr>
      <xdr:blipFill>
        <a:blip r:embed="rId1"/>
        <a:stretch>
          <a:fillRect/>
        </a:stretch>
      </xdr:blipFill>
      <xdr:spPr>
        <a:xfrm>
          <a:off x="11058525" y="14411325"/>
          <a:ext cx="800100" cy="1066800"/>
        </a:xfrm>
        <a:prstGeom prst="rect">
          <a:avLst/>
        </a:prstGeom>
        <a:noFill/>
        <a:ln w="9525" cmpd="sng">
          <a:noFill/>
        </a:ln>
      </xdr:spPr>
    </xdr:pic>
    <xdr:clientData/>
  </xdr:twoCellAnchor>
  <xdr:twoCellAnchor editAs="oneCell">
    <xdr:from>
      <xdr:col>8</xdr:col>
      <xdr:colOff>228600</xdr:colOff>
      <xdr:row>0</xdr:row>
      <xdr:rowOff>152400</xdr:rowOff>
    </xdr:from>
    <xdr:to>
      <xdr:col>8</xdr:col>
      <xdr:colOff>800100</xdr:colOff>
      <xdr:row>2</xdr:row>
      <xdr:rowOff>219075</xdr:rowOff>
    </xdr:to>
    <xdr:pic>
      <xdr:nvPicPr>
        <xdr:cNvPr id="2" name="Picture 3" descr="L:\Bedryfsbediening\Templates\Graan SA - nuwe logo.jpg"/>
        <xdr:cNvPicPr preferRelativeResize="1">
          <a:picLocks noChangeAspect="1"/>
        </xdr:cNvPicPr>
      </xdr:nvPicPr>
      <xdr:blipFill>
        <a:blip r:embed="rId2"/>
        <a:stretch>
          <a:fillRect/>
        </a:stretch>
      </xdr:blipFill>
      <xdr:spPr>
        <a:xfrm>
          <a:off x="10248900" y="152400"/>
          <a:ext cx="57150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0</xdr:row>
      <xdr:rowOff>123825</xdr:rowOff>
    </xdr:from>
    <xdr:to>
      <xdr:col>8</xdr:col>
      <xdr:colOff>771525</xdr:colOff>
      <xdr:row>2</xdr:row>
      <xdr:rowOff>219075</xdr:rowOff>
    </xdr:to>
    <xdr:pic>
      <xdr:nvPicPr>
        <xdr:cNvPr id="1" name="Picture 2" descr="L:\Bedryfsbediening\Templates\Graan SA - nuwe logo.jpg"/>
        <xdr:cNvPicPr preferRelativeResize="1">
          <a:picLocks noChangeAspect="1"/>
        </xdr:cNvPicPr>
      </xdr:nvPicPr>
      <xdr:blipFill>
        <a:blip r:embed="rId1"/>
        <a:stretch>
          <a:fillRect/>
        </a:stretch>
      </xdr:blipFill>
      <xdr:spPr>
        <a:xfrm>
          <a:off x="10220325" y="123825"/>
          <a:ext cx="5715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247650</xdr:colOff>
      <xdr:row>0</xdr:row>
      <xdr:rowOff>142875</xdr:rowOff>
    </xdr:from>
    <xdr:to>
      <xdr:col>8</xdr:col>
      <xdr:colOff>819150</xdr:colOff>
      <xdr:row>2</xdr:row>
      <xdr:rowOff>219075</xdr:rowOff>
    </xdr:to>
    <xdr:pic>
      <xdr:nvPicPr>
        <xdr:cNvPr id="1" name="Picture 2" descr="L:\Bedryfsbediening\Templates\Graan SA - nuwe logo.jpg"/>
        <xdr:cNvPicPr preferRelativeResize="1">
          <a:picLocks noChangeAspect="1"/>
        </xdr:cNvPicPr>
      </xdr:nvPicPr>
      <xdr:blipFill>
        <a:blip r:embed="rId1"/>
        <a:stretch>
          <a:fillRect/>
        </a:stretch>
      </xdr:blipFill>
      <xdr:spPr>
        <a:xfrm>
          <a:off x="10267950" y="142875"/>
          <a:ext cx="5715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69</xdr:row>
      <xdr:rowOff>133350</xdr:rowOff>
    </xdr:from>
    <xdr:to>
      <xdr:col>9</xdr:col>
      <xdr:colOff>914400</xdr:colOff>
      <xdr:row>75</xdr:row>
      <xdr:rowOff>66675</xdr:rowOff>
    </xdr:to>
    <xdr:pic>
      <xdr:nvPicPr>
        <xdr:cNvPr id="1" name="Picture 3" descr="Graan SA - nuwe logo.jpg"/>
        <xdr:cNvPicPr preferRelativeResize="1">
          <a:picLocks noChangeAspect="1"/>
        </xdr:cNvPicPr>
      </xdr:nvPicPr>
      <xdr:blipFill>
        <a:blip r:embed="rId1"/>
        <a:stretch>
          <a:fillRect/>
        </a:stretch>
      </xdr:blipFill>
      <xdr:spPr>
        <a:xfrm>
          <a:off x="10858500" y="13011150"/>
          <a:ext cx="781050" cy="904875"/>
        </a:xfrm>
        <a:prstGeom prst="rect">
          <a:avLst/>
        </a:prstGeom>
        <a:noFill/>
        <a:ln w="9525" cmpd="sng">
          <a:noFill/>
        </a:ln>
      </xdr:spPr>
    </xdr:pic>
    <xdr:clientData/>
  </xdr:twoCellAnchor>
  <xdr:twoCellAnchor>
    <xdr:from>
      <xdr:col>0</xdr:col>
      <xdr:colOff>19050</xdr:colOff>
      <xdr:row>40</xdr:row>
      <xdr:rowOff>19050</xdr:rowOff>
    </xdr:from>
    <xdr:to>
      <xdr:col>0</xdr:col>
      <xdr:colOff>990600</xdr:colOff>
      <xdr:row>43</xdr:row>
      <xdr:rowOff>161925</xdr:rowOff>
    </xdr:to>
    <xdr:pic>
      <xdr:nvPicPr>
        <xdr:cNvPr id="2" name="Picture 3" descr="http://www.maizetrust.co.za/images/masthead.jpg"/>
        <xdr:cNvPicPr preferRelativeResize="1">
          <a:picLocks noChangeAspect="1"/>
        </xdr:cNvPicPr>
      </xdr:nvPicPr>
      <xdr:blipFill>
        <a:blip r:embed="rId2"/>
        <a:stretch>
          <a:fillRect/>
        </a:stretch>
      </xdr:blipFill>
      <xdr:spPr>
        <a:xfrm>
          <a:off x="19050" y="8191500"/>
          <a:ext cx="971550" cy="628650"/>
        </a:xfrm>
        <a:prstGeom prst="rect">
          <a:avLst/>
        </a:prstGeom>
        <a:noFill/>
        <a:ln w="9525" cmpd="sng">
          <a:noFill/>
        </a:ln>
      </xdr:spPr>
    </xdr:pic>
    <xdr:clientData/>
  </xdr:twoCellAnchor>
  <xdr:twoCellAnchor editAs="oneCell">
    <xdr:from>
      <xdr:col>8</xdr:col>
      <xdr:colOff>257175</xdr:colOff>
      <xdr:row>0</xdr:row>
      <xdr:rowOff>190500</xdr:rowOff>
    </xdr:from>
    <xdr:to>
      <xdr:col>8</xdr:col>
      <xdr:colOff>828675</xdr:colOff>
      <xdr:row>2</xdr:row>
      <xdr:rowOff>257175</xdr:rowOff>
    </xdr:to>
    <xdr:pic>
      <xdr:nvPicPr>
        <xdr:cNvPr id="3" name="Picture 4" descr="L:\Bedryfsbediening\Templates\Graan SA - nuwe logo.jpg"/>
        <xdr:cNvPicPr preferRelativeResize="1">
          <a:picLocks noChangeAspect="1"/>
        </xdr:cNvPicPr>
      </xdr:nvPicPr>
      <xdr:blipFill>
        <a:blip r:embed="rId3"/>
        <a:stretch>
          <a:fillRect/>
        </a:stretch>
      </xdr:blipFill>
      <xdr:spPr>
        <a:xfrm>
          <a:off x="10029825" y="190500"/>
          <a:ext cx="5715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etru\AppData\Local\Microsoft\Windows\Temporary%20Internet%20Files\Content.Outlook\OCSLA1IY\GSA-16-17%20Noordwes%20begroting%20North%20West%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se"/>
      <sheetName val="W-Mielie "/>
      <sheetName val="W-BT Mielies"/>
      <sheetName val="W-Roundup R mielies "/>
      <sheetName val="Stapelgeen Mielie"/>
      <sheetName val="Sonneblom"/>
      <sheetName val="Sojabone"/>
      <sheetName val="Graansorghum"/>
      <sheetName val="Grondbone"/>
      <sheetName val="Bes-mielies"/>
    </sheetNames>
    <sheetDataSet>
      <sheetData sheetId="2">
        <row r="9">
          <cell r="K9">
            <v>2.5</v>
          </cell>
        </row>
        <row r="10">
          <cell r="K10">
            <v>3</v>
          </cell>
        </row>
        <row r="11">
          <cell r="K11">
            <v>3.5</v>
          </cell>
        </row>
        <row r="12">
          <cell r="K12">
            <v>4</v>
          </cell>
        </row>
        <row r="13">
          <cell r="K13">
            <v>4.5</v>
          </cell>
        </row>
        <row r="14">
          <cell r="K1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92"/>
  <sheetViews>
    <sheetView tabSelected="1" zoomScale="115" zoomScaleNormal="115" zoomScalePageLayoutView="0" workbookViewId="0" topLeftCell="A1">
      <selection activeCell="A1" sqref="A1"/>
    </sheetView>
  </sheetViews>
  <sheetFormatPr defaultColWidth="9.140625" defaultRowHeight="12.75"/>
  <cols>
    <col min="1" max="1" width="52.421875" style="204" customWidth="1"/>
    <col min="2" max="2" width="19.140625" style="204" bestFit="1" customWidth="1"/>
    <col min="3" max="3" width="3.28125" style="198" customWidth="1"/>
    <col min="4" max="4" width="23.7109375" style="84" customWidth="1"/>
    <col min="5" max="12" width="10.7109375" style="84" customWidth="1"/>
    <col min="13" max="15" width="9.140625" style="84" customWidth="1"/>
    <col min="16" max="16" width="22.7109375" style="84" customWidth="1"/>
    <col min="17" max="17" width="11.7109375" style="84" customWidth="1"/>
    <col min="18" max="26" width="9.421875" style="84" customWidth="1"/>
    <col min="27" max="16384" width="9.140625" style="84" customWidth="1"/>
  </cols>
  <sheetData>
    <row r="1" spans="1:14" s="205" customFormat="1" ht="28.5" customHeight="1">
      <c r="A1" s="202" t="s">
        <v>56</v>
      </c>
      <c r="B1" s="203" t="s">
        <v>142</v>
      </c>
      <c r="C1" s="204"/>
      <c r="D1" s="204"/>
      <c r="E1" s="204"/>
      <c r="F1" s="204"/>
      <c r="G1" s="204"/>
      <c r="H1" s="204"/>
      <c r="I1" s="204"/>
      <c r="J1" s="204"/>
      <c r="K1" s="204"/>
      <c r="L1" s="204"/>
      <c r="M1" s="204"/>
      <c r="N1" s="204"/>
    </row>
    <row r="2" spans="1:14" s="205" customFormat="1" ht="13.5" customHeight="1">
      <c r="A2" s="206" t="s">
        <v>65</v>
      </c>
      <c r="B2" s="207">
        <v>44058</v>
      </c>
      <c r="C2" s="204"/>
      <c r="D2" s="204"/>
      <c r="E2" s="204"/>
      <c r="F2" s="204"/>
      <c r="G2" s="204"/>
      <c r="H2" s="204"/>
      <c r="I2" s="204"/>
      <c r="J2" s="204"/>
      <c r="K2" s="204"/>
      <c r="L2" s="204"/>
      <c r="M2" s="204"/>
      <c r="N2" s="204"/>
    </row>
    <row r="3" spans="1:12" s="205" customFormat="1" ht="27.75" customHeight="1">
      <c r="A3" s="224" t="s">
        <v>41</v>
      </c>
      <c r="B3" s="225" t="s">
        <v>42</v>
      </c>
      <c r="C3" s="204"/>
      <c r="D3" s="226" t="s">
        <v>43</v>
      </c>
      <c r="E3" s="204"/>
      <c r="F3" s="204"/>
      <c r="G3" s="204"/>
      <c r="H3" s="204"/>
      <c r="I3" s="204"/>
      <c r="J3" s="204"/>
      <c r="K3" s="204"/>
      <c r="L3" s="204"/>
    </row>
    <row r="4" spans="1:12" s="205" customFormat="1" ht="13.5" customHeight="1">
      <c r="A4" s="211" t="s">
        <v>143</v>
      </c>
      <c r="B4" s="208">
        <v>2700</v>
      </c>
      <c r="C4" s="209"/>
      <c r="D4" s="210">
        <v>296</v>
      </c>
      <c r="E4" s="204"/>
      <c r="F4" s="204"/>
      <c r="G4" s="204"/>
      <c r="H4" s="204"/>
      <c r="I4" s="204"/>
      <c r="J4" s="204"/>
      <c r="K4" s="204"/>
      <c r="L4" s="204"/>
    </row>
    <row r="5" spans="1:14" s="205" customFormat="1" ht="13.5" customHeight="1">
      <c r="A5" s="211" t="s">
        <v>144</v>
      </c>
      <c r="B5" s="208">
        <v>5850</v>
      </c>
      <c r="C5" s="209"/>
      <c r="D5" s="210">
        <v>354</v>
      </c>
      <c r="E5" s="204"/>
      <c r="F5" s="204"/>
      <c r="G5" s="204"/>
      <c r="H5" s="204"/>
      <c r="I5" s="204"/>
      <c r="J5" s="204"/>
      <c r="K5" s="204"/>
      <c r="L5" s="204"/>
      <c r="M5" s="204"/>
      <c r="N5" s="204"/>
    </row>
    <row r="6" spans="1:14" s="205" customFormat="1" ht="13.5" customHeight="1">
      <c r="A6" s="211" t="s">
        <v>145</v>
      </c>
      <c r="B6" s="208">
        <v>6250</v>
      </c>
      <c r="C6" s="209"/>
      <c r="D6" s="210">
        <f>63+65</f>
        <v>128</v>
      </c>
      <c r="E6" s="204"/>
      <c r="F6" s="204"/>
      <c r="G6" s="204"/>
      <c r="H6" s="204"/>
      <c r="I6" s="204"/>
      <c r="J6" s="204"/>
      <c r="K6" s="204"/>
      <c r="L6" s="204"/>
      <c r="M6" s="204"/>
      <c r="N6" s="204"/>
    </row>
    <row r="7" spans="1:14" s="205" customFormat="1" ht="13.5" customHeight="1">
      <c r="A7" s="211" t="s">
        <v>71</v>
      </c>
      <c r="B7" s="208">
        <v>3800</v>
      </c>
      <c r="C7" s="209"/>
      <c r="D7" s="210">
        <v>128</v>
      </c>
      <c r="E7" s="204"/>
      <c r="F7" s="204"/>
      <c r="G7" s="204"/>
      <c r="H7" s="204"/>
      <c r="I7" s="204"/>
      <c r="J7" s="204"/>
      <c r="K7" s="204"/>
      <c r="L7" s="204"/>
      <c r="M7" s="204"/>
      <c r="N7" s="204"/>
    </row>
    <row r="8" spans="1:14" s="205" customFormat="1" ht="13.5" customHeight="1">
      <c r="A8" s="211" t="s">
        <v>134</v>
      </c>
      <c r="B8" s="208">
        <v>13000</v>
      </c>
      <c r="C8" s="209"/>
      <c r="D8" s="210">
        <v>63</v>
      </c>
      <c r="E8" s="204"/>
      <c r="F8" s="204"/>
      <c r="G8" s="204"/>
      <c r="H8" s="204"/>
      <c r="I8" s="204"/>
      <c r="J8" s="204"/>
      <c r="K8" s="204"/>
      <c r="L8" s="204"/>
      <c r="M8" s="204"/>
      <c r="N8" s="204"/>
    </row>
    <row r="9" spans="1:14" s="205" customFormat="1" ht="13.5" customHeight="1">
      <c r="A9" s="211" t="s">
        <v>135</v>
      </c>
      <c r="B9" s="208">
        <v>10000</v>
      </c>
      <c r="C9" s="209"/>
      <c r="D9" s="210"/>
      <c r="E9" s="204"/>
      <c r="F9" s="204"/>
      <c r="G9" s="204"/>
      <c r="H9" s="204"/>
      <c r="I9" s="204"/>
      <c r="J9" s="204"/>
      <c r="K9" s="204"/>
      <c r="L9" s="204"/>
      <c r="M9" s="204"/>
      <c r="N9" s="204"/>
    </row>
    <row r="10" spans="1:14" s="205" customFormat="1" ht="13.5" customHeight="1">
      <c r="A10" s="211" t="s">
        <v>44</v>
      </c>
      <c r="B10" s="208">
        <v>8000</v>
      </c>
      <c r="C10" s="209"/>
      <c r="D10" s="209"/>
      <c r="E10" s="204"/>
      <c r="F10" s="204"/>
      <c r="G10" s="204"/>
      <c r="H10" s="204"/>
      <c r="I10" s="204"/>
      <c r="J10" s="204"/>
      <c r="K10" s="204"/>
      <c r="L10" s="204"/>
      <c r="M10" s="204"/>
      <c r="N10" s="204"/>
    </row>
    <row r="11" spans="1:14" s="205" customFormat="1" ht="13.5" customHeight="1">
      <c r="A11" s="211" t="s">
        <v>72</v>
      </c>
      <c r="B11" s="208">
        <v>3000</v>
      </c>
      <c r="C11" s="209"/>
      <c r="D11" s="209"/>
      <c r="E11" s="204"/>
      <c r="F11" s="204"/>
      <c r="G11" s="204"/>
      <c r="H11" s="204"/>
      <c r="I11" s="204"/>
      <c r="J11" s="204"/>
      <c r="K11" s="204"/>
      <c r="L11" s="204"/>
      <c r="M11" s="204"/>
      <c r="N11" s="204"/>
    </row>
    <row r="12" spans="1:14" s="205" customFormat="1" ht="13.5" customHeight="1">
      <c r="A12" s="211" t="s">
        <v>73</v>
      </c>
      <c r="B12" s="208">
        <v>1500</v>
      </c>
      <c r="C12" s="209"/>
      <c r="D12" s="209"/>
      <c r="E12" s="204"/>
      <c r="F12" s="204"/>
      <c r="G12" s="204"/>
      <c r="H12" s="204"/>
      <c r="I12" s="204"/>
      <c r="J12" s="204"/>
      <c r="K12" s="204"/>
      <c r="L12" s="204"/>
      <c r="M12" s="204"/>
      <c r="N12" s="204"/>
    </row>
    <row r="13" spans="1:14" s="205" customFormat="1" ht="13.5" customHeight="1">
      <c r="A13" s="211" t="s">
        <v>83</v>
      </c>
      <c r="B13" s="208">
        <v>0</v>
      </c>
      <c r="C13" s="209"/>
      <c r="D13" s="209"/>
      <c r="E13" s="204"/>
      <c r="F13" s="204"/>
      <c r="G13" s="204"/>
      <c r="H13" s="204"/>
      <c r="I13" s="204"/>
      <c r="J13" s="204"/>
      <c r="K13" s="204"/>
      <c r="L13" s="204"/>
      <c r="M13" s="204"/>
      <c r="N13" s="204"/>
    </row>
    <row r="14" spans="1:14" s="205" customFormat="1" ht="13.5" customHeight="1">
      <c r="A14" s="200"/>
      <c r="B14" s="201"/>
      <c r="C14" s="204"/>
      <c r="D14" s="204"/>
      <c r="E14" s="204"/>
      <c r="F14" s="204"/>
      <c r="G14" s="204"/>
      <c r="H14" s="204"/>
      <c r="I14" s="204"/>
      <c r="J14" s="204"/>
      <c r="K14" s="204"/>
      <c r="L14" s="204"/>
      <c r="M14" s="204"/>
      <c r="N14" s="204"/>
    </row>
    <row r="15" spans="1:14" s="199" customFormat="1" ht="13.5" customHeight="1">
      <c r="A15" s="202"/>
      <c r="B15" s="204"/>
      <c r="C15" s="198"/>
      <c r="D15" s="198"/>
      <c r="E15" s="198"/>
      <c r="F15" s="198"/>
      <c r="G15" s="198"/>
      <c r="H15" s="198"/>
      <c r="I15" s="198"/>
      <c r="J15" s="198"/>
      <c r="K15" s="198"/>
      <c r="L15" s="198"/>
      <c r="M15" s="198"/>
      <c r="N15" s="198"/>
    </row>
    <row r="16" spans="1:14" s="199" customFormat="1" ht="30.75" customHeight="1" thickBot="1">
      <c r="A16" s="241"/>
      <c r="B16" s="241"/>
      <c r="C16" s="198"/>
      <c r="D16" s="198"/>
      <c r="E16" s="198"/>
      <c r="F16" s="198"/>
      <c r="G16" s="198"/>
      <c r="H16" s="198"/>
      <c r="I16" s="198"/>
      <c r="J16" s="198"/>
      <c r="K16" s="198"/>
      <c r="L16" s="198"/>
      <c r="M16" s="198"/>
      <c r="N16" s="198"/>
    </row>
    <row r="17" spans="1:26" ht="26.25" customHeight="1" thickBot="1">
      <c r="A17" s="232" t="s">
        <v>67</v>
      </c>
      <c r="B17" s="232"/>
      <c r="C17" s="212"/>
      <c r="D17" s="233" t="s">
        <v>85</v>
      </c>
      <c r="E17" s="234"/>
      <c r="F17" s="234"/>
      <c r="G17" s="234"/>
      <c r="H17" s="234"/>
      <c r="I17" s="234"/>
      <c r="J17" s="234"/>
      <c r="K17" s="234"/>
      <c r="L17" s="234"/>
      <c r="M17" s="234"/>
      <c r="N17" s="235"/>
      <c r="P17" s="233" t="s">
        <v>92</v>
      </c>
      <c r="Q17" s="234"/>
      <c r="R17" s="234"/>
      <c r="S17" s="234"/>
      <c r="T17" s="234"/>
      <c r="U17" s="234"/>
      <c r="V17" s="234"/>
      <c r="W17" s="234"/>
      <c r="X17" s="234"/>
      <c r="Y17" s="234"/>
      <c r="Z17" s="235"/>
    </row>
    <row r="18" spans="1:26" ht="13.5" customHeight="1" thickBot="1">
      <c r="A18" s="220" t="s">
        <v>45</v>
      </c>
      <c r="B18" s="227">
        <f>INDEX('W-RR mielies Laer opbrengs '!M9:O14,MATCH($B$22,RRLopbrengspeil,0),2)</f>
        <v>6529.688106974278</v>
      </c>
      <c r="C18" s="213"/>
      <c r="D18" s="87"/>
      <c r="E18" s="88"/>
      <c r="F18" s="89"/>
      <c r="G18" s="90"/>
      <c r="H18" s="89"/>
      <c r="I18" s="89"/>
      <c r="J18" s="89" t="s">
        <v>46</v>
      </c>
      <c r="K18" s="91"/>
      <c r="L18" s="89"/>
      <c r="M18" s="91"/>
      <c r="N18" s="89"/>
      <c r="P18" s="87"/>
      <c r="Q18" s="88"/>
      <c r="R18" s="89"/>
      <c r="S18" s="90"/>
      <c r="T18" s="89"/>
      <c r="U18" s="89"/>
      <c r="V18" s="89" t="s">
        <v>46</v>
      </c>
      <c r="W18" s="91"/>
      <c r="X18" s="89"/>
      <c r="Y18" s="91"/>
      <c r="Z18" s="89"/>
    </row>
    <row r="19" spans="1:26" ht="13.5" customHeight="1" thickBot="1">
      <c r="A19" s="220" t="s">
        <v>47</v>
      </c>
      <c r="B19" s="228">
        <f>INDEX('W-RR mielies Laer opbrengs '!M9:O14,MATCH($B$22,RRLopbrengspeil,0),3)</f>
        <v>2634.77</v>
      </c>
      <c r="C19" s="213"/>
      <c r="D19" s="233" t="s">
        <v>48</v>
      </c>
      <c r="E19" s="235"/>
      <c r="F19" s="92">
        <f>G19-250</f>
        <v>1700</v>
      </c>
      <c r="G19" s="92">
        <f>H19-250</f>
        <v>1950</v>
      </c>
      <c r="H19" s="92">
        <f>I19-250</f>
        <v>2200</v>
      </c>
      <c r="I19" s="92">
        <f>J19-250</f>
        <v>2450</v>
      </c>
      <c r="J19" s="93">
        <f>B24</f>
        <v>2700</v>
      </c>
      <c r="K19" s="92">
        <f>J19+250</f>
        <v>2950</v>
      </c>
      <c r="L19" s="92">
        <f>K19+250</f>
        <v>3200</v>
      </c>
      <c r="M19" s="92">
        <f>L19+250</f>
        <v>3450</v>
      </c>
      <c r="N19" s="92">
        <f>M19+250</f>
        <v>3700</v>
      </c>
      <c r="P19" s="233" t="s">
        <v>48</v>
      </c>
      <c r="Q19" s="235"/>
      <c r="R19" s="94">
        <f>S19-250</f>
        <v>1700</v>
      </c>
      <c r="S19" s="94">
        <f>T19-250</f>
        <v>1950</v>
      </c>
      <c r="T19" s="94">
        <f>U19-250</f>
        <v>2200</v>
      </c>
      <c r="U19" s="94">
        <f>V19-250</f>
        <v>2450</v>
      </c>
      <c r="V19" s="95">
        <f>J19</f>
        <v>2700</v>
      </c>
      <c r="W19" s="94">
        <f>V19+250</f>
        <v>2950</v>
      </c>
      <c r="X19" s="94">
        <f>W19+250</f>
        <v>3200</v>
      </c>
      <c r="Y19" s="94">
        <f>X19+250</f>
        <v>3450</v>
      </c>
      <c r="Z19" s="94">
        <f>Y19+250</f>
        <v>3700</v>
      </c>
    </row>
    <row r="20" spans="1:26" ht="13.5" customHeight="1" thickBot="1">
      <c r="A20" s="221" t="s">
        <v>49</v>
      </c>
      <c r="B20" s="229">
        <f>B19+B18</f>
        <v>9164.458106974278</v>
      </c>
      <c r="C20" s="214"/>
      <c r="D20" s="236" t="s">
        <v>50</v>
      </c>
      <c r="E20" s="237"/>
      <c r="F20" s="96">
        <f aca="true" t="shared" si="0" ref="F20:N20">F19-$B$25</f>
        <v>1404</v>
      </c>
      <c r="G20" s="96">
        <f t="shared" si="0"/>
        <v>1654</v>
      </c>
      <c r="H20" s="96">
        <f t="shared" si="0"/>
        <v>1904</v>
      </c>
      <c r="I20" s="96">
        <f t="shared" si="0"/>
        <v>2154</v>
      </c>
      <c r="J20" s="97">
        <f t="shared" si="0"/>
        <v>2404</v>
      </c>
      <c r="K20" s="96">
        <f t="shared" si="0"/>
        <v>2654</v>
      </c>
      <c r="L20" s="96">
        <f t="shared" si="0"/>
        <v>2904</v>
      </c>
      <c r="M20" s="96">
        <f t="shared" si="0"/>
        <v>3154</v>
      </c>
      <c r="N20" s="96">
        <f t="shared" si="0"/>
        <v>3404</v>
      </c>
      <c r="P20" s="236" t="s">
        <v>50</v>
      </c>
      <c r="Q20" s="237"/>
      <c r="R20" s="96">
        <f aca="true" t="shared" si="1" ref="R20:Z20">R19-$B$25</f>
        <v>1404</v>
      </c>
      <c r="S20" s="96">
        <f t="shared" si="1"/>
        <v>1654</v>
      </c>
      <c r="T20" s="96">
        <f t="shared" si="1"/>
        <v>1904</v>
      </c>
      <c r="U20" s="96">
        <f t="shared" si="1"/>
        <v>2154</v>
      </c>
      <c r="V20" s="98">
        <f t="shared" si="1"/>
        <v>2404</v>
      </c>
      <c r="W20" s="96">
        <f t="shared" si="1"/>
        <v>2654</v>
      </c>
      <c r="X20" s="96">
        <f t="shared" si="1"/>
        <v>2904</v>
      </c>
      <c r="Y20" s="96">
        <f t="shared" si="1"/>
        <v>3154</v>
      </c>
      <c r="Z20" s="96">
        <f t="shared" si="1"/>
        <v>3404</v>
      </c>
    </row>
    <row r="21" spans="1:26" ht="13.5" customHeight="1" thickBot="1">
      <c r="A21" s="220"/>
      <c r="B21" s="213"/>
      <c r="C21" s="213"/>
      <c r="D21" s="238" t="s">
        <v>51</v>
      </c>
      <c r="E21" s="99">
        <f>E22-0.5</f>
        <v>2.5</v>
      </c>
      <c r="F21" s="100">
        <f>F$20-($B$20/$E21)</f>
        <v>-2261.783242789711</v>
      </c>
      <c r="G21" s="101">
        <f aca="true" t="shared" si="2" ref="F21:N25">G$20-($B$20/$E21)</f>
        <v>-2011.783242789711</v>
      </c>
      <c r="H21" s="101">
        <f t="shared" si="2"/>
        <v>-1761.783242789711</v>
      </c>
      <c r="I21" s="101">
        <f t="shared" si="2"/>
        <v>-1511.783242789711</v>
      </c>
      <c r="J21" s="101">
        <f t="shared" si="2"/>
        <v>-1261.783242789711</v>
      </c>
      <c r="K21" s="101">
        <f t="shared" si="2"/>
        <v>-1011.783242789711</v>
      </c>
      <c r="L21" s="101">
        <f t="shared" si="2"/>
        <v>-761.783242789711</v>
      </c>
      <c r="M21" s="102">
        <f t="shared" si="2"/>
        <v>-511.78324278971104</v>
      </c>
      <c r="N21" s="103">
        <f t="shared" si="2"/>
        <v>-261.78324278971104</v>
      </c>
      <c r="P21" s="238" t="s">
        <v>51</v>
      </c>
      <c r="Q21" s="99">
        <f>Q22-0.5</f>
        <v>2.5</v>
      </c>
      <c r="R21" s="100">
        <f>R$20-($B$18/$E21)</f>
        <v>-1207.8752427897111</v>
      </c>
      <c r="S21" s="100">
        <f aca="true" t="shared" si="3" ref="S21:Z25">S$20-($B$18/$E21)</f>
        <v>-957.8752427897111</v>
      </c>
      <c r="T21" s="100">
        <f t="shared" si="3"/>
        <v>-707.8752427897111</v>
      </c>
      <c r="U21" s="100">
        <f t="shared" si="3"/>
        <v>-457.87524278971114</v>
      </c>
      <c r="V21" s="100">
        <f t="shared" si="3"/>
        <v>-207.87524278971114</v>
      </c>
      <c r="W21" s="100">
        <f t="shared" si="3"/>
        <v>42.12475721028886</v>
      </c>
      <c r="X21" s="100">
        <f t="shared" si="3"/>
        <v>292.12475721028886</v>
      </c>
      <c r="Y21" s="100">
        <f t="shared" si="3"/>
        <v>542.1247572102889</v>
      </c>
      <c r="Z21" s="100">
        <f t="shared" si="3"/>
        <v>792.1247572102889</v>
      </c>
    </row>
    <row r="22" spans="1:26" ht="13.5" customHeight="1" thickBot="1">
      <c r="A22" s="220" t="s">
        <v>52</v>
      </c>
      <c r="B22" s="222">
        <v>3.5</v>
      </c>
      <c r="C22" s="213"/>
      <c r="D22" s="239"/>
      <c r="E22" s="99">
        <f>E23-0.5</f>
        <v>3</v>
      </c>
      <c r="F22" s="104">
        <f t="shared" si="2"/>
        <v>-1650.819368991426</v>
      </c>
      <c r="G22" s="105">
        <f t="shared" si="2"/>
        <v>-1400.819368991426</v>
      </c>
      <c r="H22" s="105">
        <f t="shared" si="2"/>
        <v>-1150.819368991426</v>
      </c>
      <c r="I22" s="105">
        <f t="shared" si="2"/>
        <v>-900.819368991426</v>
      </c>
      <c r="J22" s="105">
        <f t="shared" si="2"/>
        <v>-650.819368991426</v>
      </c>
      <c r="K22" s="106">
        <f t="shared" si="2"/>
        <v>-400.819368991426</v>
      </c>
      <c r="L22" s="106">
        <f t="shared" si="2"/>
        <v>-150.81936899142602</v>
      </c>
      <c r="M22" s="106">
        <f t="shared" si="2"/>
        <v>99.18063100857398</v>
      </c>
      <c r="N22" s="107">
        <f t="shared" si="2"/>
        <v>349.180631008574</v>
      </c>
      <c r="P22" s="239"/>
      <c r="Q22" s="99">
        <f>Q23-0.5</f>
        <v>3</v>
      </c>
      <c r="R22" s="100">
        <f>R$20-($B$18/$E22)</f>
        <v>-772.5627023247594</v>
      </c>
      <c r="S22" s="100">
        <f t="shared" si="3"/>
        <v>-522.5627023247594</v>
      </c>
      <c r="T22" s="100">
        <f t="shared" si="3"/>
        <v>-272.56270232475936</v>
      </c>
      <c r="U22" s="100">
        <f t="shared" si="3"/>
        <v>-22.562702324759357</v>
      </c>
      <c r="V22" s="100">
        <f t="shared" si="3"/>
        <v>227.43729767524064</v>
      </c>
      <c r="W22" s="100">
        <f t="shared" si="3"/>
        <v>477.43729767524064</v>
      </c>
      <c r="X22" s="100">
        <f t="shared" si="3"/>
        <v>727.4372976752406</v>
      </c>
      <c r="Y22" s="100">
        <f t="shared" si="3"/>
        <v>977.4372976752406</v>
      </c>
      <c r="Z22" s="100">
        <f t="shared" si="3"/>
        <v>1227.4372976752406</v>
      </c>
    </row>
    <row r="23" spans="1:26" ht="13.5" customHeight="1" thickBot="1">
      <c r="A23" s="220"/>
      <c r="B23" s="213"/>
      <c r="C23" s="213"/>
      <c r="D23" s="239"/>
      <c r="E23" s="108">
        <f>B22</f>
        <v>3.5</v>
      </c>
      <c r="F23" s="104">
        <f t="shared" si="2"/>
        <v>-1214.416601992651</v>
      </c>
      <c r="G23" s="105">
        <f t="shared" si="2"/>
        <v>-964.4166019926511</v>
      </c>
      <c r="H23" s="105">
        <f>H$20-($B$20/$E23)</f>
        <v>-714.4166019926511</v>
      </c>
      <c r="I23" s="105">
        <f>I$20-($B$20/$E23)</f>
        <v>-464.41660199265107</v>
      </c>
      <c r="J23" s="106">
        <f t="shared" si="2"/>
        <v>-214.41660199265107</v>
      </c>
      <c r="K23" s="106">
        <f t="shared" si="2"/>
        <v>35.58339800734893</v>
      </c>
      <c r="L23" s="106">
        <f t="shared" si="2"/>
        <v>285.58339800734893</v>
      </c>
      <c r="M23" s="106">
        <f>M$20-($B$20/$E23)</f>
        <v>535.5833980073489</v>
      </c>
      <c r="N23" s="107">
        <f t="shared" si="2"/>
        <v>785.5833980073489</v>
      </c>
      <c r="P23" s="239"/>
      <c r="Q23" s="108">
        <f>E23</f>
        <v>3.5</v>
      </c>
      <c r="R23" s="100">
        <f>R$20-($B$18/$E23)</f>
        <v>-461.62517342122214</v>
      </c>
      <c r="S23" s="100">
        <f>S$20-($B$18/$E23)</f>
        <v>-211.62517342122214</v>
      </c>
      <c r="T23" s="100">
        <f t="shared" si="3"/>
        <v>38.374826578777856</v>
      </c>
      <c r="U23" s="100">
        <f t="shared" si="3"/>
        <v>288.37482657877786</v>
      </c>
      <c r="V23" s="100">
        <f t="shared" si="3"/>
        <v>538.3748265787779</v>
      </c>
      <c r="W23" s="100">
        <f t="shared" si="3"/>
        <v>788.3748265787779</v>
      </c>
      <c r="X23" s="100">
        <f t="shared" si="3"/>
        <v>1038.3748265787779</v>
      </c>
      <c r="Y23" s="100">
        <f t="shared" si="3"/>
        <v>1288.3748265787779</v>
      </c>
      <c r="Z23" s="100">
        <f t="shared" si="3"/>
        <v>1538.3748265787779</v>
      </c>
    </row>
    <row r="24" spans="1:26" ht="13.5" customHeight="1" thickBot="1">
      <c r="A24" s="220" t="s">
        <v>146</v>
      </c>
      <c r="B24" s="227">
        <f>$B$4</f>
        <v>2700</v>
      </c>
      <c r="C24" s="213"/>
      <c r="D24" s="239"/>
      <c r="E24" s="99">
        <f>E23+0.5</f>
        <v>4</v>
      </c>
      <c r="F24" s="104">
        <f t="shared" si="2"/>
        <v>-887.1145267435695</v>
      </c>
      <c r="G24" s="105">
        <f t="shared" si="2"/>
        <v>-637.1145267435695</v>
      </c>
      <c r="H24" s="105">
        <f t="shared" si="2"/>
        <v>-387.1145267435695</v>
      </c>
      <c r="I24" s="106">
        <f t="shared" si="2"/>
        <v>-137.1145267435695</v>
      </c>
      <c r="J24" s="106">
        <f t="shared" si="2"/>
        <v>112.88547325643049</v>
      </c>
      <c r="K24" s="106">
        <f t="shared" si="2"/>
        <v>362.8854732564305</v>
      </c>
      <c r="L24" s="106">
        <f t="shared" si="2"/>
        <v>612.8854732564305</v>
      </c>
      <c r="M24" s="106">
        <f t="shared" si="2"/>
        <v>862.8854732564305</v>
      </c>
      <c r="N24" s="107">
        <f t="shared" si="2"/>
        <v>1112.8854732564305</v>
      </c>
      <c r="P24" s="239"/>
      <c r="Q24" s="99">
        <f>Q23+0.5</f>
        <v>4</v>
      </c>
      <c r="R24" s="100">
        <f>R$20-($B$18/$E24)</f>
        <v>-228.4220267435694</v>
      </c>
      <c r="S24" s="100">
        <f t="shared" si="3"/>
        <v>21.577973256430596</v>
      </c>
      <c r="T24" s="100">
        <f t="shared" si="3"/>
        <v>271.5779732564306</v>
      </c>
      <c r="U24" s="100">
        <f t="shared" si="3"/>
        <v>521.5779732564306</v>
      </c>
      <c r="V24" s="100">
        <f t="shared" si="3"/>
        <v>771.5779732564306</v>
      </c>
      <c r="W24" s="100">
        <f t="shared" si="3"/>
        <v>1021.5779732564306</v>
      </c>
      <c r="X24" s="100">
        <f t="shared" si="3"/>
        <v>1271.5779732564306</v>
      </c>
      <c r="Y24" s="100">
        <f t="shared" si="3"/>
        <v>1521.5779732564306</v>
      </c>
      <c r="Z24" s="100">
        <f t="shared" si="3"/>
        <v>1771.5779732564306</v>
      </c>
    </row>
    <row r="25" spans="1:26" ht="13.5" customHeight="1" thickBot="1">
      <c r="A25" s="223" t="s">
        <v>53</v>
      </c>
      <c r="B25" s="228">
        <f>D4</f>
        <v>296</v>
      </c>
      <c r="C25" s="213"/>
      <c r="D25" s="240"/>
      <c r="E25" s="99">
        <f>E24+0.5</f>
        <v>4.5</v>
      </c>
      <c r="F25" s="109">
        <f t="shared" si="2"/>
        <v>-632.5462459942839</v>
      </c>
      <c r="G25" s="110">
        <f t="shared" si="2"/>
        <v>-382.54624599428394</v>
      </c>
      <c r="H25" s="111">
        <f t="shared" si="2"/>
        <v>-132.54624599428394</v>
      </c>
      <c r="I25" s="111">
        <f t="shared" si="2"/>
        <v>117.45375400571606</v>
      </c>
      <c r="J25" s="111">
        <f t="shared" si="2"/>
        <v>367.45375400571606</v>
      </c>
      <c r="K25" s="111">
        <f t="shared" si="2"/>
        <v>617.4537540057161</v>
      </c>
      <c r="L25" s="111">
        <f t="shared" si="2"/>
        <v>867.4537540057161</v>
      </c>
      <c r="M25" s="111">
        <f t="shared" si="2"/>
        <v>1117.453754005716</v>
      </c>
      <c r="N25" s="112">
        <f>N$20-($B$20/$E25)</f>
        <v>1367.453754005716</v>
      </c>
      <c r="P25" s="240"/>
      <c r="Q25" s="99">
        <f>Q24+0.5</f>
        <v>4.5</v>
      </c>
      <c r="R25" s="100">
        <f>R$20-($B$18/$E25)</f>
        <v>-47.04180154983942</v>
      </c>
      <c r="S25" s="100">
        <f>S$20-($B$18/$E25)</f>
        <v>202.95819845016058</v>
      </c>
      <c r="T25" s="100">
        <f t="shared" si="3"/>
        <v>452.9581984501606</v>
      </c>
      <c r="U25" s="100">
        <f t="shared" si="3"/>
        <v>702.9581984501606</v>
      </c>
      <c r="V25" s="100">
        <f t="shared" si="3"/>
        <v>952.9581984501606</v>
      </c>
      <c r="W25" s="100">
        <f t="shared" si="3"/>
        <v>1202.9581984501606</v>
      </c>
      <c r="X25" s="100">
        <f t="shared" si="3"/>
        <v>1452.9581984501606</v>
      </c>
      <c r="Y25" s="100">
        <f t="shared" si="3"/>
        <v>1702.9581984501606</v>
      </c>
      <c r="Z25" s="100">
        <f t="shared" si="3"/>
        <v>1952.9581984501606</v>
      </c>
    </row>
    <row r="26" spans="1:24" ht="13.5" customHeight="1">
      <c r="A26" s="215" t="s">
        <v>54</v>
      </c>
      <c r="B26" s="229">
        <f>B24-B25</f>
        <v>2404</v>
      </c>
      <c r="C26" s="213"/>
      <c r="D26" s="113"/>
      <c r="E26" s="114"/>
      <c r="F26" s="115"/>
      <c r="G26" s="115"/>
      <c r="H26" s="115"/>
      <c r="I26" s="115"/>
      <c r="J26" s="115"/>
      <c r="K26" s="115"/>
      <c r="L26" s="115"/>
      <c r="P26" s="113"/>
      <c r="Q26" s="114"/>
      <c r="R26" s="115"/>
      <c r="S26" s="115"/>
      <c r="T26" s="115"/>
      <c r="U26" s="115"/>
      <c r="V26" s="115"/>
      <c r="W26" s="115"/>
      <c r="X26" s="115"/>
    </row>
    <row r="27" spans="1:24" s="86" customFormat="1" ht="13.5" customHeight="1">
      <c r="A27" s="215"/>
      <c r="B27" s="214"/>
      <c r="C27" s="213"/>
      <c r="D27" s="116"/>
      <c r="E27" s="117"/>
      <c r="F27" s="115"/>
      <c r="G27" s="115"/>
      <c r="H27" s="115"/>
      <c r="I27" s="115"/>
      <c r="J27" s="115"/>
      <c r="K27" s="115"/>
      <c r="L27" s="115"/>
      <c r="P27" s="116"/>
      <c r="Q27" s="117"/>
      <c r="R27" s="115"/>
      <c r="S27" s="115"/>
      <c r="T27" s="115"/>
      <c r="U27" s="115"/>
      <c r="V27" s="115"/>
      <c r="W27" s="115"/>
      <c r="X27" s="115"/>
    </row>
    <row r="28" spans="1:24" ht="13.5" customHeight="1">
      <c r="A28" s="215"/>
      <c r="B28" s="214"/>
      <c r="C28" s="213"/>
      <c r="D28" s="113"/>
      <c r="E28" s="114"/>
      <c r="F28" s="115"/>
      <c r="G28" s="115"/>
      <c r="H28" s="115"/>
      <c r="I28" s="115"/>
      <c r="J28" s="115"/>
      <c r="K28" s="115"/>
      <c r="L28" s="115"/>
      <c r="P28" s="113"/>
      <c r="Q28" s="114"/>
      <c r="R28" s="115"/>
      <c r="S28" s="115"/>
      <c r="T28" s="115"/>
      <c r="U28" s="115"/>
      <c r="V28" s="115"/>
      <c r="W28" s="115"/>
      <c r="X28" s="115"/>
    </row>
    <row r="29" spans="1:14" s="85" customFormat="1" ht="33.75" customHeight="1" thickBot="1">
      <c r="A29" s="241"/>
      <c r="B29" s="241"/>
      <c r="C29" s="198"/>
      <c r="D29" s="84"/>
      <c r="E29" s="84"/>
      <c r="F29" s="84"/>
      <c r="G29" s="84"/>
      <c r="H29" s="84"/>
      <c r="I29" s="84"/>
      <c r="J29" s="84"/>
      <c r="K29" s="84"/>
      <c r="L29" s="84"/>
      <c r="M29" s="84"/>
      <c r="N29" s="84"/>
    </row>
    <row r="30" spans="1:26" ht="28.5" customHeight="1" thickBot="1">
      <c r="A30" s="232" t="s">
        <v>84</v>
      </c>
      <c r="B30" s="232"/>
      <c r="C30" s="212"/>
      <c r="D30" s="233" t="s">
        <v>85</v>
      </c>
      <c r="E30" s="234"/>
      <c r="F30" s="234"/>
      <c r="G30" s="234"/>
      <c r="H30" s="234"/>
      <c r="I30" s="234"/>
      <c r="J30" s="234"/>
      <c r="K30" s="234"/>
      <c r="L30" s="234"/>
      <c r="M30" s="234"/>
      <c r="N30" s="235"/>
      <c r="P30" s="233" t="s">
        <v>92</v>
      </c>
      <c r="Q30" s="234"/>
      <c r="R30" s="234"/>
      <c r="S30" s="234"/>
      <c r="T30" s="234"/>
      <c r="U30" s="234"/>
      <c r="V30" s="234"/>
      <c r="W30" s="234"/>
      <c r="X30" s="234"/>
      <c r="Y30" s="234"/>
      <c r="Z30" s="235"/>
    </row>
    <row r="31" spans="1:26" ht="13.5" customHeight="1" thickBot="1">
      <c r="A31" s="220" t="s">
        <v>45</v>
      </c>
      <c r="B31" s="227">
        <f>INDEX('W-RR mielies Hoer opbrengs  '!M9:O14,MATCH($B$35,RRHpbrengspeil,0),2)</f>
        <v>9157.16411941923</v>
      </c>
      <c r="C31" s="213"/>
      <c r="D31" s="87"/>
      <c r="E31" s="88"/>
      <c r="F31" s="89"/>
      <c r="G31" s="90"/>
      <c r="H31" s="89"/>
      <c r="I31" s="89"/>
      <c r="J31" s="89" t="s">
        <v>46</v>
      </c>
      <c r="K31" s="91"/>
      <c r="L31" s="89"/>
      <c r="M31" s="91"/>
      <c r="N31" s="89"/>
      <c r="P31" s="87"/>
      <c r="Q31" s="88"/>
      <c r="R31" s="89"/>
      <c r="S31" s="90"/>
      <c r="T31" s="89"/>
      <c r="U31" s="89"/>
      <c r="V31" s="89" t="s">
        <v>46</v>
      </c>
      <c r="W31" s="91"/>
      <c r="X31" s="89"/>
      <c r="Y31" s="91"/>
      <c r="Z31" s="89"/>
    </row>
    <row r="32" spans="1:26" ht="13.5" customHeight="1" thickBot="1">
      <c r="A32" s="220" t="s">
        <v>47</v>
      </c>
      <c r="B32" s="228">
        <f>INDEX('W-RR mielies Hoer opbrengs  '!M9:O14,MATCH($B$35,RRHpbrengspeil,0),3)</f>
        <v>2521.01</v>
      </c>
      <c r="C32" s="213"/>
      <c r="D32" s="233" t="s">
        <v>48</v>
      </c>
      <c r="E32" s="235"/>
      <c r="F32" s="92">
        <f>G32-250</f>
        <v>1700</v>
      </c>
      <c r="G32" s="92">
        <f>H32-250</f>
        <v>1950</v>
      </c>
      <c r="H32" s="92">
        <f>I32-250</f>
        <v>2200</v>
      </c>
      <c r="I32" s="92">
        <f>J32-250</f>
        <v>2450</v>
      </c>
      <c r="J32" s="93">
        <f>B37</f>
        <v>2700</v>
      </c>
      <c r="K32" s="92">
        <f>J32+250</f>
        <v>2950</v>
      </c>
      <c r="L32" s="92">
        <f>K32+250</f>
        <v>3200</v>
      </c>
      <c r="M32" s="92">
        <f>L32+250</f>
        <v>3450</v>
      </c>
      <c r="N32" s="92">
        <f>M32+250</f>
        <v>3700</v>
      </c>
      <c r="P32" s="233" t="s">
        <v>48</v>
      </c>
      <c r="Q32" s="235"/>
      <c r="R32" s="94">
        <f>S32-250</f>
        <v>1700</v>
      </c>
      <c r="S32" s="94">
        <f>T32-250</f>
        <v>1950</v>
      </c>
      <c r="T32" s="94">
        <f>U32-250</f>
        <v>2200</v>
      </c>
      <c r="U32" s="94">
        <f>V32-250</f>
        <v>2450</v>
      </c>
      <c r="V32" s="95">
        <f>J32</f>
        <v>2700</v>
      </c>
      <c r="W32" s="94">
        <f>V32+250</f>
        <v>2950</v>
      </c>
      <c r="X32" s="94">
        <f>W32+250</f>
        <v>3200</v>
      </c>
      <c r="Y32" s="94">
        <f>X32+250</f>
        <v>3450</v>
      </c>
      <c r="Z32" s="94">
        <f>Y32+250</f>
        <v>3700</v>
      </c>
    </row>
    <row r="33" spans="1:26" ht="13.5" customHeight="1" thickBot="1">
      <c r="A33" s="221" t="s">
        <v>49</v>
      </c>
      <c r="B33" s="229">
        <f>B32+B31</f>
        <v>11678.174119419231</v>
      </c>
      <c r="C33" s="214"/>
      <c r="D33" s="236" t="s">
        <v>50</v>
      </c>
      <c r="E33" s="237"/>
      <c r="F33" s="96">
        <f aca="true" t="shared" si="4" ref="F33:N33">F32-$B$25</f>
        <v>1404</v>
      </c>
      <c r="G33" s="96">
        <f t="shared" si="4"/>
        <v>1654</v>
      </c>
      <c r="H33" s="96">
        <f t="shared" si="4"/>
        <v>1904</v>
      </c>
      <c r="I33" s="96">
        <f t="shared" si="4"/>
        <v>2154</v>
      </c>
      <c r="J33" s="97">
        <f t="shared" si="4"/>
        <v>2404</v>
      </c>
      <c r="K33" s="96">
        <f t="shared" si="4"/>
        <v>2654</v>
      </c>
      <c r="L33" s="96">
        <f t="shared" si="4"/>
        <v>2904</v>
      </c>
      <c r="M33" s="96">
        <f t="shared" si="4"/>
        <v>3154</v>
      </c>
      <c r="N33" s="96">
        <f t="shared" si="4"/>
        <v>3404</v>
      </c>
      <c r="P33" s="236" t="s">
        <v>50</v>
      </c>
      <c r="Q33" s="237"/>
      <c r="R33" s="96">
        <f aca="true" t="shared" si="5" ref="R33:Z33">R32-$B$25</f>
        <v>1404</v>
      </c>
      <c r="S33" s="96">
        <f t="shared" si="5"/>
        <v>1654</v>
      </c>
      <c r="T33" s="96">
        <f t="shared" si="5"/>
        <v>1904</v>
      </c>
      <c r="U33" s="96">
        <f t="shared" si="5"/>
        <v>2154</v>
      </c>
      <c r="V33" s="98">
        <f t="shared" si="5"/>
        <v>2404</v>
      </c>
      <c r="W33" s="96">
        <f t="shared" si="5"/>
        <v>2654</v>
      </c>
      <c r="X33" s="96">
        <f t="shared" si="5"/>
        <v>2904</v>
      </c>
      <c r="Y33" s="96">
        <f t="shared" si="5"/>
        <v>3154</v>
      </c>
      <c r="Z33" s="96">
        <f t="shared" si="5"/>
        <v>3404</v>
      </c>
    </row>
    <row r="34" spans="1:26" ht="13.5" customHeight="1" thickBot="1">
      <c r="A34" s="220"/>
      <c r="B34" s="213"/>
      <c r="C34" s="213"/>
      <c r="D34" s="238" t="s">
        <v>51</v>
      </c>
      <c r="E34" s="99">
        <f>E35-0.5</f>
        <v>5.5</v>
      </c>
      <c r="F34" s="100">
        <f aca="true" t="shared" si="6" ref="F34:N38">F$33-($B$33/$E34)</f>
        <v>-719.3043853489512</v>
      </c>
      <c r="G34" s="100">
        <f t="shared" si="6"/>
        <v>-469.3043853489512</v>
      </c>
      <c r="H34" s="100">
        <f t="shared" si="6"/>
        <v>-219.3043853489512</v>
      </c>
      <c r="I34" s="100">
        <f t="shared" si="6"/>
        <v>30.6956146510488</v>
      </c>
      <c r="J34" s="100">
        <f t="shared" si="6"/>
        <v>280.6956146510488</v>
      </c>
      <c r="K34" s="100">
        <f t="shared" si="6"/>
        <v>530.6956146510488</v>
      </c>
      <c r="L34" s="100">
        <f t="shared" si="6"/>
        <v>780.6956146510488</v>
      </c>
      <c r="M34" s="100">
        <f t="shared" si="6"/>
        <v>1030.6956146510488</v>
      </c>
      <c r="N34" s="100">
        <f t="shared" si="6"/>
        <v>1280.6956146510488</v>
      </c>
      <c r="P34" s="238" t="s">
        <v>51</v>
      </c>
      <c r="Q34" s="99">
        <f>Q35-0.5</f>
        <v>5.5</v>
      </c>
      <c r="R34" s="100">
        <f aca="true" t="shared" si="7" ref="R34:Z38">R$33-($B$31/$E34)</f>
        <v>-260.93893080349653</v>
      </c>
      <c r="S34" s="100">
        <f t="shared" si="7"/>
        <v>-10.938930803496532</v>
      </c>
      <c r="T34" s="100">
        <f t="shared" si="7"/>
        <v>239.06106919650347</v>
      </c>
      <c r="U34" s="100">
        <f t="shared" si="7"/>
        <v>489.06106919650347</v>
      </c>
      <c r="V34" s="100">
        <f t="shared" si="7"/>
        <v>739.0610691965035</v>
      </c>
      <c r="W34" s="100">
        <f t="shared" si="7"/>
        <v>989.0610691965035</v>
      </c>
      <c r="X34" s="100">
        <f t="shared" si="7"/>
        <v>1239.0610691965035</v>
      </c>
      <c r="Y34" s="100">
        <f t="shared" si="7"/>
        <v>1489.0610691965035</v>
      </c>
      <c r="Z34" s="100">
        <f t="shared" si="7"/>
        <v>1739.0610691965035</v>
      </c>
    </row>
    <row r="35" spans="1:26" ht="13.5" customHeight="1" thickBot="1">
      <c r="A35" s="220" t="s">
        <v>52</v>
      </c>
      <c r="B35" s="222">
        <f>'W-RR mielies Hoer opbrengs  '!G5</f>
        <v>6.5</v>
      </c>
      <c r="C35" s="213"/>
      <c r="D35" s="239"/>
      <c r="E35" s="99">
        <f>E36-0.5</f>
        <v>6</v>
      </c>
      <c r="F35" s="100">
        <f t="shared" si="6"/>
        <v>-542.3623532365384</v>
      </c>
      <c r="G35" s="100">
        <f t="shared" si="6"/>
        <v>-292.3623532365384</v>
      </c>
      <c r="H35" s="100">
        <f t="shared" si="6"/>
        <v>-42.36235323653841</v>
      </c>
      <c r="I35" s="100">
        <f t="shared" si="6"/>
        <v>207.6376467634616</v>
      </c>
      <c r="J35" s="100">
        <f t="shared" si="6"/>
        <v>457.6376467634616</v>
      </c>
      <c r="K35" s="100">
        <f t="shared" si="6"/>
        <v>707.6376467634616</v>
      </c>
      <c r="L35" s="100">
        <f t="shared" si="6"/>
        <v>957.6376467634616</v>
      </c>
      <c r="M35" s="100">
        <f t="shared" si="6"/>
        <v>1207.6376467634616</v>
      </c>
      <c r="N35" s="100">
        <f t="shared" si="6"/>
        <v>1457.6376467634616</v>
      </c>
      <c r="P35" s="239"/>
      <c r="Q35" s="99">
        <f>Q36-0.5</f>
        <v>6</v>
      </c>
      <c r="R35" s="100">
        <f t="shared" si="7"/>
        <v>-122.19401990320512</v>
      </c>
      <c r="S35" s="100">
        <f t="shared" si="7"/>
        <v>127.80598009679488</v>
      </c>
      <c r="T35" s="100">
        <f t="shared" si="7"/>
        <v>377.8059800967949</v>
      </c>
      <c r="U35" s="100">
        <f t="shared" si="7"/>
        <v>627.8059800967949</v>
      </c>
      <c r="V35" s="100">
        <f t="shared" si="7"/>
        <v>877.8059800967949</v>
      </c>
      <c r="W35" s="100">
        <f t="shared" si="7"/>
        <v>1127.8059800967949</v>
      </c>
      <c r="X35" s="100">
        <f t="shared" si="7"/>
        <v>1377.8059800967949</v>
      </c>
      <c r="Y35" s="100">
        <f t="shared" si="7"/>
        <v>1627.8059800967949</v>
      </c>
      <c r="Z35" s="100">
        <f t="shared" si="7"/>
        <v>1877.8059800967949</v>
      </c>
    </row>
    <row r="36" spans="1:26" ht="13.5" customHeight="1" thickBot="1">
      <c r="A36" s="220"/>
      <c r="B36" s="213"/>
      <c r="C36" s="213"/>
      <c r="D36" s="239"/>
      <c r="E36" s="108">
        <f>B35</f>
        <v>6.5</v>
      </c>
      <c r="F36" s="100">
        <f t="shared" si="6"/>
        <v>-392.64217221834315</v>
      </c>
      <c r="G36" s="100">
        <f t="shared" si="6"/>
        <v>-142.64217221834315</v>
      </c>
      <c r="H36" s="100">
        <f t="shared" si="6"/>
        <v>107.35782778165685</v>
      </c>
      <c r="I36" s="100">
        <f>I$33-($B$33/$E36)</f>
        <v>357.35782778165685</v>
      </c>
      <c r="J36" s="100">
        <f t="shared" si="6"/>
        <v>607.3578277816569</v>
      </c>
      <c r="K36" s="100">
        <f t="shared" si="6"/>
        <v>857.3578277816569</v>
      </c>
      <c r="L36" s="100">
        <f t="shared" si="6"/>
        <v>1107.3578277816569</v>
      </c>
      <c r="M36" s="100">
        <f t="shared" si="6"/>
        <v>1357.3578277816569</v>
      </c>
      <c r="N36" s="100">
        <f t="shared" si="6"/>
        <v>1607.3578277816569</v>
      </c>
      <c r="P36" s="239"/>
      <c r="Q36" s="108">
        <f>E36</f>
        <v>6.5</v>
      </c>
      <c r="R36" s="100">
        <f t="shared" si="7"/>
        <v>-4.794479910650807</v>
      </c>
      <c r="S36" s="100">
        <f t="shared" si="7"/>
        <v>245.2055200893492</v>
      </c>
      <c r="T36" s="100">
        <f t="shared" si="7"/>
        <v>495.2055200893492</v>
      </c>
      <c r="U36" s="100">
        <f t="shared" si="7"/>
        <v>745.2055200893492</v>
      </c>
      <c r="V36" s="100">
        <f t="shared" si="7"/>
        <v>995.2055200893492</v>
      </c>
      <c r="W36" s="100">
        <f t="shared" si="7"/>
        <v>1245.2055200893492</v>
      </c>
      <c r="X36" s="100">
        <f t="shared" si="7"/>
        <v>1495.2055200893492</v>
      </c>
      <c r="Y36" s="100">
        <f t="shared" si="7"/>
        <v>1745.2055200893492</v>
      </c>
      <c r="Z36" s="100">
        <f t="shared" si="7"/>
        <v>1995.2055200893492</v>
      </c>
    </row>
    <row r="37" spans="1:26" ht="13.5" customHeight="1" thickBot="1">
      <c r="A37" s="220" t="s">
        <v>146</v>
      </c>
      <c r="B37" s="227">
        <f>B4</f>
        <v>2700</v>
      </c>
      <c r="C37" s="213"/>
      <c r="D37" s="239"/>
      <c r="E37" s="99">
        <f>E36+0.5</f>
        <v>7</v>
      </c>
      <c r="F37" s="100">
        <f t="shared" si="6"/>
        <v>-264.31058848846146</v>
      </c>
      <c r="G37" s="100">
        <f t="shared" si="6"/>
        <v>-14.310588488461462</v>
      </c>
      <c r="H37" s="100">
        <f t="shared" si="6"/>
        <v>235.68941151153854</v>
      </c>
      <c r="I37" s="100">
        <f t="shared" si="6"/>
        <v>485.68941151153854</v>
      </c>
      <c r="J37" s="100">
        <f t="shared" si="6"/>
        <v>735.6894115115385</v>
      </c>
      <c r="K37" s="100">
        <f t="shared" si="6"/>
        <v>985.6894115115385</v>
      </c>
      <c r="L37" s="100">
        <f t="shared" si="6"/>
        <v>1235.6894115115385</v>
      </c>
      <c r="M37" s="100">
        <f t="shared" si="6"/>
        <v>1485.6894115115385</v>
      </c>
      <c r="N37" s="100">
        <f t="shared" si="6"/>
        <v>1735.6894115115385</v>
      </c>
      <c r="P37" s="239"/>
      <c r="Q37" s="99">
        <f>Q36+0.5</f>
        <v>7</v>
      </c>
      <c r="R37" s="100">
        <f t="shared" si="7"/>
        <v>95.83369722582415</v>
      </c>
      <c r="S37" s="100">
        <f t="shared" si="7"/>
        <v>345.83369722582415</v>
      </c>
      <c r="T37" s="100">
        <f t="shared" si="7"/>
        <v>595.8336972258242</v>
      </c>
      <c r="U37" s="100">
        <f t="shared" si="7"/>
        <v>845.8336972258242</v>
      </c>
      <c r="V37" s="100">
        <f t="shared" si="7"/>
        <v>1095.8336972258242</v>
      </c>
      <c r="W37" s="100">
        <f t="shared" si="7"/>
        <v>1345.8336972258242</v>
      </c>
      <c r="X37" s="100">
        <f t="shared" si="7"/>
        <v>1595.8336972258242</v>
      </c>
      <c r="Y37" s="100">
        <f t="shared" si="7"/>
        <v>1845.8336972258242</v>
      </c>
      <c r="Z37" s="100">
        <f t="shared" si="7"/>
        <v>2095.833697225824</v>
      </c>
    </row>
    <row r="38" spans="1:26" ht="13.5" customHeight="1" thickBot="1">
      <c r="A38" s="223" t="s">
        <v>53</v>
      </c>
      <c r="B38" s="228">
        <f>D4</f>
        <v>296</v>
      </c>
      <c r="C38" s="213"/>
      <c r="D38" s="240"/>
      <c r="E38" s="99">
        <f>E37+0.5</f>
        <v>7.5</v>
      </c>
      <c r="F38" s="100">
        <f>F$33-($B$33/$E38)</f>
        <v>-153.08988258923068</v>
      </c>
      <c r="G38" s="100">
        <f t="shared" si="6"/>
        <v>96.91011741076932</v>
      </c>
      <c r="H38" s="100">
        <f t="shared" si="6"/>
        <v>346.9101174107693</v>
      </c>
      <c r="I38" s="100">
        <f t="shared" si="6"/>
        <v>596.9101174107693</v>
      </c>
      <c r="J38" s="100">
        <f t="shared" si="6"/>
        <v>846.9101174107693</v>
      </c>
      <c r="K38" s="100">
        <f t="shared" si="6"/>
        <v>1096.9101174107693</v>
      </c>
      <c r="L38" s="100">
        <f t="shared" si="6"/>
        <v>1346.9101174107693</v>
      </c>
      <c r="M38" s="100">
        <f t="shared" si="6"/>
        <v>1596.9101174107693</v>
      </c>
      <c r="N38" s="100">
        <f>N$33-($B$33/$E38)</f>
        <v>1846.9101174107693</v>
      </c>
      <c r="P38" s="240"/>
      <c r="Q38" s="99">
        <f>Q37+0.5</f>
        <v>7.5</v>
      </c>
      <c r="R38" s="100">
        <f>R$33-($B$31/$E38)</f>
        <v>183.0447840774359</v>
      </c>
      <c r="S38" s="100">
        <f t="shared" si="7"/>
        <v>433.0447840774359</v>
      </c>
      <c r="T38" s="100">
        <f t="shared" si="7"/>
        <v>683.0447840774359</v>
      </c>
      <c r="U38" s="100">
        <f t="shared" si="7"/>
        <v>933.0447840774359</v>
      </c>
      <c r="V38" s="100">
        <f t="shared" si="7"/>
        <v>1183.044784077436</v>
      </c>
      <c r="W38" s="100">
        <f t="shared" si="7"/>
        <v>1433.044784077436</v>
      </c>
      <c r="X38" s="100">
        <f t="shared" si="7"/>
        <v>1683.044784077436</v>
      </c>
      <c r="Y38" s="100">
        <f t="shared" si="7"/>
        <v>1933.044784077436</v>
      </c>
      <c r="Z38" s="100">
        <f t="shared" si="7"/>
        <v>2183.044784077436</v>
      </c>
    </row>
    <row r="39" spans="1:24" ht="13.5" customHeight="1">
      <c r="A39" s="215" t="s">
        <v>54</v>
      </c>
      <c r="B39" s="229">
        <f>B37-B38</f>
        <v>2404</v>
      </c>
      <c r="C39" s="213"/>
      <c r="D39" s="113"/>
      <c r="E39" s="114"/>
      <c r="F39" s="115"/>
      <c r="G39" s="115"/>
      <c r="H39" s="115"/>
      <c r="I39" s="115"/>
      <c r="J39" s="115"/>
      <c r="K39" s="115"/>
      <c r="L39" s="115"/>
      <c r="P39" s="113"/>
      <c r="Q39" s="114"/>
      <c r="R39" s="115"/>
      <c r="S39" s="115"/>
      <c r="T39" s="115"/>
      <c r="U39" s="115"/>
      <c r="V39" s="115"/>
      <c r="W39" s="115"/>
      <c r="X39" s="115"/>
    </row>
    <row r="40" spans="1:24" s="86" customFormat="1" ht="13.5" customHeight="1">
      <c r="A40" s="215"/>
      <c r="B40" s="214"/>
      <c r="C40" s="213"/>
      <c r="D40" s="116"/>
      <c r="E40" s="117"/>
      <c r="F40" s="115"/>
      <c r="G40" s="115"/>
      <c r="H40" s="115"/>
      <c r="I40" s="115"/>
      <c r="J40" s="115"/>
      <c r="K40" s="115"/>
      <c r="L40" s="115"/>
      <c r="P40" s="116"/>
      <c r="Q40" s="117"/>
      <c r="R40" s="115"/>
      <c r="S40" s="115"/>
      <c r="T40" s="115"/>
      <c r="U40" s="115"/>
      <c r="V40" s="115"/>
      <c r="W40" s="115"/>
      <c r="X40" s="115"/>
    </row>
    <row r="41" spans="1:24" ht="13.5" customHeight="1">
      <c r="A41" s="215"/>
      <c r="B41" s="214"/>
      <c r="C41" s="213"/>
      <c r="D41" s="113"/>
      <c r="E41" s="114"/>
      <c r="F41" s="115"/>
      <c r="G41" s="115"/>
      <c r="H41" s="115"/>
      <c r="I41" s="115"/>
      <c r="J41" s="115"/>
      <c r="K41" s="115"/>
      <c r="L41" s="115"/>
      <c r="P41" s="113"/>
      <c r="Q41" s="114"/>
      <c r="R41" s="115"/>
      <c r="S41" s="115"/>
      <c r="T41" s="115"/>
      <c r="U41" s="115"/>
      <c r="V41" s="115"/>
      <c r="W41" s="115"/>
      <c r="X41" s="115"/>
    </row>
    <row r="42" spans="1:14" s="85" customFormat="1" ht="13.5" customHeight="1" thickBot="1">
      <c r="A42" s="241"/>
      <c r="B42" s="241"/>
      <c r="C42" s="198"/>
      <c r="D42" s="84"/>
      <c r="E42" s="84"/>
      <c r="F42" s="84"/>
      <c r="G42" s="84"/>
      <c r="H42" s="84"/>
      <c r="I42" s="84"/>
      <c r="J42" s="84"/>
      <c r="K42" s="84"/>
      <c r="L42" s="84"/>
      <c r="M42" s="84"/>
      <c r="N42" s="84"/>
    </row>
    <row r="43" spans="1:26" ht="20.25" customHeight="1" thickBot="1">
      <c r="A43" s="232" t="s">
        <v>66</v>
      </c>
      <c r="B43" s="232"/>
      <c r="C43" s="212"/>
      <c r="D43" s="233" t="s">
        <v>85</v>
      </c>
      <c r="E43" s="234"/>
      <c r="F43" s="234"/>
      <c r="G43" s="234"/>
      <c r="H43" s="234"/>
      <c r="I43" s="234"/>
      <c r="J43" s="234"/>
      <c r="K43" s="234"/>
      <c r="L43" s="234"/>
      <c r="M43" s="234"/>
      <c r="N43" s="235"/>
      <c r="P43" s="233" t="s">
        <v>92</v>
      </c>
      <c r="Q43" s="234"/>
      <c r="R43" s="234"/>
      <c r="S43" s="234"/>
      <c r="T43" s="234"/>
      <c r="U43" s="234"/>
      <c r="V43" s="234"/>
      <c r="W43" s="234"/>
      <c r="X43" s="234"/>
      <c r="Y43" s="234"/>
      <c r="Z43" s="235"/>
    </row>
    <row r="44" spans="1:26" ht="13.5" customHeight="1" thickBot="1">
      <c r="A44" s="220" t="s">
        <v>45</v>
      </c>
      <c r="B44" s="227">
        <f>INDEX('W-BT Mielies '!M9:O14,MATCH($B$48,BTopbrengspeil,0),2)</f>
        <v>7434.247692991223</v>
      </c>
      <c r="C44" s="213"/>
      <c r="D44" s="87"/>
      <c r="E44" s="88"/>
      <c r="F44" s="89"/>
      <c r="G44" s="90"/>
      <c r="H44" s="89"/>
      <c r="I44" s="89"/>
      <c r="J44" s="89" t="s">
        <v>46</v>
      </c>
      <c r="K44" s="91"/>
      <c r="L44" s="89"/>
      <c r="M44" s="91"/>
      <c r="N44" s="89"/>
      <c r="P44" s="87"/>
      <c r="Q44" s="88"/>
      <c r="R44" s="89"/>
      <c r="S44" s="90"/>
      <c r="T44" s="89"/>
      <c r="U44" s="89"/>
      <c r="V44" s="89" t="s">
        <v>46</v>
      </c>
      <c r="W44" s="91"/>
      <c r="X44" s="89"/>
      <c r="Y44" s="91"/>
      <c r="Z44" s="89"/>
    </row>
    <row r="45" spans="1:26" ht="13.5" customHeight="1" thickBot="1">
      <c r="A45" s="220" t="s">
        <v>47</v>
      </c>
      <c r="B45" s="228">
        <f>INDEX('W-BT Mielies '!M9:O14,MATCH($B$48,BTopbrengspeil,0),3)</f>
        <v>2665.03</v>
      </c>
      <c r="C45" s="213"/>
      <c r="D45" s="233" t="s">
        <v>48</v>
      </c>
      <c r="E45" s="235"/>
      <c r="F45" s="92">
        <f>G45-250</f>
        <v>1700</v>
      </c>
      <c r="G45" s="92">
        <f>H45-250</f>
        <v>1950</v>
      </c>
      <c r="H45" s="92">
        <f>I45-250</f>
        <v>2200</v>
      </c>
      <c r="I45" s="92">
        <f>J45-250</f>
        <v>2450</v>
      </c>
      <c r="J45" s="89">
        <f>B50</f>
        <v>2700</v>
      </c>
      <c r="K45" s="92">
        <f>J45+250</f>
        <v>2950</v>
      </c>
      <c r="L45" s="92">
        <f>K45+250</f>
        <v>3200</v>
      </c>
      <c r="M45" s="92">
        <f>L45+250</f>
        <v>3450</v>
      </c>
      <c r="N45" s="92">
        <f>M45+250</f>
        <v>3700</v>
      </c>
      <c r="P45" s="233" t="s">
        <v>48</v>
      </c>
      <c r="Q45" s="235"/>
      <c r="R45" s="94">
        <f>S45-250</f>
        <v>1700</v>
      </c>
      <c r="S45" s="94">
        <f>T45-250</f>
        <v>1950</v>
      </c>
      <c r="T45" s="94">
        <f>U45-250</f>
        <v>2200</v>
      </c>
      <c r="U45" s="94">
        <f>V45-250</f>
        <v>2450</v>
      </c>
      <c r="V45" s="95">
        <f>J45</f>
        <v>2700</v>
      </c>
      <c r="W45" s="94">
        <f>V45+250</f>
        <v>2950</v>
      </c>
      <c r="X45" s="94">
        <f>W45+250</f>
        <v>3200</v>
      </c>
      <c r="Y45" s="94">
        <f>X45+250</f>
        <v>3450</v>
      </c>
      <c r="Z45" s="94">
        <f>Y45+250</f>
        <v>3700</v>
      </c>
    </row>
    <row r="46" spans="1:26" ht="13.5" customHeight="1" thickBot="1">
      <c r="A46" s="221" t="s">
        <v>49</v>
      </c>
      <c r="B46" s="229">
        <f>B45+B44</f>
        <v>10099.277692991223</v>
      </c>
      <c r="C46" s="214"/>
      <c r="D46" s="236" t="s">
        <v>50</v>
      </c>
      <c r="E46" s="237"/>
      <c r="F46" s="92">
        <f aca="true" t="shared" si="8" ref="F46:N46">F45-$B$51</f>
        <v>1404</v>
      </c>
      <c r="G46" s="92">
        <f t="shared" si="8"/>
        <v>1654</v>
      </c>
      <c r="H46" s="92">
        <f t="shared" si="8"/>
        <v>1904</v>
      </c>
      <c r="I46" s="92">
        <f t="shared" si="8"/>
        <v>2154</v>
      </c>
      <c r="J46" s="89">
        <f t="shared" si="8"/>
        <v>2404</v>
      </c>
      <c r="K46" s="92">
        <f t="shared" si="8"/>
        <v>2654</v>
      </c>
      <c r="L46" s="92">
        <f t="shared" si="8"/>
        <v>2904</v>
      </c>
      <c r="M46" s="92">
        <f t="shared" si="8"/>
        <v>3154</v>
      </c>
      <c r="N46" s="92">
        <f t="shared" si="8"/>
        <v>3404</v>
      </c>
      <c r="P46" s="236" t="s">
        <v>50</v>
      </c>
      <c r="Q46" s="237"/>
      <c r="R46" s="94">
        <f aca="true" t="shared" si="9" ref="R46:Z46">R45-$B$51</f>
        <v>1404</v>
      </c>
      <c r="S46" s="94">
        <f t="shared" si="9"/>
        <v>1654</v>
      </c>
      <c r="T46" s="94">
        <f t="shared" si="9"/>
        <v>1904</v>
      </c>
      <c r="U46" s="94">
        <f t="shared" si="9"/>
        <v>2154</v>
      </c>
      <c r="V46" s="95">
        <f t="shared" si="9"/>
        <v>2404</v>
      </c>
      <c r="W46" s="94">
        <f t="shared" si="9"/>
        <v>2654</v>
      </c>
      <c r="X46" s="94">
        <f t="shared" si="9"/>
        <v>2904</v>
      </c>
      <c r="Y46" s="94">
        <f t="shared" si="9"/>
        <v>3154</v>
      </c>
      <c r="Z46" s="94">
        <f t="shared" si="9"/>
        <v>3404</v>
      </c>
    </row>
    <row r="47" spans="1:26" ht="13.5" customHeight="1" thickBot="1">
      <c r="A47" s="220"/>
      <c r="B47" s="213"/>
      <c r="C47" s="213"/>
      <c r="D47" s="238" t="s">
        <v>51</v>
      </c>
      <c r="E47" s="99">
        <f>E48-0.5</f>
        <v>3.5</v>
      </c>
      <c r="F47" s="100">
        <f aca="true" t="shared" si="10" ref="F47:N51">F$33-($B$46/$E47)</f>
        <v>-1481.5079122832067</v>
      </c>
      <c r="G47" s="100">
        <f t="shared" si="10"/>
        <v>-1231.5079122832067</v>
      </c>
      <c r="H47" s="100">
        <f t="shared" si="10"/>
        <v>-981.5079122832067</v>
      </c>
      <c r="I47" s="100">
        <f t="shared" si="10"/>
        <v>-731.5079122832067</v>
      </c>
      <c r="J47" s="100">
        <f t="shared" si="10"/>
        <v>-481.5079122832067</v>
      </c>
      <c r="K47" s="100">
        <f t="shared" si="10"/>
        <v>-231.50791228320668</v>
      </c>
      <c r="L47" s="100">
        <f t="shared" si="10"/>
        <v>18.49208771679332</v>
      </c>
      <c r="M47" s="100">
        <f t="shared" si="10"/>
        <v>268.4920877167933</v>
      </c>
      <c r="N47" s="100">
        <f t="shared" si="10"/>
        <v>518.4920877167933</v>
      </c>
      <c r="P47" s="238" t="s">
        <v>51</v>
      </c>
      <c r="Q47" s="99">
        <f>Q48-0.5</f>
        <v>3.5</v>
      </c>
      <c r="R47" s="100">
        <f>R$33-($B$44/$E47)</f>
        <v>-720.0707694260636</v>
      </c>
      <c r="S47" s="100">
        <f aca="true" t="shared" si="11" ref="S47:Z47">S$33-($B$44/$E47)</f>
        <v>-470.07076942606363</v>
      </c>
      <c r="T47" s="100">
        <f t="shared" si="11"/>
        <v>-220.07076942606363</v>
      </c>
      <c r="U47" s="100">
        <f t="shared" si="11"/>
        <v>29.929230573936366</v>
      </c>
      <c r="V47" s="100">
        <f t="shared" si="11"/>
        <v>279.92923057393637</v>
      </c>
      <c r="W47" s="100">
        <f t="shared" si="11"/>
        <v>529.9292305739364</v>
      </c>
      <c r="X47" s="100">
        <f t="shared" si="11"/>
        <v>779.9292305739364</v>
      </c>
      <c r="Y47" s="100">
        <f t="shared" si="11"/>
        <v>1029.9292305739364</v>
      </c>
      <c r="Z47" s="100">
        <f t="shared" si="11"/>
        <v>1279.9292305739364</v>
      </c>
    </row>
    <row r="48" spans="1:26" ht="13.5" customHeight="1" thickBot="1">
      <c r="A48" s="220" t="s">
        <v>52</v>
      </c>
      <c r="B48" s="222">
        <f>'W-BT Mielies '!F5</f>
        <v>4.5</v>
      </c>
      <c r="C48" s="213"/>
      <c r="D48" s="239"/>
      <c r="E48" s="99">
        <f>E49-0.5</f>
        <v>4</v>
      </c>
      <c r="F48" s="100">
        <f t="shared" si="10"/>
        <v>-1120.8194232478058</v>
      </c>
      <c r="G48" s="100">
        <f t="shared" si="10"/>
        <v>-870.8194232478058</v>
      </c>
      <c r="H48" s="100">
        <f t="shared" si="10"/>
        <v>-620.8194232478058</v>
      </c>
      <c r="I48" s="100">
        <f t="shared" si="10"/>
        <v>-370.81942324780584</v>
      </c>
      <c r="J48" s="100">
        <f t="shared" si="10"/>
        <v>-120.81942324780584</v>
      </c>
      <c r="K48" s="100">
        <f t="shared" si="10"/>
        <v>129.18057675219416</v>
      </c>
      <c r="L48" s="100">
        <f t="shared" si="10"/>
        <v>379.18057675219416</v>
      </c>
      <c r="M48" s="100">
        <f t="shared" si="10"/>
        <v>629.1805767521942</v>
      </c>
      <c r="N48" s="100">
        <f t="shared" si="10"/>
        <v>879.1805767521942</v>
      </c>
      <c r="P48" s="239"/>
      <c r="Q48" s="99">
        <f>Q49-0.5</f>
        <v>4</v>
      </c>
      <c r="R48" s="100">
        <f aca="true" t="shared" si="12" ref="R48:Z51">R$33-($B$44/$E48)</f>
        <v>-454.5619232478057</v>
      </c>
      <c r="S48" s="100">
        <f t="shared" si="12"/>
        <v>-204.56192324780568</v>
      </c>
      <c r="T48" s="100">
        <f t="shared" si="12"/>
        <v>45.43807675219432</v>
      </c>
      <c r="U48" s="100">
        <f t="shared" si="12"/>
        <v>295.4380767521943</v>
      </c>
      <c r="V48" s="100">
        <f t="shared" si="12"/>
        <v>545.4380767521943</v>
      </c>
      <c r="W48" s="100">
        <f t="shared" si="12"/>
        <v>795.4380767521943</v>
      </c>
      <c r="X48" s="100">
        <f t="shared" si="12"/>
        <v>1045.4380767521943</v>
      </c>
      <c r="Y48" s="100">
        <f t="shared" si="12"/>
        <v>1295.4380767521943</v>
      </c>
      <c r="Z48" s="100">
        <f t="shared" si="12"/>
        <v>1545.4380767521943</v>
      </c>
    </row>
    <row r="49" spans="1:26" ht="13.5" customHeight="1" thickBot="1">
      <c r="A49" s="220"/>
      <c r="B49" s="213"/>
      <c r="C49" s="213"/>
      <c r="D49" s="239"/>
      <c r="E49" s="108">
        <f>B48</f>
        <v>4.5</v>
      </c>
      <c r="F49" s="100">
        <f t="shared" si="10"/>
        <v>-840.2839317758276</v>
      </c>
      <c r="G49" s="100">
        <f t="shared" si="10"/>
        <v>-590.2839317758276</v>
      </c>
      <c r="H49" s="100">
        <f t="shared" si="10"/>
        <v>-340.28393177582757</v>
      </c>
      <c r="I49" s="100">
        <f>I$33-($B$46/$E49)</f>
        <v>-90.28393177582757</v>
      </c>
      <c r="J49" s="100">
        <f>J$33-($B$46/$E49)</f>
        <v>159.71606822417243</v>
      </c>
      <c r="K49" s="100">
        <f t="shared" si="10"/>
        <v>409.71606822417243</v>
      </c>
      <c r="L49" s="100">
        <f t="shared" si="10"/>
        <v>659.7160682241724</v>
      </c>
      <c r="M49" s="100">
        <f t="shared" si="10"/>
        <v>909.7160682241724</v>
      </c>
      <c r="N49" s="100">
        <f t="shared" si="10"/>
        <v>1159.7160682241724</v>
      </c>
      <c r="P49" s="239"/>
      <c r="Q49" s="108">
        <f>E49</f>
        <v>4.5</v>
      </c>
      <c r="R49" s="100">
        <f t="shared" si="12"/>
        <v>-248.05504288693828</v>
      </c>
      <c r="S49" s="100">
        <f t="shared" si="12"/>
        <v>1.9449571130617187</v>
      </c>
      <c r="T49" s="100">
        <f t="shared" si="12"/>
        <v>251.94495711306172</v>
      </c>
      <c r="U49" s="100">
        <f t="shared" si="12"/>
        <v>501.9449571130617</v>
      </c>
      <c r="V49" s="100">
        <f t="shared" si="12"/>
        <v>751.9449571130617</v>
      </c>
      <c r="W49" s="100">
        <f t="shared" si="12"/>
        <v>1001.9449571130617</v>
      </c>
      <c r="X49" s="100">
        <f t="shared" si="12"/>
        <v>1251.9449571130617</v>
      </c>
      <c r="Y49" s="100">
        <f t="shared" si="12"/>
        <v>1501.9449571130617</v>
      </c>
      <c r="Z49" s="100">
        <f t="shared" si="12"/>
        <v>1751.9449571130617</v>
      </c>
    </row>
    <row r="50" spans="1:26" ht="13.5" customHeight="1" thickBot="1">
      <c r="A50" s="220" t="s">
        <v>146</v>
      </c>
      <c r="B50" s="227">
        <f>B4</f>
        <v>2700</v>
      </c>
      <c r="C50" s="213"/>
      <c r="D50" s="239"/>
      <c r="E50" s="99">
        <f>E49+0.5</f>
        <v>5</v>
      </c>
      <c r="F50" s="100">
        <f t="shared" si="10"/>
        <v>-615.8555385982447</v>
      </c>
      <c r="G50" s="100">
        <f t="shared" si="10"/>
        <v>-365.8555385982447</v>
      </c>
      <c r="H50" s="100">
        <f t="shared" si="10"/>
        <v>-115.85553859824472</v>
      </c>
      <c r="I50" s="100">
        <f t="shared" si="10"/>
        <v>134.14446140175528</v>
      </c>
      <c r="J50" s="100">
        <f t="shared" si="10"/>
        <v>384.1444614017553</v>
      </c>
      <c r="K50" s="100">
        <f t="shared" si="10"/>
        <v>634.1444614017553</v>
      </c>
      <c r="L50" s="100">
        <f t="shared" si="10"/>
        <v>884.1444614017553</v>
      </c>
      <c r="M50" s="100">
        <f t="shared" si="10"/>
        <v>1134.1444614017553</v>
      </c>
      <c r="N50" s="100">
        <f t="shared" si="10"/>
        <v>1384.1444614017553</v>
      </c>
      <c r="P50" s="239"/>
      <c r="Q50" s="99">
        <f>Q49+0.5</f>
        <v>5</v>
      </c>
      <c r="R50" s="100">
        <f t="shared" si="12"/>
        <v>-82.84953859824464</v>
      </c>
      <c r="S50" s="100">
        <f t="shared" si="12"/>
        <v>167.15046140175536</v>
      </c>
      <c r="T50" s="100">
        <f t="shared" si="12"/>
        <v>417.15046140175536</v>
      </c>
      <c r="U50" s="100">
        <f t="shared" si="12"/>
        <v>667.1504614017554</v>
      </c>
      <c r="V50" s="100">
        <f t="shared" si="12"/>
        <v>917.1504614017554</v>
      </c>
      <c r="W50" s="100">
        <f t="shared" si="12"/>
        <v>1167.1504614017554</v>
      </c>
      <c r="X50" s="100">
        <f t="shared" si="12"/>
        <v>1417.1504614017554</v>
      </c>
      <c r="Y50" s="100">
        <f t="shared" si="12"/>
        <v>1667.1504614017554</v>
      </c>
      <c r="Z50" s="100">
        <f t="shared" si="12"/>
        <v>1917.1504614017554</v>
      </c>
    </row>
    <row r="51" spans="1:26" ht="13.5" customHeight="1" thickBot="1">
      <c r="A51" s="223" t="s">
        <v>53</v>
      </c>
      <c r="B51" s="228">
        <f>D4</f>
        <v>296</v>
      </c>
      <c r="C51" s="213"/>
      <c r="D51" s="240"/>
      <c r="E51" s="99">
        <f>E50+0.5</f>
        <v>5.5</v>
      </c>
      <c r="F51" s="100">
        <f>F$33-($B$46/$E51)</f>
        <v>-432.2323078165862</v>
      </c>
      <c r="G51" s="100">
        <f t="shared" si="10"/>
        <v>-182.23230781658617</v>
      </c>
      <c r="H51" s="100">
        <f t="shared" si="10"/>
        <v>67.76769218341383</v>
      </c>
      <c r="I51" s="100">
        <f t="shared" si="10"/>
        <v>317.7676921834138</v>
      </c>
      <c r="J51" s="100">
        <f t="shared" si="10"/>
        <v>567.7676921834138</v>
      </c>
      <c r="K51" s="100">
        <f t="shared" si="10"/>
        <v>817.7676921834138</v>
      </c>
      <c r="L51" s="100">
        <f t="shared" si="10"/>
        <v>1067.7676921834138</v>
      </c>
      <c r="M51" s="100">
        <f t="shared" si="10"/>
        <v>1317.7676921834138</v>
      </c>
      <c r="N51" s="100">
        <f>N$33-($B$46/$E51)</f>
        <v>1567.7676921834138</v>
      </c>
      <c r="P51" s="240"/>
      <c r="Q51" s="99">
        <f>Q50+0.5</f>
        <v>5.5</v>
      </c>
      <c r="R51" s="100">
        <f t="shared" si="12"/>
        <v>52.3186012743231</v>
      </c>
      <c r="S51" s="100">
        <f t="shared" si="12"/>
        <v>302.3186012743231</v>
      </c>
      <c r="T51" s="100">
        <f t="shared" si="12"/>
        <v>552.3186012743231</v>
      </c>
      <c r="U51" s="100">
        <f t="shared" si="12"/>
        <v>802.3186012743231</v>
      </c>
      <c r="V51" s="100">
        <f t="shared" si="12"/>
        <v>1052.318601274323</v>
      </c>
      <c r="W51" s="100">
        <f t="shared" si="12"/>
        <v>1302.318601274323</v>
      </c>
      <c r="X51" s="100">
        <f t="shared" si="12"/>
        <v>1552.318601274323</v>
      </c>
      <c r="Y51" s="100">
        <f t="shared" si="12"/>
        <v>1802.318601274323</v>
      </c>
      <c r="Z51" s="100">
        <f t="shared" si="12"/>
        <v>2052.318601274323</v>
      </c>
    </row>
    <row r="52" spans="1:24" ht="13.5" customHeight="1">
      <c r="A52" s="215" t="s">
        <v>54</v>
      </c>
      <c r="B52" s="229">
        <f>B50-B51</f>
        <v>2404</v>
      </c>
      <c r="C52" s="213"/>
      <c r="D52" s="113"/>
      <c r="E52" s="114"/>
      <c r="F52" s="115"/>
      <c r="G52" s="115"/>
      <c r="H52" s="115"/>
      <c r="I52" s="115"/>
      <c r="J52" s="115"/>
      <c r="K52" s="115"/>
      <c r="L52" s="115"/>
      <c r="P52" s="113"/>
      <c r="Q52" s="114"/>
      <c r="R52" s="115"/>
      <c r="S52" s="115"/>
      <c r="T52" s="115"/>
      <c r="U52" s="115"/>
      <c r="V52" s="115"/>
      <c r="W52" s="115"/>
      <c r="X52" s="115"/>
    </row>
    <row r="53" spans="1:24" s="86" customFormat="1" ht="13.5" customHeight="1">
      <c r="A53" s="215"/>
      <c r="B53" s="214"/>
      <c r="C53" s="213"/>
      <c r="D53" s="116"/>
      <c r="E53" s="117"/>
      <c r="F53" s="115"/>
      <c r="G53" s="115"/>
      <c r="H53" s="115"/>
      <c r="I53" s="115"/>
      <c r="J53" s="115"/>
      <c r="K53" s="115"/>
      <c r="L53" s="115"/>
      <c r="P53" s="116"/>
      <c r="Q53" s="117"/>
      <c r="R53" s="115"/>
      <c r="S53" s="115"/>
      <c r="T53" s="115"/>
      <c r="U53" s="115"/>
      <c r="V53" s="115"/>
      <c r="W53" s="115"/>
      <c r="X53" s="115"/>
    </row>
    <row r="54" spans="1:24" s="86" customFormat="1" ht="13.5" customHeight="1">
      <c r="A54" s="215"/>
      <c r="B54" s="214"/>
      <c r="C54" s="213"/>
      <c r="D54" s="116"/>
      <c r="E54" s="117"/>
      <c r="F54" s="115"/>
      <c r="G54" s="115"/>
      <c r="H54" s="115"/>
      <c r="I54" s="115"/>
      <c r="J54" s="115"/>
      <c r="K54" s="115"/>
      <c r="L54" s="115"/>
      <c r="P54" s="116"/>
      <c r="Q54" s="117"/>
      <c r="R54" s="115"/>
      <c r="S54" s="115"/>
      <c r="T54" s="115"/>
      <c r="U54" s="115"/>
      <c r="V54" s="115"/>
      <c r="W54" s="115"/>
      <c r="X54" s="115"/>
    </row>
    <row r="55" spans="1:24" s="86" customFormat="1" ht="13.5" customHeight="1">
      <c r="A55" s="215"/>
      <c r="B55" s="214"/>
      <c r="C55" s="213"/>
      <c r="D55" s="116"/>
      <c r="E55" s="117"/>
      <c r="F55" s="115"/>
      <c r="G55" s="115"/>
      <c r="H55" s="115"/>
      <c r="I55" s="115"/>
      <c r="J55" s="115"/>
      <c r="K55" s="115"/>
      <c r="L55" s="115"/>
      <c r="P55" s="116"/>
      <c r="Q55" s="117"/>
      <c r="R55" s="115"/>
      <c r="S55" s="115"/>
      <c r="T55" s="115"/>
      <c r="U55" s="115"/>
      <c r="V55" s="115"/>
      <c r="W55" s="115"/>
      <c r="X55" s="115"/>
    </row>
    <row r="56" spans="1:24" ht="13.5" customHeight="1" thickBot="1">
      <c r="A56" s="241"/>
      <c r="B56" s="241"/>
      <c r="D56" s="113"/>
      <c r="E56" s="114"/>
      <c r="F56" s="115"/>
      <c r="G56" s="115"/>
      <c r="H56" s="115"/>
      <c r="I56" s="115"/>
      <c r="J56" s="115"/>
      <c r="K56" s="115"/>
      <c r="L56" s="115"/>
      <c r="P56" s="113"/>
      <c r="Q56" s="114"/>
      <c r="R56" s="115"/>
      <c r="S56" s="115"/>
      <c r="T56" s="115"/>
      <c r="U56" s="115"/>
      <c r="V56" s="115"/>
      <c r="W56" s="115"/>
      <c r="X56" s="115"/>
    </row>
    <row r="57" spans="1:26" ht="18.75" customHeight="1" thickBot="1">
      <c r="A57" s="232" t="s">
        <v>69</v>
      </c>
      <c r="B57" s="232"/>
      <c r="C57" s="212"/>
      <c r="D57" s="233" t="s">
        <v>86</v>
      </c>
      <c r="E57" s="234"/>
      <c r="F57" s="234"/>
      <c r="G57" s="234"/>
      <c r="H57" s="234"/>
      <c r="I57" s="234"/>
      <c r="J57" s="234"/>
      <c r="K57" s="234"/>
      <c r="L57" s="234"/>
      <c r="M57" s="234"/>
      <c r="N57" s="235"/>
      <c r="P57" s="233" t="s">
        <v>91</v>
      </c>
      <c r="Q57" s="234"/>
      <c r="R57" s="234"/>
      <c r="S57" s="234"/>
      <c r="T57" s="234"/>
      <c r="U57" s="234"/>
      <c r="V57" s="234"/>
      <c r="W57" s="234"/>
      <c r="X57" s="234"/>
      <c r="Y57" s="234"/>
      <c r="Z57" s="235"/>
    </row>
    <row r="58" spans="1:26" ht="13.5" customHeight="1" thickBot="1">
      <c r="A58" s="220" t="s">
        <v>45</v>
      </c>
      <c r="B58" s="227">
        <f>INDEX(Sonneblom!M9:O14,MATCH($B$62,Sonopbrengspeil,0),2)</f>
        <v>5229.797072434183</v>
      </c>
      <c r="C58" s="213"/>
      <c r="D58" s="87"/>
      <c r="E58" s="88"/>
      <c r="F58" s="89"/>
      <c r="G58" s="90"/>
      <c r="H58" s="89"/>
      <c r="I58" s="89"/>
      <c r="J58" s="89" t="s">
        <v>46</v>
      </c>
      <c r="K58" s="91"/>
      <c r="L58" s="89"/>
      <c r="M58" s="91"/>
      <c r="N58" s="89"/>
      <c r="P58" s="87"/>
      <c r="Q58" s="88"/>
      <c r="R58" s="89"/>
      <c r="S58" s="90"/>
      <c r="T58" s="89"/>
      <c r="U58" s="89"/>
      <c r="V58" s="89" t="s">
        <v>46</v>
      </c>
      <c r="W58" s="91"/>
      <c r="X58" s="89"/>
      <c r="Y58" s="91"/>
      <c r="Z58" s="89"/>
    </row>
    <row r="59" spans="1:26" ht="13.5" customHeight="1" thickBot="1">
      <c r="A59" s="220" t="s">
        <v>47</v>
      </c>
      <c r="B59" s="228">
        <f>INDEX(Sonneblom!M9:O14,MATCH($B$62,Sonopbrengspeil,0),3)</f>
        <v>2652.75</v>
      </c>
      <c r="C59" s="213"/>
      <c r="D59" s="233" t="s">
        <v>48</v>
      </c>
      <c r="E59" s="235"/>
      <c r="F59" s="118">
        <f>G59-200</f>
        <v>5050</v>
      </c>
      <c r="G59" s="118">
        <f>H59-200</f>
        <v>5250</v>
      </c>
      <c r="H59" s="118">
        <f>I59-200</f>
        <v>5450</v>
      </c>
      <c r="I59" s="119">
        <f>J59-200</f>
        <v>5650</v>
      </c>
      <c r="J59" s="120">
        <f>B64</f>
        <v>5850</v>
      </c>
      <c r="K59" s="119">
        <f>J59+200</f>
        <v>6050</v>
      </c>
      <c r="L59" s="119">
        <f>K59+200</f>
        <v>6250</v>
      </c>
      <c r="M59" s="119">
        <f>L59+200</f>
        <v>6450</v>
      </c>
      <c r="N59" s="119">
        <f>M59+200</f>
        <v>6650</v>
      </c>
      <c r="P59" s="233" t="s">
        <v>48</v>
      </c>
      <c r="Q59" s="235"/>
      <c r="R59" s="118">
        <f>S59-200</f>
        <v>5050</v>
      </c>
      <c r="S59" s="118">
        <f>T59-200</f>
        <v>5250</v>
      </c>
      <c r="T59" s="118">
        <f>U59-200</f>
        <v>5450</v>
      </c>
      <c r="U59" s="119">
        <f>V59-200</f>
        <v>5650</v>
      </c>
      <c r="V59" s="120">
        <f>J59</f>
        <v>5850</v>
      </c>
      <c r="W59" s="119">
        <f>V59+200</f>
        <v>6050</v>
      </c>
      <c r="X59" s="119">
        <f>W59+200</f>
        <v>6250</v>
      </c>
      <c r="Y59" s="119">
        <f>X59+200</f>
        <v>6450</v>
      </c>
      <c r="Z59" s="119">
        <f>Y59+200</f>
        <v>6650</v>
      </c>
    </row>
    <row r="60" spans="1:26" ht="13.5" customHeight="1" thickBot="1">
      <c r="A60" s="221" t="s">
        <v>49</v>
      </c>
      <c r="B60" s="229">
        <f>B59+B58</f>
        <v>7882.547072434183</v>
      </c>
      <c r="C60" s="214"/>
      <c r="D60" s="236" t="s">
        <v>50</v>
      </c>
      <c r="E60" s="237"/>
      <c r="F60" s="121">
        <f aca="true" t="shared" si="13" ref="F60:N60">F59-$B$65</f>
        <v>4696</v>
      </c>
      <c r="G60" s="121">
        <f t="shared" si="13"/>
        <v>4896</v>
      </c>
      <c r="H60" s="121">
        <f t="shared" si="13"/>
        <v>5096</v>
      </c>
      <c r="I60" s="121">
        <f t="shared" si="13"/>
        <v>5296</v>
      </c>
      <c r="J60" s="122">
        <f t="shared" si="13"/>
        <v>5496</v>
      </c>
      <c r="K60" s="121">
        <f t="shared" si="13"/>
        <v>5696</v>
      </c>
      <c r="L60" s="121">
        <f t="shared" si="13"/>
        <v>5896</v>
      </c>
      <c r="M60" s="121">
        <f t="shared" si="13"/>
        <v>6096</v>
      </c>
      <c r="N60" s="121">
        <f t="shared" si="13"/>
        <v>6296</v>
      </c>
      <c r="P60" s="236" t="s">
        <v>50</v>
      </c>
      <c r="Q60" s="237"/>
      <c r="R60" s="121">
        <f aca="true" t="shared" si="14" ref="R60:Z60">R59-$B$65</f>
        <v>4696</v>
      </c>
      <c r="S60" s="121">
        <f t="shared" si="14"/>
        <v>4896</v>
      </c>
      <c r="T60" s="121">
        <f t="shared" si="14"/>
        <v>5096</v>
      </c>
      <c r="U60" s="121">
        <f t="shared" si="14"/>
        <v>5296</v>
      </c>
      <c r="V60" s="122">
        <f t="shared" si="14"/>
        <v>5496</v>
      </c>
      <c r="W60" s="121">
        <f t="shared" si="14"/>
        <v>5696</v>
      </c>
      <c r="X60" s="121">
        <f t="shared" si="14"/>
        <v>5896</v>
      </c>
      <c r="Y60" s="121">
        <f t="shared" si="14"/>
        <v>6096</v>
      </c>
      <c r="Z60" s="121">
        <f t="shared" si="14"/>
        <v>6296</v>
      </c>
    </row>
    <row r="61" spans="1:26" ht="13.5" customHeight="1" thickBot="1">
      <c r="A61" s="220"/>
      <c r="B61" s="213"/>
      <c r="C61" s="213"/>
      <c r="D61" s="238" t="s">
        <v>51</v>
      </c>
      <c r="E61" s="99">
        <f>E62-0.25</f>
        <v>1</v>
      </c>
      <c r="F61" s="100">
        <f aca="true" t="shared" si="15" ref="F61:N65">F$60-($B$60/$E61)</f>
        <v>-3186.547072434183</v>
      </c>
      <c r="G61" s="100">
        <f t="shared" si="15"/>
        <v>-2986.547072434183</v>
      </c>
      <c r="H61" s="100">
        <f t="shared" si="15"/>
        <v>-2786.547072434183</v>
      </c>
      <c r="I61" s="100">
        <f t="shared" si="15"/>
        <v>-2586.547072434183</v>
      </c>
      <c r="J61" s="100">
        <f t="shared" si="15"/>
        <v>-2386.547072434183</v>
      </c>
      <c r="K61" s="100">
        <f t="shared" si="15"/>
        <v>-2186.547072434183</v>
      </c>
      <c r="L61" s="100">
        <f t="shared" si="15"/>
        <v>-1986.547072434183</v>
      </c>
      <c r="M61" s="100">
        <f t="shared" si="15"/>
        <v>-1786.547072434183</v>
      </c>
      <c r="N61" s="100">
        <f t="shared" si="15"/>
        <v>-1586.547072434183</v>
      </c>
      <c r="P61" s="238" t="s">
        <v>51</v>
      </c>
      <c r="Q61" s="99">
        <f>Q62-0.25</f>
        <v>1</v>
      </c>
      <c r="R61" s="100">
        <f aca="true" t="shared" si="16" ref="R61:Z65">R$60-($B$58/$E61)</f>
        <v>-533.7970724341831</v>
      </c>
      <c r="S61" s="100">
        <f t="shared" si="16"/>
        <v>-333.79707243418306</v>
      </c>
      <c r="T61" s="100">
        <f t="shared" si="16"/>
        <v>-133.79707243418306</v>
      </c>
      <c r="U61" s="100">
        <f t="shared" si="16"/>
        <v>66.20292756581694</v>
      </c>
      <c r="V61" s="100">
        <f t="shared" si="16"/>
        <v>266.20292756581694</v>
      </c>
      <c r="W61" s="100">
        <f t="shared" si="16"/>
        <v>466.20292756581694</v>
      </c>
      <c r="X61" s="100">
        <f t="shared" si="16"/>
        <v>666.2029275658169</v>
      </c>
      <c r="Y61" s="100">
        <f t="shared" si="16"/>
        <v>866.2029275658169</v>
      </c>
      <c r="Z61" s="100">
        <f t="shared" si="16"/>
        <v>1066.202927565817</v>
      </c>
    </row>
    <row r="62" spans="1:26" ht="13.5" customHeight="1" thickBot="1">
      <c r="A62" s="220" t="s">
        <v>52</v>
      </c>
      <c r="B62" s="222">
        <v>1.5</v>
      </c>
      <c r="C62" s="213"/>
      <c r="D62" s="239"/>
      <c r="E62" s="99">
        <f>E63-0.25</f>
        <v>1.25</v>
      </c>
      <c r="F62" s="100">
        <f t="shared" si="15"/>
        <v>-1610.0376579473468</v>
      </c>
      <c r="G62" s="100">
        <f t="shared" si="15"/>
        <v>-1410.0376579473468</v>
      </c>
      <c r="H62" s="100">
        <f t="shared" si="15"/>
        <v>-1210.0376579473468</v>
      </c>
      <c r="I62" s="100">
        <f t="shared" si="15"/>
        <v>-1010.0376579473468</v>
      </c>
      <c r="J62" s="100">
        <f t="shared" si="15"/>
        <v>-810.0376579473468</v>
      </c>
      <c r="K62" s="100">
        <f t="shared" si="15"/>
        <v>-610.0376579473468</v>
      </c>
      <c r="L62" s="100">
        <f t="shared" si="15"/>
        <v>-410.0376579473468</v>
      </c>
      <c r="M62" s="100">
        <f t="shared" si="15"/>
        <v>-210.03765794734682</v>
      </c>
      <c r="N62" s="100">
        <f t="shared" si="15"/>
        <v>-10.037657947346815</v>
      </c>
      <c r="P62" s="239"/>
      <c r="Q62" s="99">
        <f>Q63-0.25</f>
        <v>1.25</v>
      </c>
      <c r="R62" s="100">
        <f t="shared" si="16"/>
        <v>512.1623420526539</v>
      </c>
      <c r="S62" s="100">
        <f t="shared" si="16"/>
        <v>712.1623420526539</v>
      </c>
      <c r="T62" s="100">
        <f t="shared" si="16"/>
        <v>912.1623420526539</v>
      </c>
      <c r="U62" s="100">
        <f t="shared" si="16"/>
        <v>1112.162342052654</v>
      </c>
      <c r="V62" s="100">
        <f t="shared" si="16"/>
        <v>1312.162342052654</v>
      </c>
      <c r="W62" s="100">
        <f t="shared" si="16"/>
        <v>1512.162342052654</v>
      </c>
      <c r="X62" s="100">
        <f t="shared" si="16"/>
        <v>1712.162342052654</v>
      </c>
      <c r="Y62" s="100">
        <f t="shared" si="16"/>
        <v>1912.162342052654</v>
      </c>
      <c r="Z62" s="100">
        <f t="shared" si="16"/>
        <v>2112.162342052654</v>
      </c>
    </row>
    <row r="63" spans="1:26" ht="13.5" customHeight="1" thickBot="1">
      <c r="A63" s="220"/>
      <c r="B63" s="213"/>
      <c r="C63" s="213"/>
      <c r="D63" s="239"/>
      <c r="E63" s="108">
        <f>B62</f>
        <v>1.5</v>
      </c>
      <c r="F63" s="100">
        <f t="shared" si="15"/>
        <v>-559.031381622789</v>
      </c>
      <c r="G63" s="100">
        <f t="shared" si="15"/>
        <v>-359.031381622789</v>
      </c>
      <c r="H63" s="100">
        <f t="shared" si="15"/>
        <v>-159.031381622789</v>
      </c>
      <c r="I63" s="100">
        <f t="shared" si="15"/>
        <v>40.96861837721099</v>
      </c>
      <c r="J63" s="100">
        <f t="shared" si="15"/>
        <v>240.968618377211</v>
      </c>
      <c r="K63" s="100">
        <f t="shared" si="15"/>
        <v>440.968618377211</v>
      </c>
      <c r="L63" s="100">
        <f>L$60-($B$60/$E63)</f>
        <v>640.968618377211</v>
      </c>
      <c r="M63" s="100">
        <f t="shared" si="15"/>
        <v>840.968618377211</v>
      </c>
      <c r="N63" s="100">
        <f t="shared" si="15"/>
        <v>1040.968618377211</v>
      </c>
      <c r="P63" s="239"/>
      <c r="Q63" s="108">
        <f>E63</f>
        <v>1.5</v>
      </c>
      <c r="R63" s="100">
        <f t="shared" si="16"/>
        <v>1209.4686183772114</v>
      </c>
      <c r="S63" s="100">
        <f t="shared" si="16"/>
        <v>1409.4686183772114</v>
      </c>
      <c r="T63" s="100">
        <f t="shared" si="16"/>
        <v>1609.4686183772114</v>
      </c>
      <c r="U63" s="100">
        <f t="shared" si="16"/>
        <v>1809.4686183772114</v>
      </c>
      <c r="V63" s="100">
        <f t="shared" si="16"/>
        <v>2009.4686183772114</v>
      </c>
      <c r="W63" s="100">
        <f t="shared" si="16"/>
        <v>2209.4686183772114</v>
      </c>
      <c r="X63" s="100">
        <f t="shared" si="16"/>
        <v>2409.4686183772114</v>
      </c>
      <c r="Y63" s="100">
        <f t="shared" si="16"/>
        <v>2609.4686183772114</v>
      </c>
      <c r="Z63" s="100">
        <f t="shared" si="16"/>
        <v>2809.4686183772114</v>
      </c>
    </row>
    <row r="64" spans="1:26" ht="13.5" customHeight="1" thickBot="1">
      <c r="A64" s="220" t="s">
        <v>147</v>
      </c>
      <c r="B64" s="227">
        <f>B5</f>
        <v>5850</v>
      </c>
      <c r="C64" s="213"/>
      <c r="D64" s="239"/>
      <c r="E64" s="99">
        <f>E63+0.25</f>
        <v>1.75</v>
      </c>
      <c r="F64" s="100">
        <f t="shared" si="15"/>
        <v>191.68738718046643</v>
      </c>
      <c r="G64" s="100">
        <f t="shared" si="15"/>
        <v>391.68738718046643</v>
      </c>
      <c r="H64" s="100">
        <f t="shared" si="15"/>
        <v>591.6873871804664</v>
      </c>
      <c r="I64" s="100">
        <f t="shared" si="15"/>
        <v>791.6873871804664</v>
      </c>
      <c r="J64" s="100">
        <f t="shared" si="15"/>
        <v>991.6873871804664</v>
      </c>
      <c r="K64" s="100">
        <f t="shared" si="15"/>
        <v>1191.6873871804664</v>
      </c>
      <c r="L64" s="100">
        <f t="shared" si="15"/>
        <v>1391.6873871804664</v>
      </c>
      <c r="M64" s="100">
        <f t="shared" si="15"/>
        <v>1591.6873871804664</v>
      </c>
      <c r="N64" s="100">
        <f t="shared" si="15"/>
        <v>1791.6873871804664</v>
      </c>
      <c r="P64" s="239"/>
      <c r="Q64" s="99">
        <f>Q63+0.25</f>
        <v>1.75</v>
      </c>
      <c r="R64" s="100">
        <f t="shared" si="16"/>
        <v>1707.5445300376095</v>
      </c>
      <c r="S64" s="100">
        <f t="shared" si="16"/>
        <v>1907.5445300376095</v>
      </c>
      <c r="T64" s="100">
        <f t="shared" si="16"/>
        <v>2107.5445300376095</v>
      </c>
      <c r="U64" s="100">
        <f t="shared" si="16"/>
        <v>2307.5445300376095</v>
      </c>
      <c r="V64" s="100">
        <f t="shared" si="16"/>
        <v>2507.5445300376095</v>
      </c>
      <c r="W64" s="100">
        <f t="shared" si="16"/>
        <v>2707.5445300376095</v>
      </c>
      <c r="X64" s="100">
        <f t="shared" si="16"/>
        <v>2907.5445300376095</v>
      </c>
      <c r="Y64" s="100">
        <f t="shared" si="16"/>
        <v>3107.5445300376095</v>
      </c>
      <c r="Z64" s="100">
        <f t="shared" si="16"/>
        <v>3307.5445300376095</v>
      </c>
    </row>
    <row r="65" spans="1:26" ht="13.5" customHeight="1" thickBot="1">
      <c r="A65" s="223" t="s">
        <v>53</v>
      </c>
      <c r="B65" s="228">
        <f>D5</f>
        <v>354</v>
      </c>
      <c r="C65" s="213"/>
      <c r="D65" s="240"/>
      <c r="E65" s="99">
        <f>E64+0.25</f>
        <v>2</v>
      </c>
      <c r="F65" s="100">
        <f>F$60-($B$60/$E65)</f>
        <v>754.7264637829085</v>
      </c>
      <c r="G65" s="100">
        <f t="shared" si="15"/>
        <v>954.7264637829085</v>
      </c>
      <c r="H65" s="100">
        <f t="shared" si="15"/>
        <v>1154.7264637829085</v>
      </c>
      <c r="I65" s="100">
        <f t="shared" si="15"/>
        <v>1354.7264637829085</v>
      </c>
      <c r="J65" s="100">
        <f t="shared" si="15"/>
        <v>1554.7264637829085</v>
      </c>
      <c r="K65" s="100">
        <f t="shared" si="15"/>
        <v>1754.7264637829085</v>
      </c>
      <c r="L65" s="100">
        <f t="shared" si="15"/>
        <v>1954.7264637829085</v>
      </c>
      <c r="M65" s="100">
        <f t="shared" si="15"/>
        <v>2154.7264637829085</v>
      </c>
      <c r="N65" s="100">
        <f>N$60-($B$60/$E65)</f>
        <v>2354.7264637829085</v>
      </c>
      <c r="P65" s="240"/>
      <c r="Q65" s="99">
        <f>Q64+0.25</f>
        <v>2</v>
      </c>
      <c r="R65" s="100">
        <f>R$60-($B$58/$E65)</f>
        <v>2081.1014637829085</v>
      </c>
      <c r="S65" s="100">
        <f t="shared" si="16"/>
        <v>2281.1014637829085</v>
      </c>
      <c r="T65" s="100">
        <f t="shared" si="16"/>
        <v>2481.1014637829085</v>
      </c>
      <c r="U65" s="100">
        <f t="shared" si="16"/>
        <v>2681.1014637829085</v>
      </c>
      <c r="V65" s="100">
        <f t="shared" si="16"/>
        <v>2881.1014637829085</v>
      </c>
      <c r="W65" s="100">
        <f t="shared" si="16"/>
        <v>3081.1014637829085</v>
      </c>
      <c r="X65" s="100">
        <f t="shared" si="16"/>
        <v>3281.1014637829085</v>
      </c>
      <c r="Y65" s="100">
        <f t="shared" si="16"/>
        <v>3481.1014637829085</v>
      </c>
      <c r="Z65" s="100">
        <f t="shared" si="16"/>
        <v>3681.1014637829085</v>
      </c>
    </row>
    <row r="66" spans="1:24" ht="13.5" customHeight="1">
      <c r="A66" s="215" t="s">
        <v>54</v>
      </c>
      <c r="B66" s="229">
        <f>B64-B65</f>
        <v>5496</v>
      </c>
      <c r="C66" s="213"/>
      <c r="D66" s="113"/>
      <c r="E66" s="114"/>
      <c r="F66" s="115"/>
      <c r="G66" s="115"/>
      <c r="H66" s="115"/>
      <c r="I66" s="115"/>
      <c r="J66" s="115"/>
      <c r="K66" s="115"/>
      <c r="L66" s="115"/>
      <c r="P66" s="113"/>
      <c r="Q66" s="114"/>
      <c r="R66" s="115"/>
      <c r="S66" s="115"/>
      <c r="T66" s="115"/>
      <c r="U66" s="115"/>
      <c r="V66" s="115"/>
      <c r="W66" s="115"/>
      <c r="X66" s="115"/>
    </row>
    <row r="67" spans="1:24" ht="13.5" customHeight="1">
      <c r="A67" s="215"/>
      <c r="B67" s="214"/>
      <c r="C67" s="213"/>
      <c r="D67" s="113"/>
      <c r="E67" s="114"/>
      <c r="F67" s="115"/>
      <c r="G67" s="115"/>
      <c r="H67" s="115"/>
      <c r="I67" s="115"/>
      <c r="J67" s="115"/>
      <c r="K67" s="115"/>
      <c r="L67" s="115"/>
      <c r="P67" s="113"/>
      <c r="Q67" s="114"/>
      <c r="R67" s="115"/>
      <c r="S67" s="115"/>
      <c r="T67" s="115"/>
      <c r="U67" s="115"/>
      <c r="V67" s="115"/>
      <c r="W67" s="115"/>
      <c r="X67" s="115"/>
    </row>
    <row r="68" spans="4:24" ht="13.5" customHeight="1">
      <c r="D68" s="113"/>
      <c r="E68" s="114"/>
      <c r="F68" s="115"/>
      <c r="G68" s="115"/>
      <c r="H68" s="115"/>
      <c r="I68" s="115"/>
      <c r="J68" s="115"/>
      <c r="K68" s="115"/>
      <c r="L68" s="115"/>
      <c r="P68" s="113"/>
      <c r="Q68" s="114"/>
      <c r="R68" s="115"/>
      <c r="S68" s="115"/>
      <c r="T68" s="115"/>
      <c r="U68" s="115"/>
      <c r="V68" s="115"/>
      <c r="W68" s="115"/>
      <c r="X68" s="115"/>
    </row>
    <row r="69" spans="1:2" ht="13.5" customHeight="1" thickBot="1">
      <c r="A69" s="241"/>
      <c r="B69" s="241"/>
    </row>
    <row r="70" spans="1:26" ht="19.5" customHeight="1" thickBot="1">
      <c r="A70" s="232" t="s">
        <v>68</v>
      </c>
      <c r="B70" s="232"/>
      <c r="C70" s="212"/>
      <c r="D70" s="233" t="s">
        <v>87</v>
      </c>
      <c r="E70" s="234"/>
      <c r="F70" s="234"/>
      <c r="G70" s="234"/>
      <c r="H70" s="234"/>
      <c r="I70" s="234"/>
      <c r="J70" s="234"/>
      <c r="K70" s="234"/>
      <c r="L70" s="234"/>
      <c r="M70" s="234"/>
      <c r="N70" s="235"/>
      <c r="P70" s="233" t="s">
        <v>90</v>
      </c>
      <c r="Q70" s="234"/>
      <c r="R70" s="234"/>
      <c r="S70" s="234"/>
      <c r="T70" s="234"/>
      <c r="U70" s="234"/>
      <c r="V70" s="234"/>
      <c r="W70" s="234"/>
      <c r="X70" s="234"/>
      <c r="Y70" s="234"/>
      <c r="Z70" s="235"/>
    </row>
    <row r="71" spans="1:26" ht="13.5" customHeight="1" thickBot="1">
      <c r="A71" s="220" t="s">
        <v>45</v>
      </c>
      <c r="B71" s="227">
        <f>INDEX(Sojabone!M9:O13,MATCH($B$75,Sojaopbrengspeil,0),2)</f>
        <v>6679.4083072192125</v>
      </c>
      <c r="C71" s="216"/>
      <c r="D71" s="87"/>
      <c r="E71" s="88"/>
      <c r="F71" s="89"/>
      <c r="G71" s="90"/>
      <c r="H71" s="89"/>
      <c r="I71" s="89"/>
      <c r="J71" s="89" t="s">
        <v>55</v>
      </c>
      <c r="K71" s="91"/>
      <c r="L71" s="89"/>
      <c r="M71" s="91"/>
      <c r="N71" s="89"/>
      <c r="P71" s="87"/>
      <c r="Q71" s="88"/>
      <c r="R71" s="89"/>
      <c r="S71" s="90"/>
      <c r="T71" s="89"/>
      <c r="U71" s="89"/>
      <c r="V71" s="89" t="s">
        <v>55</v>
      </c>
      <c r="W71" s="91"/>
      <c r="X71" s="89"/>
      <c r="Y71" s="91"/>
      <c r="Z71" s="89"/>
    </row>
    <row r="72" spans="1:26" ht="13.5" customHeight="1" thickBot="1">
      <c r="A72" s="220" t="s">
        <v>47</v>
      </c>
      <c r="B72" s="228">
        <f>INDEX(Sojabone!M9:O13,MATCH($B$75,Sojaopbrengspeil,0),3)</f>
        <v>2656.68</v>
      </c>
      <c r="C72" s="216"/>
      <c r="D72" s="233" t="s">
        <v>48</v>
      </c>
      <c r="E72" s="235"/>
      <c r="F72" s="94">
        <f>G72-200</f>
        <v>5450</v>
      </c>
      <c r="G72" s="94">
        <f>H72-200</f>
        <v>5650</v>
      </c>
      <c r="H72" s="94">
        <f>I72-200</f>
        <v>5850</v>
      </c>
      <c r="I72" s="94">
        <f>J72-200</f>
        <v>6050</v>
      </c>
      <c r="J72" s="95">
        <f>B77</f>
        <v>6250</v>
      </c>
      <c r="K72" s="94">
        <f>J72+200</f>
        <v>6450</v>
      </c>
      <c r="L72" s="94">
        <f>K72+200</f>
        <v>6650</v>
      </c>
      <c r="M72" s="94">
        <f>L72+200</f>
        <v>6850</v>
      </c>
      <c r="N72" s="94">
        <f>M72+200</f>
        <v>7050</v>
      </c>
      <c r="P72" s="233" t="s">
        <v>48</v>
      </c>
      <c r="Q72" s="235"/>
      <c r="R72" s="94">
        <f>S72-200</f>
        <v>5450</v>
      </c>
      <c r="S72" s="94">
        <f>T72-200</f>
        <v>5650</v>
      </c>
      <c r="T72" s="94">
        <f>U72-200</f>
        <v>5850</v>
      </c>
      <c r="U72" s="94">
        <f>V72-200</f>
        <v>6050</v>
      </c>
      <c r="V72" s="95">
        <f>J72</f>
        <v>6250</v>
      </c>
      <c r="W72" s="94">
        <f>V72+200</f>
        <v>6450</v>
      </c>
      <c r="X72" s="94">
        <f>W72+200</f>
        <v>6650</v>
      </c>
      <c r="Y72" s="94">
        <f>X72+200</f>
        <v>6850</v>
      </c>
      <c r="Z72" s="94">
        <f>Y72+200</f>
        <v>7050</v>
      </c>
    </row>
    <row r="73" spans="1:26" ht="13.5" customHeight="1" thickBot="1">
      <c r="A73" s="221" t="s">
        <v>49</v>
      </c>
      <c r="B73" s="229">
        <f>B72+B71</f>
        <v>9336.088307219212</v>
      </c>
      <c r="C73" s="203"/>
      <c r="D73" s="236" t="s">
        <v>50</v>
      </c>
      <c r="E73" s="237"/>
      <c r="F73" s="123">
        <f aca="true" t="shared" si="17" ref="F73:N73">F72-$B$78</f>
        <v>5322</v>
      </c>
      <c r="G73" s="96">
        <f t="shared" si="17"/>
        <v>5522</v>
      </c>
      <c r="H73" s="96">
        <f t="shared" si="17"/>
        <v>5722</v>
      </c>
      <c r="I73" s="96">
        <f t="shared" si="17"/>
        <v>5922</v>
      </c>
      <c r="J73" s="98">
        <f t="shared" si="17"/>
        <v>6122</v>
      </c>
      <c r="K73" s="96">
        <f t="shared" si="17"/>
        <v>6322</v>
      </c>
      <c r="L73" s="96">
        <f t="shared" si="17"/>
        <v>6522</v>
      </c>
      <c r="M73" s="96">
        <f t="shared" si="17"/>
        <v>6722</v>
      </c>
      <c r="N73" s="96">
        <f t="shared" si="17"/>
        <v>6922</v>
      </c>
      <c r="P73" s="236" t="s">
        <v>50</v>
      </c>
      <c r="Q73" s="237"/>
      <c r="R73" s="96">
        <f aca="true" t="shared" si="18" ref="R73:Z73">R72-$B$78</f>
        <v>5322</v>
      </c>
      <c r="S73" s="96">
        <f t="shared" si="18"/>
        <v>5522</v>
      </c>
      <c r="T73" s="96">
        <f t="shared" si="18"/>
        <v>5722</v>
      </c>
      <c r="U73" s="96">
        <f t="shared" si="18"/>
        <v>5922</v>
      </c>
      <c r="V73" s="98">
        <f t="shared" si="18"/>
        <v>6122</v>
      </c>
      <c r="W73" s="96">
        <f t="shared" si="18"/>
        <v>6322</v>
      </c>
      <c r="X73" s="96">
        <f t="shared" si="18"/>
        <v>6522</v>
      </c>
      <c r="Y73" s="96">
        <f t="shared" si="18"/>
        <v>6722</v>
      </c>
      <c r="Z73" s="96">
        <f t="shared" si="18"/>
        <v>6922</v>
      </c>
    </row>
    <row r="74" spans="1:26" ht="13.5" customHeight="1" thickBot="1">
      <c r="A74" s="220"/>
      <c r="B74" s="213"/>
      <c r="C74" s="217"/>
      <c r="D74" s="238" t="s">
        <v>51</v>
      </c>
      <c r="E74" s="99">
        <f>E75-0.25</f>
        <v>1.25</v>
      </c>
      <c r="F74" s="100">
        <f>F$73-($B$73/$E74)</f>
        <v>-2146.8706457753697</v>
      </c>
      <c r="G74" s="101">
        <f aca="true" t="shared" si="19" ref="F74:N78">G$73-($B$73/$E74)</f>
        <v>-1946.8706457753697</v>
      </c>
      <c r="H74" s="101">
        <f t="shared" si="19"/>
        <v>-1746.8706457753697</v>
      </c>
      <c r="I74" s="101">
        <f t="shared" si="19"/>
        <v>-1546.8706457753697</v>
      </c>
      <c r="J74" s="101">
        <f t="shared" si="19"/>
        <v>-1346.8706457753697</v>
      </c>
      <c r="K74" s="101">
        <f t="shared" si="19"/>
        <v>-1146.8706457753697</v>
      </c>
      <c r="L74" s="101">
        <f t="shared" si="19"/>
        <v>-946.8706457753697</v>
      </c>
      <c r="M74" s="102">
        <f t="shared" si="19"/>
        <v>-746.8706457753697</v>
      </c>
      <c r="N74" s="103">
        <f t="shared" si="19"/>
        <v>-546.8706457753697</v>
      </c>
      <c r="P74" s="238" t="s">
        <v>51</v>
      </c>
      <c r="Q74" s="99">
        <f>Q75-0.25</f>
        <v>1.25</v>
      </c>
      <c r="R74" s="100">
        <f>R$73-($B$71/$E74)</f>
        <v>-21.526645775369616</v>
      </c>
      <c r="S74" s="100">
        <f aca="true" t="shared" si="20" ref="S74:Z74">S$73-($B$71/$E74)</f>
        <v>178.47335422463038</v>
      </c>
      <c r="T74" s="100">
        <f t="shared" si="20"/>
        <v>378.4733542246304</v>
      </c>
      <c r="U74" s="100">
        <f t="shared" si="20"/>
        <v>578.4733542246304</v>
      </c>
      <c r="V74" s="100">
        <f t="shared" si="20"/>
        <v>778.4733542246304</v>
      </c>
      <c r="W74" s="100">
        <f t="shared" si="20"/>
        <v>978.4733542246304</v>
      </c>
      <c r="X74" s="100">
        <f t="shared" si="20"/>
        <v>1178.4733542246304</v>
      </c>
      <c r="Y74" s="100">
        <f t="shared" si="20"/>
        <v>1378.4733542246304</v>
      </c>
      <c r="Z74" s="100">
        <f t="shared" si="20"/>
        <v>1578.4733542246304</v>
      </c>
    </row>
    <row r="75" spans="1:26" ht="13.5" customHeight="1" thickBot="1">
      <c r="A75" s="220" t="s">
        <v>52</v>
      </c>
      <c r="B75" s="222">
        <v>1.75</v>
      </c>
      <c r="C75" s="218"/>
      <c r="D75" s="239"/>
      <c r="E75" s="99">
        <f>E76-0.25</f>
        <v>1.5</v>
      </c>
      <c r="F75" s="104">
        <f t="shared" si="19"/>
        <v>-902.0588714794749</v>
      </c>
      <c r="G75" s="105">
        <f t="shared" si="19"/>
        <v>-702.0588714794749</v>
      </c>
      <c r="H75" s="105">
        <f t="shared" si="19"/>
        <v>-502.0588714794749</v>
      </c>
      <c r="I75" s="105">
        <f t="shared" si="19"/>
        <v>-302.0588714794749</v>
      </c>
      <c r="J75" s="105">
        <f t="shared" si="19"/>
        <v>-102.05887147947487</v>
      </c>
      <c r="K75" s="106">
        <f t="shared" si="19"/>
        <v>97.94112852052513</v>
      </c>
      <c r="L75" s="106">
        <f t="shared" si="19"/>
        <v>297.9411285205251</v>
      </c>
      <c r="M75" s="106">
        <f t="shared" si="19"/>
        <v>497.9411285205251</v>
      </c>
      <c r="N75" s="107">
        <f t="shared" si="19"/>
        <v>697.9411285205251</v>
      </c>
      <c r="P75" s="239"/>
      <c r="Q75" s="99">
        <f>Q76-0.25</f>
        <v>1.5</v>
      </c>
      <c r="R75" s="100">
        <f aca="true" t="shared" si="21" ref="R75:Z78">R$73-($B$71/$E75)</f>
        <v>869.061128520525</v>
      </c>
      <c r="S75" s="100">
        <f t="shared" si="21"/>
        <v>1069.061128520525</v>
      </c>
      <c r="T75" s="100">
        <f t="shared" si="21"/>
        <v>1269.061128520525</v>
      </c>
      <c r="U75" s="100">
        <f t="shared" si="21"/>
        <v>1469.061128520525</v>
      </c>
      <c r="V75" s="100">
        <f t="shared" si="21"/>
        <v>1669.061128520525</v>
      </c>
      <c r="W75" s="100">
        <f t="shared" si="21"/>
        <v>1869.061128520525</v>
      </c>
      <c r="X75" s="100">
        <f t="shared" si="21"/>
        <v>2069.061128520525</v>
      </c>
      <c r="Y75" s="100">
        <f t="shared" si="21"/>
        <v>2269.061128520525</v>
      </c>
      <c r="Z75" s="100">
        <f t="shared" si="21"/>
        <v>2469.061128520525</v>
      </c>
    </row>
    <row r="76" spans="1:26" ht="13.5" customHeight="1" thickBot="1">
      <c r="A76" s="220"/>
      <c r="B76" s="213"/>
      <c r="C76" s="217"/>
      <c r="D76" s="239"/>
      <c r="E76" s="108">
        <f>B75</f>
        <v>1.75</v>
      </c>
      <c r="F76" s="104">
        <f t="shared" si="19"/>
        <v>-12.907604125263788</v>
      </c>
      <c r="G76" s="105">
        <f t="shared" si="19"/>
        <v>187.0923958747362</v>
      </c>
      <c r="H76" s="105">
        <f t="shared" si="19"/>
        <v>387.0923958747362</v>
      </c>
      <c r="I76" s="105">
        <f t="shared" si="19"/>
        <v>587.0923958747362</v>
      </c>
      <c r="J76" s="106">
        <f t="shared" si="19"/>
        <v>787.0923958747362</v>
      </c>
      <c r="K76" s="106">
        <f t="shared" si="19"/>
        <v>987.0923958747362</v>
      </c>
      <c r="L76" s="106">
        <f t="shared" si="19"/>
        <v>1187.0923958747362</v>
      </c>
      <c r="M76" s="106">
        <f t="shared" si="19"/>
        <v>1387.0923958747362</v>
      </c>
      <c r="N76" s="107">
        <f t="shared" si="19"/>
        <v>1587.0923958747362</v>
      </c>
      <c r="P76" s="239"/>
      <c r="Q76" s="108">
        <f>E76</f>
        <v>1.75</v>
      </c>
      <c r="R76" s="100">
        <f>R$73-($B$71/$E76)</f>
        <v>1505.1952530175927</v>
      </c>
      <c r="S76" s="100">
        <f t="shared" si="21"/>
        <v>1705.1952530175927</v>
      </c>
      <c r="T76" s="100">
        <f t="shared" si="21"/>
        <v>1905.1952530175927</v>
      </c>
      <c r="U76" s="100">
        <f t="shared" si="21"/>
        <v>2105.1952530175927</v>
      </c>
      <c r="V76" s="100">
        <f t="shared" si="21"/>
        <v>2305.1952530175927</v>
      </c>
      <c r="W76" s="100">
        <f t="shared" si="21"/>
        <v>2505.1952530175927</v>
      </c>
      <c r="X76" s="100">
        <f t="shared" si="21"/>
        <v>2705.1952530175927</v>
      </c>
      <c r="Y76" s="100">
        <f t="shared" si="21"/>
        <v>2905.1952530175927</v>
      </c>
      <c r="Z76" s="100">
        <f t="shared" si="21"/>
        <v>3105.1952530175927</v>
      </c>
    </row>
    <row r="77" spans="1:26" ht="13.5" customHeight="1" thickBot="1">
      <c r="A77" s="220" t="s">
        <v>148</v>
      </c>
      <c r="B77" s="227">
        <f>B6</f>
        <v>6250</v>
      </c>
      <c r="C77" s="217"/>
      <c r="D77" s="239"/>
      <c r="E77" s="99">
        <f>E76+0.25</f>
        <v>2</v>
      </c>
      <c r="F77" s="104">
        <f t="shared" si="19"/>
        <v>653.9558463903941</v>
      </c>
      <c r="G77" s="105">
        <f t="shared" si="19"/>
        <v>853.9558463903941</v>
      </c>
      <c r="H77" s="105">
        <f t="shared" si="19"/>
        <v>1053.955846390394</v>
      </c>
      <c r="I77" s="106">
        <f t="shared" si="19"/>
        <v>1253.955846390394</v>
      </c>
      <c r="J77" s="106">
        <f t="shared" si="19"/>
        <v>1453.955846390394</v>
      </c>
      <c r="K77" s="106">
        <f t="shared" si="19"/>
        <v>1653.955846390394</v>
      </c>
      <c r="L77" s="106">
        <f t="shared" si="19"/>
        <v>1853.955846390394</v>
      </c>
      <c r="M77" s="106">
        <f t="shared" si="19"/>
        <v>2053.955846390394</v>
      </c>
      <c r="N77" s="107">
        <f t="shared" si="19"/>
        <v>2253.955846390394</v>
      </c>
      <c r="P77" s="239"/>
      <c r="Q77" s="99">
        <f>Q76+0.25</f>
        <v>2</v>
      </c>
      <c r="R77" s="100">
        <f t="shared" si="21"/>
        <v>1982.2958463903938</v>
      </c>
      <c r="S77" s="100">
        <f t="shared" si="21"/>
        <v>2182.2958463903938</v>
      </c>
      <c r="T77" s="100">
        <f t="shared" si="21"/>
        <v>2382.2958463903938</v>
      </c>
      <c r="U77" s="100">
        <f t="shared" si="21"/>
        <v>2582.2958463903938</v>
      </c>
      <c r="V77" s="100">
        <f t="shared" si="21"/>
        <v>2782.2958463903938</v>
      </c>
      <c r="W77" s="100">
        <f t="shared" si="21"/>
        <v>2982.2958463903938</v>
      </c>
      <c r="X77" s="100">
        <f t="shared" si="21"/>
        <v>3182.2958463903938</v>
      </c>
      <c r="Y77" s="100">
        <f t="shared" si="21"/>
        <v>3382.2958463903938</v>
      </c>
      <c r="Z77" s="100">
        <f t="shared" si="21"/>
        <v>3582.2958463903938</v>
      </c>
    </row>
    <row r="78" spans="1:26" ht="13.5" customHeight="1" thickBot="1">
      <c r="A78" s="223" t="s">
        <v>53</v>
      </c>
      <c r="B78" s="228">
        <f>D6</f>
        <v>128</v>
      </c>
      <c r="C78" s="219"/>
      <c r="D78" s="240"/>
      <c r="E78" s="99">
        <f>E77+0.25</f>
        <v>2.25</v>
      </c>
      <c r="F78" s="109">
        <f t="shared" si="19"/>
        <v>1172.6274190136837</v>
      </c>
      <c r="G78" s="110">
        <f>G$73-($B$73/$E78)</f>
        <v>1372.6274190136837</v>
      </c>
      <c r="H78" s="111">
        <f t="shared" si="19"/>
        <v>1572.6274190136837</v>
      </c>
      <c r="I78" s="111">
        <f t="shared" si="19"/>
        <v>1772.6274190136837</v>
      </c>
      <c r="J78" s="111">
        <f t="shared" si="19"/>
        <v>1972.6274190136837</v>
      </c>
      <c r="K78" s="111">
        <f t="shared" si="19"/>
        <v>2172.6274190136837</v>
      </c>
      <c r="L78" s="111">
        <f t="shared" si="19"/>
        <v>2372.6274190136837</v>
      </c>
      <c r="M78" s="111">
        <f t="shared" si="19"/>
        <v>2572.6274190136837</v>
      </c>
      <c r="N78" s="112">
        <f>N$73-($B$73/$E78)</f>
        <v>2772.6274190136837</v>
      </c>
      <c r="P78" s="240"/>
      <c r="Q78" s="99">
        <f>Q77+0.25</f>
        <v>2.25</v>
      </c>
      <c r="R78" s="100">
        <f t="shared" si="21"/>
        <v>2353.37408568035</v>
      </c>
      <c r="S78" s="100">
        <f>S$73-($B$71/$E78)</f>
        <v>2553.37408568035</v>
      </c>
      <c r="T78" s="100">
        <f t="shared" si="21"/>
        <v>2753.37408568035</v>
      </c>
      <c r="U78" s="100">
        <f t="shared" si="21"/>
        <v>2953.37408568035</v>
      </c>
      <c r="V78" s="100">
        <f t="shared" si="21"/>
        <v>3153.37408568035</v>
      </c>
      <c r="W78" s="100">
        <f t="shared" si="21"/>
        <v>3353.37408568035</v>
      </c>
      <c r="X78" s="100">
        <f t="shared" si="21"/>
        <v>3553.37408568035</v>
      </c>
      <c r="Y78" s="100">
        <f t="shared" si="21"/>
        <v>3753.37408568035</v>
      </c>
      <c r="Z78" s="100">
        <f t="shared" si="21"/>
        <v>3953.37408568035</v>
      </c>
    </row>
    <row r="79" spans="1:3" ht="13.5" customHeight="1">
      <c r="A79" s="215" t="s">
        <v>54</v>
      </c>
      <c r="B79" s="229">
        <f>B77-B78</f>
        <v>6122</v>
      </c>
      <c r="C79" s="219"/>
    </row>
    <row r="80" ht="13.5" customHeight="1"/>
    <row r="81" ht="13.5" customHeight="1"/>
    <row r="82" spans="1:2" ht="13.5" customHeight="1" thickBot="1">
      <c r="A82" s="241"/>
      <c r="B82" s="241"/>
    </row>
    <row r="83" spans="1:26" ht="19.5" customHeight="1" thickBot="1">
      <c r="A83" s="232" t="s">
        <v>70</v>
      </c>
      <c r="B83" s="232"/>
      <c r="C83" s="212"/>
      <c r="D83" s="233" t="s">
        <v>88</v>
      </c>
      <c r="E83" s="234"/>
      <c r="F83" s="234"/>
      <c r="G83" s="234"/>
      <c r="H83" s="234"/>
      <c r="I83" s="234"/>
      <c r="J83" s="234"/>
      <c r="K83" s="234"/>
      <c r="L83" s="234"/>
      <c r="M83" s="234"/>
      <c r="N83" s="235"/>
      <c r="P83" s="233" t="s">
        <v>89</v>
      </c>
      <c r="Q83" s="234"/>
      <c r="R83" s="234"/>
      <c r="S83" s="234"/>
      <c r="T83" s="234"/>
      <c r="U83" s="234"/>
      <c r="V83" s="234"/>
      <c r="W83" s="234"/>
      <c r="X83" s="234"/>
      <c r="Y83" s="234"/>
      <c r="Z83" s="235"/>
    </row>
    <row r="84" spans="1:26" ht="13.5" customHeight="1" thickBot="1">
      <c r="A84" s="220" t="s">
        <v>45</v>
      </c>
      <c r="B84" s="227">
        <f>INDEX(Graansorghum!M9:O13,MATCH($B$88,Sorgopbrengspeil,0),2)</f>
        <v>6399.686272936704</v>
      </c>
      <c r="C84" s="216"/>
      <c r="D84" s="87"/>
      <c r="E84" s="88"/>
      <c r="F84" s="89"/>
      <c r="G84" s="90"/>
      <c r="H84" s="89"/>
      <c r="I84" s="89"/>
      <c r="J84" s="89" t="s">
        <v>55</v>
      </c>
      <c r="K84" s="91"/>
      <c r="L84" s="89"/>
      <c r="M84" s="91"/>
      <c r="N84" s="89"/>
      <c r="P84" s="87"/>
      <c r="Q84" s="88"/>
      <c r="R84" s="89"/>
      <c r="S84" s="90"/>
      <c r="T84" s="89"/>
      <c r="U84" s="89"/>
      <c r="V84" s="89" t="s">
        <v>55</v>
      </c>
      <c r="W84" s="91"/>
      <c r="X84" s="89"/>
      <c r="Y84" s="91"/>
      <c r="Z84" s="89"/>
    </row>
    <row r="85" spans="1:26" ht="13.5" customHeight="1" thickBot="1">
      <c r="A85" s="220" t="s">
        <v>47</v>
      </c>
      <c r="B85" s="228">
        <f>INDEX(Graansorghum!M9:O13,MATCH($B$88,Sorgopbrengspeil,0),3)</f>
        <v>2574.2000000000003</v>
      </c>
      <c r="C85" s="216"/>
      <c r="D85" s="233" t="s">
        <v>48</v>
      </c>
      <c r="E85" s="235"/>
      <c r="F85" s="94">
        <f>G85-200</f>
        <v>3000</v>
      </c>
      <c r="G85" s="94">
        <f>H85-200</f>
        <v>3200</v>
      </c>
      <c r="H85" s="94">
        <f>I85-200</f>
        <v>3400</v>
      </c>
      <c r="I85" s="94">
        <f>J85-200</f>
        <v>3600</v>
      </c>
      <c r="J85" s="95">
        <f>B90</f>
        <v>3800</v>
      </c>
      <c r="K85" s="94">
        <f>J85+200</f>
        <v>4000</v>
      </c>
      <c r="L85" s="94">
        <f>K85+200</f>
        <v>4200</v>
      </c>
      <c r="M85" s="94">
        <f>L85+200</f>
        <v>4400</v>
      </c>
      <c r="N85" s="94">
        <f>M85+200</f>
        <v>4600</v>
      </c>
      <c r="P85" s="233" t="s">
        <v>48</v>
      </c>
      <c r="Q85" s="235"/>
      <c r="R85" s="94">
        <f>S85-200</f>
        <v>3000</v>
      </c>
      <c r="S85" s="94">
        <f>T85-200</f>
        <v>3200</v>
      </c>
      <c r="T85" s="94">
        <f>U85-200</f>
        <v>3400</v>
      </c>
      <c r="U85" s="94">
        <f>V85-200</f>
        <v>3600</v>
      </c>
      <c r="V85" s="95">
        <f>J85</f>
        <v>3800</v>
      </c>
      <c r="W85" s="94">
        <f>V85+200</f>
        <v>4000</v>
      </c>
      <c r="X85" s="94">
        <f>W85+200</f>
        <v>4200</v>
      </c>
      <c r="Y85" s="94">
        <f>X85+200</f>
        <v>4400</v>
      </c>
      <c r="Z85" s="94">
        <f>Y85+200</f>
        <v>4600</v>
      </c>
    </row>
    <row r="86" spans="1:26" ht="13.5" customHeight="1" thickBot="1">
      <c r="A86" s="221" t="s">
        <v>49</v>
      </c>
      <c r="B86" s="229">
        <f>B85+B84</f>
        <v>8973.886272936705</v>
      </c>
      <c r="C86" s="203"/>
      <c r="D86" s="236" t="s">
        <v>50</v>
      </c>
      <c r="E86" s="237"/>
      <c r="F86" s="123">
        <f aca="true" t="shared" si="22" ref="F86:N86">F85-$B$78</f>
        <v>2872</v>
      </c>
      <c r="G86" s="96">
        <f t="shared" si="22"/>
        <v>3072</v>
      </c>
      <c r="H86" s="96">
        <f t="shared" si="22"/>
        <v>3272</v>
      </c>
      <c r="I86" s="96">
        <f t="shared" si="22"/>
        <v>3472</v>
      </c>
      <c r="J86" s="95">
        <f>J85-$B$78</f>
        <v>3672</v>
      </c>
      <c r="K86" s="96">
        <f t="shared" si="22"/>
        <v>3872</v>
      </c>
      <c r="L86" s="96">
        <f t="shared" si="22"/>
        <v>4072</v>
      </c>
      <c r="M86" s="96">
        <f t="shared" si="22"/>
        <v>4272</v>
      </c>
      <c r="N86" s="96">
        <f t="shared" si="22"/>
        <v>4472</v>
      </c>
      <c r="P86" s="236" t="s">
        <v>50</v>
      </c>
      <c r="Q86" s="237"/>
      <c r="R86" s="96">
        <f aca="true" t="shared" si="23" ref="R86:Z86">R85-$B$78</f>
        <v>2872</v>
      </c>
      <c r="S86" s="96">
        <f t="shared" si="23"/>
        <v>3072</v>
      </c>
      <c r="T86" s="96">
        <f t="shared" si="23"/>
        <v>3272</v>
      </c>
      <c r="U86" s="96">
        <f t="shared" si="23"/>
        <v>3472</v>
      </c>
      <c r="V86" s="98">
        <f t="shared" si="23"/>
        <v>3672</v>
      </c>
      <c r="W86" s="96">
        <f t="shared" si="23"/>
        <v>3872</v>
      </c>
      <c r="X86" s="96">
        <f t="shared" si="23"/>
        <v>4072</v>
      </c>
      <c r="Y86" s="96">
        <f t="shared" si="23"/>
        <v>4272</v>
      </c>
      <c r="Z86" s="96">
        <f t="shared" si="23"/>
        <v>4472</v>
      </c>
    </row>
    <row r="87" spans="1:26" ht="13.5" customHeight="1" thickBot="1">
      <c r="A87" s="220"/>
      <c r="B87" s="213"/>
      <c r="C87" s="217"/>
      <c r="D87" s="238" t="s">
        <v>51</v>
      </c>
      <c r="E87" s="99">
        <f>E88-0.25</f>
        <v>2.5</v>
      </c>
      <c r="F87" s="100">
        <f>F$86-($B$86/$E87)</f>
        <v>-717.5545091746817</v>
      </c>
      <c r="G87" s="100">
        <f aca="true" t="shared" si="24" ref="G87:N87">G$86-($B$86/$E87)</f>
        <v>-517.5545091746817</v>
      </c>
      <c r="H87" s="100">
        <f t="shared" si="24"/>
        <v>-317.5545091746817</v>
      </c>
      <c r="I87" s="100">
        <f t="shared" si="24"/>
        <v>-117.5545091746817</v>
      </c>
      <c r="J87" s="100">
        <f t="shared" si="24"/>
        <v>82.4454908253183</v>
      </c>
      <c r="K87" s="100">
        <f t="shared" si="24"/>
        <v>282.4454908253183</v>
      </c>
      <c r="L87" s="100">
        <f>L$86-($B$86/$E87)</f>
        <v>482.4454908253183</v>
      </c>
      <c r="M87" s="100">
        <f t="shared" si="24"/>
        <v>682.4454908253183</v>
      </c>
      <c r="N87" s="100">
        <f t="shared" si="24"/>
        <v>882.4454908253183</v>
      </c>
      <c r="P87" s="238" t="s">
        <v>51</v>
      </c>
      <c r="Q87" s="99">
        <f>Q88-0.25</f>
        <v>2.5</v>
      </c>
      <c r="R87" s="100">
        <f>R$86-($B$84/$E87)</f>
        <v>312.1254908253186</v>
      </c>
      <c r="S87" s="100">
        <f aca="true" t="shared" si="25" ref="S87:Z87">S$86-($B$84/$E87)</f>
        <v>512.1254908253186</v>
      </c>
      <c r="T87" s="100">
        <f t="shared" si="25"/>
        <v>712.1254908253186</v>
      </c>
      <c r="U87" s="100">
        <f t="shared" si="25"/>
        <v>912.1254908253186</v>
      </c>
      <c r="V87" s="100">
        <f t="shared" si="25"/>
        <v>1112.1254908253186</v>
      </c>
      <c r="W87" s="100">
        <f t="shared" si="25"/>
        <v>1312.1254908253186</v>
      </c>
      <c r="X87" s="100">
        <f t="shared" si="25"/>
        <v>1512.1254908253186</v>
      </c>
      <c r="Y87" s="100">
        <f t="shared" si="25"/>
        <v>1712.1254908253186</v>
      </c>
      <c r="Z87" s="100">
        <f t="shared" si="25"/>
        <v>1912.1254908253186</v>
      </c>
    </row>
    <row r="88" spans="1:26" ht="13.5" customHeight="1" thickBot="1">
      <c r="A88" s="220" t="s">
        <v>52</v>
      </c>
      <c r="B88" s="222">
        <v>3</v>
      </c>
      <c r="C88" s="218"/>
      <c r="D88" s="239"/>
      <c r="E88" s="99">
        <f>E89-0.25</f>
        <v>2.75</v>
      </c>
      <c r="F88" s="100">
        <f aca="true" t="shared" si="26" ref="F88:N91">F$86-($B$86/$E88)</f>
        <v>-391.2313719769836</v>
      </c>
      <c r="G88" s="100">
        <f t="shared" si="26"/>
        <v>-191.2313719769836</v>
      </c>
      <c r="H88" s="100">
        <f t="shared" si="26"/>
        <v>8.76862802301639</v>
      </c>
      <c r="I88" s="100">
        <f t="shared" si="26"/>
        <v>208.7686280230164</v>
      </c>
      <c r="J88" s="100">
        <f t="shared" si="26"/>
        <v>408.7686280230164</v>
      </c>
      <c r="K88" s="100">
        <f t="shared" si="26"/>
        <v>608.7686280230164</v>
      </c>
      <c r="L88" s="100">
        <f t="shared" si="26"/>
        <v>808.7686280230164</v>
      </c>
      <c r="M88" s="100">
        <f t="shared" si="26"/>
        <v>1008.7686280230164</v>
      </c>
      <c r="N88" s="100">
        <f t="shared" si="26"/>
        <v>1208.7686280230164</v>
      </c>
      <c r="P88" s="239"/>
      <c r="Q88" s="99">
        <f>Q89-0.25</f>
        <v>2.75</v>
      </c>
      <c r="R88" s="100">
        <f aca="true" t="shared" si="27" ref="R88:Z91">R$86-($B$84/$E88)</f>
        <v>544.841355295744</v>
      </c>
      <c r="S88" s="100">
        <f t="shared" si="27"/>
        <v>744.841355295744</v>
      </c>
      <c r="T88" s="100">
        <f t="shared" si="27"/>
        <v>944.841355295744</v>
      </c>
      <c r="U88" s="100">
        <f t="shared" si="27"/>
        <v>1144.841355295744</v>
      </c>
      <c r="V88" s="100">
        <f t="shared" si="27"/>
        <v>1344.841355295744</v>
      </c>
      <c r="W88" s="100">
        <f t="shared" si="27"/>
        <v>1544.841355295744</v>
      </c>
      <c r="X88" s="100">
        <f t="shared" si="27"/>
        <v>1744.841355295744</v>
      </c>
      <c r="Y88" s="100">
        <f t="shared" si="27"/>
        <v>1944.841355295744</v>
      </c>
      <c r="Z88" s="100">
        <f t="shared" si="27"/>
        <v>2144.841355295744</v>
      </c>
    </row>
    <row r="89" spans="1:26" ht="13.5" customHeight="1" thickBot="1">
      <c r="A89" s="220"/>
      <c r="B89" s="213"/>
      <c r="C89" s="217"/>
      <c r="D89" s="239"/>
      <c r="E89" s="108">
        <f>B88</f>
        <v>3</v>
      </c>
      <c r="F89" s="100">
        <f t="shared" si="26"/>
        <v>-119.2954243122349</v>
      </c>
      <c r="G89" s="100">
        <f t="shared" si="26"/>
        <v>80.7045756877651</v>
      </c>
      <c r="H89" s="100">
        <f t="shared" si="26"/>
        <v>280.7045756877651</v>
      </c>
      <c r="I89" s="100">
        <f t="shared" si="26"/>
        <v>480.7045756877651</v>
      </c>
      <c r="J89" s="100">
        <f t="shared" si="26"/>
        <v>680.7045756877651</v>
      </c>
      <c r="K89" s="100">
        <f t="shared" si="26"/>
        <v>880.7045756877651</v>
      </c>
      <c r="L89" s="100">
        <f t="shared" si="26"/>
        <v>1080.704575687765</v>
      </c>
      <c r="M89" s="100">
        <f t="shared" si="26"/>
        <v>1280.704575687765</v>
      </c>
      <c r="N89" s="100">
        <f t="shared" si="26"/>
        <v>1480.704575687765</v>
      </c>
      <c r="P89" s="239"/>
      <c r="Q89" s="108">
        <f>E89</f>
        <v>3</v>
      </c>
      <c r="R89" s="100">
        <f t="shared" si="27"/>
        <v>738.7712423544322</v>
      </c>
      <c r="S89" s="100">
        <f t="shared" si="27"/>
        <v>938.7712423544322</v>
      </c>
      <c r="T89" s="100">
        <f t="shared" si="27"/>
        <v>1138.7712423544322</v>
      </c>
      <c r="U89" s="100">
        <f t="shared" si="27"/>
        <v>1338.7712423544322</v>
      </c>
      <c r="V89" s="100">
        <f t="shared" si="27"/>
        <v>1538.7712423544322</v>
      </c>
      <c r="W89" s="100">
        <f t="shared" si="27"/>
        <v>1738.7712423544322</v>
      </c>
      <c r="X89" s="100">
        <f t="shared" si="27"/>
        <v>1938.7712423544322</v>
      </c>
      <c r="Y89" s="100">
        <f t="shared" si="27"/>
        <v>2138.771242354432</v>
      </c>
      <c r="Z89" s="100">
        <f t="shared" si="27"/>
        <v>2338.771242354432</v>
      </c>
    </row>
    <row r="90" spans="1:26" ht="13.5" customHeight="1" thickBot="1">
      <c r="A90" s="220" t="s">
        <v>149</v>
      </c>
      <c r="B90" s="227">
        <f>B7</f>
        <v>3800</v>
      </c>
      <c r="C90" s="217"/>
      <c r="D90" s="239"/>
      <c r="E90" s="99">
        <f>E89+0.25</f>
        <v>3.25</v>
      </c>
      <c r="F90" s="100">
        <f t="shared" si="26"/>
        <v>110.80422371178338</v>
      </c>
      <c r="G90" s="100">
        <f t="shared" si="26"/>
        <v>310.8042237117834</v>
      </c>
      <c r="H90" s="100">
        <f t="shared" si="26"/>
        <v>510.8042237117834</v>
      </c>
      <c r="I90" s="100">
        <f t="shared" si="26"/>
        <v>710.8042237117834</v>
      </c>
      <c r="J90" s="100">
        <f t="shared" si="26"/>
        <v>910.8042237117834</v>
      </c>
      <c r="K90" s="100">
        <f t="shared" si="26"/>
        <v>1110.8042237117834</v>
      </c>
      <c r="L90" s="100">
        <f t="shared" si="26"/>
        <v>1310.8042237117834</v>
      </c>
      <c r="M90" s="100">
        <f t="shared" si="26"/>
        <v>1510.8042237117834</v>
      </c>
      <c r="N90" s="100">
        <f t="shared" si="26"/>
        <v>1710.8042237117834</v>
      </c>
      <c r="P90" s="239"/>
      <c r="Q90" s="99">
        <f>Q89+0.25</f>
        <v>3.25</v>
      </c>
      <c r="R90" s="100">
        <f t="shared" si="27"/>
        <v>902.8657621733219</v>
      </c>
      <c r="S90" s="100">
        <f t="shared" si="27"/>
        <v>1102.8657621733219</v>
      </c>
      <c r="T90" s="100">
        <f t="shared" si="27"/>
        <v>1302.8657621733219</v>
      </c>
      <c r="U90" s="100">
        <f t="shared" si="27"/>
        <v>1502.8657621733219</v>
      </c>
      <c r="V90" s="100">
        <f t="shared" si="27"/>
        <v>1702.8657621733219</v>
      </c>
      <c r="W90" s="100">
        <f t="shared" si="27"/>
        <v>1902.8657621733219</v>
      </c>
      <c r="X90" s="100">
        <f t="shared" si="27"/>
        <v>2102.865762173322</v>
      </c>
      <c r="Y90" s="100">
        <f t="shared" si="27"/>
        <v>2302.865762173322</v>
      </c>
      <c r="Z90" s="100">
        <f t="shared" si="27"/>
        <v>2502.865762173322</v>
      </c>
    </row>
    <row r="91" spans="1:26" ht="13.5" customHeight="1" thickBot="1">
      <c r="A91" s="223" t="s">
        <v>53</v>
      </c>
      <c r="B91" s="228">
        <f>D7</f>
        <v>128</v>
      </c>
      <c r="C91" s="219"/>
      <c r="D91" s="240"/>
      <c r="E91" s="99">
        <f>E90+0.25</f>
        <v>3.5</v>
      </c>
      <c r="F91" s="100">
        <f t="shared" si="26"/>
        <v>308.03249344665574</v>
      </c>
      <c r="G91" s="100">
        <f>G$86-($B$86/$E91)</f>
        <v>508.03249344665574</v>
      </c>
      <c r="H91" s="100">
        <f t="shared" si="26"/>
        <v>708.0324934466557</v>
      </c>
      <c r="I91" s="100">
        <f t="shared" si="26"/>
        <v>908.0324934466557</v>
      </c>
      <c r="J91" s="100">
        <f t="shared" si="26"/>
        <v>1108.0324934466557</v>
      </c>
      <c r="K91" s="100">
        <f t="shared" si="26"/>
        <v>1308.0324934466557</v>
      </c>
      <c r="L91" s="100">
        <f t="shared" si="26"/>
        <v>1508.0324934466557</v>
      </c>
      <c r="M91" s="100">
        <f t="shared" si="26"/>
        <v>1708.0324934466557</v>
      </c>
      <c r="N91" s="100">
        <f>N$86-($B$86/$E91)</f>
        <v>1908.0324934466557</v>
      </c>
      <c r="P91" s="240"/>
      <c r="Q91" s="99">
        <f>Q90+0.25</f>
        <v>3.5</v>
      </c>
      <c r="R91" s="100">
        <f t="shared" si="27"/>
        <v>1043.5182077323702</v>
      </c>
      <c r="S91" s="100">
        <f>S$86-($B$84/$E91)</f>
        <v>1243.5182077323702</v>
      </c>
      <c r="T91" s="100">
        <f t="shared" si="27"/>
        <v>1443.5182077323702</v>
      </c>
      <c r="U91" s="100">
        <f t="shared" si="27"/>
        <v>1643.5182077323702</v>
      </c>
      <c r="V91" s="100">
        <f t="shared" si="27"/>
        <v>1843.5182077323702</v>
      </c>
      <c r="W91" s="100">
        <f t="shared" si="27"/>
        <v>2043.5182077323702</v>
      </c>
      <c r="X91" s="100">
        <f t="shared" si="27"/>
        <v>2243.5182077323702</v>
      </c>
      <c r="Y91" s="100">
        <f t="shared" si="27"/>
        <v>2443.5182077323702</v>
      </c>
      <c r="Z91" s="100">
        <f t="shared" si="27"/>
        <v>2643.5182077323702</v>
      </c>
    </row>
    <row r="92" spans="1:3" ht="13.5" customHeight="1">
      <c r="A92" s="215" t="s">
        <v>54</v>
      </c>
      <c r="B92" s="229">
        <f>B90-B91</f>
        <v>3672</v>
      </c>
      <c r="C92" s="219"/>
    </row>
  </sheetData>
  <sheetProtection selectLockedCells="1"/>
  <mergeCells count="60">
    <mergeCell ref="A82:B82"/>
    <mergeCell ref="A16:B16"/>
    <mergeCell ref="A29:B29"/>
    <mergeCell ref="A42:B42"/>
    <mergeCell ref="A56:B56"/>
    <mergeCell ref="A69:B69"/>
    <mergeCell ref="A17:B17"/>
    <mergeCell ref="A30:B30"/>
    <mergeCell ref="A43:B43"/>
    <mergeCell ref="A57:B57"/>
    <mergeCell ref="D74:D78"/>
    <mergeCell ref="P74:P78"/>
    <mergeCell ref="D87:D91"/>
    <mergeCell ref="P87:P91"/>
    <mergeCell ref="D83:N83"/>
    <mergeCell ref="P83:Z83"/>
    <mergeCell ref="D85:E85"/>
    <mergeCell ref="P85:Q85"/>
    <mergeCell ref="D86:E86"/>
    <mergeCell ref="P86:Q86"/>
    <mergeCell ref="D70:N70"/>
    <mergeCell ref="P70:Z70"/>
    <mergeCell ref="D72:E72"/>
    <mergeCell ref="P72:Q72"/>
    <mergeCell ref="D73:E73"/>
    <mergeCell ref="P73:Q73"/>
    <mergeCell ref="D59:E59"/>
    <mergeCell ref="P59:Q59"/>
    <mergeCell ref="D60:E60"/>
    <mergeCell ref="P60:Q60"/>
    <mergeCell ref="D61:D65"/>
    <mergeCell ref="P61:P65"/>
    <mergeCell ref="D46:E46"/>
    <mergeCell ref="P46:Q46"/>
    <mergeCell ref="D47:D51"/>
    <mergeCell ref="P47:P51"/>
    <mergeCell ref="D57:N57"/>
    <mergeCell ref="P57:Z57"/>
    <mergeCell ref="D34:D38"/>
    <mergeCell ref="P34:P38"/>
    <mergeCell ref="D43:N43"/>
    <mergeCell ref="P43:Z43"/>
    <mergeCell ref="D45:E45"/>
    <mergeCell ref="P45:Q45"/>
    <mergeCell ref="D30:N30"/>
    <mergeCell ref="P30:Z30"/>
    <mergeCell ref="D32:E32"/>
    <mergeCell ref="P32:Q32"/>
    <mergeCell ref="D33:E33"/>
    <mergeCell ref="P33:Q33"/>
    <mergeCell ref="A70:B70"/>
    <mergeCell ref="A83:B83"/>
    <mergeCell ref="D17:N17"/>
    <mergeCell ref="P17:Z17"/>
    <mergeCell ref="D19:E19"/>
    <mergeCell ref="P19:Q19"/>
    <mergeCell ref="D20:E20"/>
    <mergeCell ref="P20:Q20"/>
    <mergeCell ref="D21:D25"/>
    <mergeCell ref="P21:P25"/>
  </mergeCells>
  <conditionalFormatting sqref="F21:N25">
    <cfRule type="cellIs" priority="57" dxfId="1" operator="lessThan" stopIfTrue="1">
      <formula>1</formula>
    </cfRule>
    <cfRule type="cellIs" priority="58" dxfId="0" operator="greaterThan" stopIfTrue="1">
      <formula>1</formula>
    </cfRule>
    <cfRule type="cellIs" priority="59" dxfId="1" operator="lessThan" stopIfTrue="1">
      <formula>1</formula>
    </cfRule>
    <cfRule type="cellIs" priority="60" dxfId="0" operator="greaterThan" stopIfTrue="1">
      <formula>1</formula>
    </cfRule>
  </conditionalFormatting>
  <conditionalFormatting sqref="F74:N78">
    <cfRule type="cellIs" priority="53" dxfId="1" operator="lessThan" stopIfTrue="1">
      <formula>1</formula>
    </cfRule>
    <cfRule type="cellIs" priority="54" dxfId="0" operator="greaterThan" stopIfTrue="1">
      <formula>1</formula>
    </cfRule>
    <cfRule type="cellIs" priority="55" dxfId="1" operator="lessThan" stopIfTrue="1">
      <formula>1</formula>
    </cfRule>
    <cfRule type="cellIs" priority="56" dxfId="0" operator="greaterThan" stopIfTrue="1">
      <formula>1</formula>
    </cfRule>
  </conditionalFormatting>
  <conditionalFormatting sqref="R21:Z25">
    <cfRule type="cellIs" priority="49" dxfId="1" operator="lessThan" stopIfTrue="1">
      <formula>1</formula>
    </cfRule>
    <cfRule type="cellIs" priority="50" dxfId="0" operator="greaterThan" stopIfTrue="1">
      <formula>1</formula>
    </cfRule>
    <cfRule type="cellIs" priority="51" dxfId="1" operator="lessThan" stopIfTrue="1">
      <formula>1</formula>
    </cfRule>
    <cfRule type="cellIs" priority="52" dxfId="0" operator="greaterThan" stopIfTrue="1">
      <formula>1</formula>
    </cfRule>
  </conditionalFormatting>
  <conditionalFormatting sqref="R74:Z78">
    <cfRule type="cellIs" priority="45" dxfId="1" operator="lessThan" stopIfTrue="1">
      <formula>1</formula>
    </cfRule>
    <cfRule type="cellIs" priority="46" dxfId="0" operator="greaterThan" stopIfTrue="1">
      <formula>1</formula>
    </cfRule>
    <cfRule type="cellIs" priority="47" dxfId="1" operator="lessThan" stopIfTrue="1">
      <formula>1</formula>
    </cfRule>
    <cfRule type="cellIs" priority="48" dxfId="0" operator="greaterThan" stopIfTrue="1">
      <formula>1</formula>
    </cfRule>
  </conditionalFormatting>
  <conditionalFormatting sqref="F61:N65">
    <cfRule type="cellIs" priority="41" dxfId="1" operator="lessThan" stopIfTrue="1">
      <formula>1</formula>
    </cfRule>
    <cfRule type="cellIs" priority="42" dxfId="0" operator="greaterThan" stopIfTrue="1">
      <formula>1</formula>
    </cfRule>
    <cfRule type="cellIs" priority="43" dxfId="1" operator="lessThan" stopIfTrue="1">
      <formula>1</formula>
    </cfRule>
    <cfRule type="cellIs" priority="44" dxfId="0" operator="greaterThan" stopIfTrue="1">
      <formula>1</formula>
    </cfRule>
  </conditionalFormatting>
  <conditionalFormatting sqref="R61:Z65">
    <cfRule type="cellIs" priority="37" dxfId="1" operator="lessThan" stopIfTrue="1">
      <formula>1</formula>
    </cfRule>
    <cfRule type="cellIs" priority="38" dxfId="0" operator="greaterThan" stopIfTrue="1">
      <formula>1</formula>
    </cfRule>
    <cfRule type="cellIs" priority="39" dxfId="1" operator="lessThan" stopIfTrue="1">
      <formula>1</formula>
    </cfRule>
    <cfRule type="cellIs" priority="40" dxfId="0" operator="greaterThan" stopIfTrue="1">
      <formula>1</formula>
    </cfRule>
  </conditionalFormatting>
  <conditionalFormatting sqref="F34:N38">
    <cfRule type="cellIs" priority="33" dxfId="1" operator="lessThan" stopIfTrue="1">
      <formula>1</formula>
    </cfRule>
    <cfRule type="cellIs" priority="34" dxfId="0" operator="greaterThan" stopIfTrue="1">
      <formula>1</formula>
    </cfRule>
    <cfRule type="cellIs" priority="35" dxfId="1" operator="lessThan" stopIfTrue="1">
      <formula>1</formula>
    </cfRule>
    <cfRule type="cellIs" priority="36" dxfId="0" operator="greaterThan" stopIfTrue="1">
      <formula>1</formula>
    </cfRule>
  </conditionalFormatting>
  <conditionalFormatting sqref="R34:Z38">
    <cfRule type="cellIs" priority="29" dxfId="1" operator="lessThan" stopIfTrue="1">
      <formula>1</formula>
    </cfRule>
    <cfRule type="cellIs" priority="30" dxfId="0" operator="greaterThan" stopIfTrue="1">
      <formula>1</formula>
    </cfRule>
    <cfRule type="cellIs" priority="31" dxfId="1" operator="lessThan" stopIfTrue="1">
      <formula>1</formula>
    </cfRule>
    <cfRule type="cellIs" priority="32" dxfId="0" operator="greaterThan" stopIfTrue="1">
      <formula>1</formula>
    </cfRule>
  </conditionalFormatting>
  <conditionalFormatting sqref="F47:N51">
    <cfRule type="cellIs" priority="25" dxfId="1" operator="lessThan" stopIfTrue="1">
      <formula>1</formula>
    </cfRule>
    <cfRule type="cellIs" priority="26" dxfId="0" operator="greaterThan" stopIfTrue="1">
      <formula>1</formula>
    </cfRule>
    <cfRule type="cellIs" priority="27" dxfId="1" operator="lessThan" stopIfTrue="1">
      <formula>1</formula>
    </cfRule>
    <cfRule type="cellIs" priority="28" dxfId="0" operator="greaterThan" stopIfTrue="1">
      <formula>1</formula>
    </cfRule>
  </conditionalFormatting>
  <conditionalFormatting sqref="R47:Z51">
    <cfRule type="cellIs" priority="21" dxfId="1" operator="lessThan" stopIfTrue="1">
      <formula>1</formula>
    </cfRule>
    <cfRule type="cellIs" priority="22" dxfId="0" operator="greaterThan" stopIfTrue="1">
      <formula>1</formula>
    </cfRule>
    <cfRule type="cellIs" priority="23" dxfId="1" operator="lessThan" stopIfTrue="1">
      <formula>1</formula>
    </cfRule>
    <cfRule type="cellIs" priority="24" dxfId="0" operator="greaterThan" stopIfTrue="1">
      <formula>1</formula>
    </cfRule>
  </conditionalFormatting>
  <conditionalFormatting sqref="F87:N91">
    <cfRule type="cellIs" priority="9" dxfId="1" operator="lessThan" stopIfTrue="1">
      <formula>1</formula>
    </cfRule>
    <cfRule type="cellIs" priority="10" dxfId="0" operator="greaterThan" stopIfTrue="1">
      <formula>1</formula>
    </cfRule>
    <cfRule type="cellIs" priority="11" dxfId="1" operator="lessThan" stopIfTrue="1">
      <formula>1</formula>
    </cfRule>
    <cfRule type="cellIs" priority="12" dxfId="0" operator="greaterThan" stopIfTrue="1">
      <formula>1</formula>
    </cfRule>
  </conditionalFormatting>
  <conditionalFormatting sqref="R87:Z91">
    <cfRule type="cellIs" priority="1" dxfId="1" operator="lessThan" stopIfTrue="1">
      <formula>1</formula>
    </cfRule>
    <cfRule type="cellIs" priority="2" dxfId="0" operator="greaterThan" stopIfTrue="1">
      <formula>1</formula>
    </cfRule>
    <cfRule type="cellIs" priority="3" dxfId="1" operator="lessThan" stopIfTrue="1">
      <formula>1</formula>
    </cfRule>
    <cfRule type="cellIs" priority="4" dxfId="0" operator="greaterThan" stopIfTrue="1">
      <formula>1</formula>
    </cfRule>
  </conditionalFormatting>
  <dataValidations count="6">
    <dataValidation type="list" allowBlank="1" showInputMessage="1" showErrorMessage="1" sqref="B88">
      <formula1>Sorgopbrengspeil</formula1>
    </dataValidation>
    <dataValidation type="list" allowBlank="1" showInputMessage="1" showErrorMessage="1" sqref="B75">
      <formula1>Sojaopbrengspeil</formula1>
    </dataValidation>
    <dataValidation type="list" allowBlank="1" showInputMessage="1" showErrorMessage="1" sqref="B62">
      <formula1>Sonopbrengspeil</formula1>
    </dataValidation>
    <dataValidation type="list" allowBlank="1" showInputMessage="1" showErrorMessage="1" sqref="B48">
      <formula1>BTopbrengspeil</formula1>
    </dataValidation>
    <dataValidation type="list" allowBlank="1" showInputMessage="1" showErrorMessage="1" sqref="B35">
      <formula1>RRHpbrengspeil</formula1>
    </dataValidation>
    <dataValidation type="list" allowBlank="1" showInputMessage="1" showErrorMessage="1" sqref="B22">
      <formula1>RRLopbrengspeil</formula1>
    </dataValidation>
  </dataValidation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dimension ref="A1:P86"/>
  <sheetViews>
    <sheetView zoomScale="85" zoomScaleNormal="85" zoomScalePageLayoutView="0" workbookViewId="0" topLeftCell="A1">
      <selection activeCell="M6" sqref="M6"/>
    </sheetView>
  </sheetViews>
  <sheetFormatPr defaultColWidth="9.140625" defaultRowHeight="12.75"/>
  <cols>
    <col min="1" max="1" width="38.8515625" style="167" customWidth="1"/>
    <col min="2" max="9" width="14.28125" style="167" customWidth="1"/>
    <col min="10" max="10" width="9.140625" style="167" customWidth="1"/>
    <col min="11" max="11" width="10.8515625" style="167" bestFit="1" customWidth="1"/>
    <col min="12" max="16384" width="9.140625" style="167" customWidth="1"/>
  </cols>
  <sheetData>
    <row r="1" spans="1:10" ht="15">
      <c r="A1" s="149" t="s">
        <v>140</v>
      </c>
      <c r="B1" s="155"/>
      <c r="C1" s="155"/>
      <c r="D1" s="155"/>
      <c r="E1" s="155"/>
      <c r="F1" s="155"/>
      <c r="G1" s="155"/>
      <c r="H1" s="155"/>
      <c r="I1" s="155"/>
      <c r="J1" s="161"/>
    </row>
    <row r="2" spans="1:10" ht="30.75" customHeight="1">
      <c r="A2" s="162" t="s">
        <v>93</v>
      </c>
      <c r="B2" s="174" t="s">
        <v>94</v>
      </c>
      <c r="C2" s="174" t="s">
        <v>95</v>
      </c>
      <c r="D2" s="174" t="s">
        <v>96</v>
      </c>
      <c r="E2" s="174" t="s">
        <v>97</v>
      </c>
      <c r="F2" s="174" t="s">
        <v>98</v>
      </c>
      <c r="G2" s="174" t="s">
        <v>99</v>
      </c>
      <c r="H2" s="174" t="s">
        <v>100</v>
      </c>
      <c r="I2" s="174" t="s">
        <v>101</v>
      </c>
      <c r="J2" s="161"/>
    </row>
    <row r="3" spans="1:10" ht="15">
      <c r="A3" s="183" t="s">
        <v>102</v>
      </c>
      <c r="B3" s="163"/>
      <c r="C3" s="163"/>
      <c r="D3" s="163"/>
      <c r="E3" s="163"/>
      <c r="F3" s="163"/>
      <c r="G3" s="163"/>
      <c r="H3" s="163"/>
      <c r="I3" s="163"/>
      <c r="J3" s="161"/>
    </row>
    <row r="4" spans="1:10" ht="15">
      <c r="A4" s="182" t="s">
        <v>103</v>
      </c>
      <c r="B4" s="184">
        <f>'W-RR mielies Laer opbrengs '!E5</f>
        <v>3.5</v>
      </c>
      <c r="C4" s="184">
        <f>'W-RR mielies Hoer opbrengs  '!G5</f>
        <v>6.5</v>
      </c>
      <c r="D4" s="184">
        <f>'W-BT Mielies '!F5</f>
        <v>4.5</v>
      </c>
      <c r="E4" s="184">
        <f>Sonneblom!F5</f>
        <v>1.5</v>
      </c>
      <c r="F4" s="184">
        <f>Sojabone!F5</f>
        <v>1.75</v>
      </c>
      <c r="G4" s="184">
        <f>Graansorghum!F5</f>
        <v>3</v>
      </c>
      <c r="H4" s="184">
        <f>Grondbone!D12</f>
        <v>1.5</v>
      </c>
      <c r="I4" s="184">
        <f>'Bes-mielies'!F5</f>
        <v>12</v>
      </c>
      <c r="J4" s="161"/>
    </row>
    <row r="5" spans="1:10" s="158" customFormat="1" ht="15">
      <c r="A5" s="182" t="s">
        <v>104</v>
      </c>
      <c r="B5" s="178">
        <f>'Pryse + Sensatiwiteitsanali'!B4</f>
        <v>2700</v>
      </c>
      <c r="C5" s="178">
        <f>B5</f>
        <v>2700</v>
      </c>
      <c r="D5" s="178">
        <f>C5</f>
        <v>2700</v>
      </c>
      <c r="E5" s="178">
        <f>'Pryse + Sensatiwiteitsanali'!B5</f>
        <v>5850</v>
      </c>
      <c r="F5" s="178">
        <f>'Pryse + Sensatiwiteitsanali'!B6</f>
        <v>6250</v>
      </c>
      <c r="G5" s="178">
        <f>'Pryse + Sensatiwiteitsanali'!B7</f>
        <v>3800</v>
      </c>
      <c r="H5" s="178">
        <f>Grondbone!D10</f>
        <v>8875</v>
      </c>
      <c r="I5" s="178">
        <f>B5</f>
        <v>2700</v>
      </c>
      <c r="J5" s="175"/>
    </row>
    <row r="6" spans="1:10" s="158" customFormat="1" ht="15">
      <c r="A6" s="182" t="s">
        <v>105</v>
      </c>
      <c r="B6" s="178">
        <f>'Pryse + Sensatiwiteitsanali'!D4</f>
        <v>296</v>
      </c>
      <c r="C6" s="178">
        <f>B6</f>
        <v>296</v>
      </c>
      <c r="D6" s="178">
        <f>C6</f>
        <v>296</v>
      </c>
      <c r="E6" s="178">
        <f>'Pryse + Sensatiwiteitsanali'!D5</f>
        <v>354</v>
      </c>
      <c r="F6" s="178">
        <f>'Pryse + Sensatiwiteitsanali'!D6</f>
        <v>128</v>
      </c>
      <c r="G6" s="178">
        <f>'Pryse + Sensatiwiteitsanali'!D7</f>
        <v>128</v>
      </c>
      <c r="H6" s="178">
        <f>'Pryse + Sensatiwiteitsanali'!D8</f>
        <v>63</v>
      </c>
      <c r="I6" s="178">
        <f>D6</f>
        <v>296</v>
      </c>
      <c r="J6" s="175"/>
    </row>
    <row r="7" spans="1:10" s="158" customFormat="1" ht="15.75" thickBot="1">
      <c r="A7" s="182" t="s">
        <v>106</v>
      </c>
      <c r="B7" s="150">
        <f>B5-B6</f>
        <v>2404</v>
      </c>
      <c r="C7" s="150">
        <f aca="true" t="shared" si="0" ref="C7:I7">C5-C6</f>
        <v>2404</v>
      </c>
      <c r="D7" s="150">
        <f t="shared" si="0"/>
        <v>2404</v>
      </c>
      <c r="E7" s="150">
        <f t="shared" si="0"/>
        <v>5496</v>
      </c>
      <c r="F7" s="150">
        <f t="shared" si="0"/>
        <v>6122</v>
      </c>
      <c r="G7" s="150">
        <f t="shared" si="0"/>
        <v>3672</v>
      </c>
      <c r="H7" s="150">
        <f t="shared" si="0"/>
        <v>8812</v>
      </c>
      <c r="I7" s="150">
        <f t="shared" si="0"/>
        <v>2404</v>
      </c>
      <c r="J7" s="175"/>
    </row>
    <row r="8" spans="1:10" ht="15.75" thickTop="1">
      <c r="A8" s="170" t="s">
        <v>107</v>
      </c>
      <c r="B8" s="185">
        <f>B4*B7</f>
        <v>8414</v>
      </c>
      <c r="C8" s="185">
        <f>C4*C7</f>
        <v>15626</v>
      </c>
      <c r="D8" s="185">
        <f aca="true" t="shared" si="1" ref="D8:I8">D4*D7</f>
        <v>10818</v>
      </c>
      <c r="E8" s="185">
        <f t="shared" si="1"/>
        <v>8244</v>
      </c>
      <c r="F8" s="185">
        <f t="shared" si="1"/>
        <v>10713.5</v>
      </c>
      <c r="G8" s="185">
        <f t="shared" si="1"/>
        <v>11016</v>
      </c>
      <c r="H8" s="185">
        <f t="shared" si="1"/>
        <v>13218</v>
      </c>
      <c r="I8" s="185">
        <f t="shared" si="1"/>
        <v>28848</v>
      </c>
      <c r="J8" s="161"/>
    </row>
    <row r="9" spans="1:10" ht="15">
      <c r="A9" s="182"/>
      <c r="B9" s="186"/>
      <c r="C9" s="186"/>
      <c r="D9" s="186"/>
      <c r="E9" s="186"/>
      <c r="F9" s="186"/>
      <c r="G9" s="186"/>
      <c r="H9" s="186"/>
      <c r="I9" s="186"/>
      <c r="J9" s="161"/>
    </row>
    <row r="10" spans="1:10" ht="15">
      <c r="A10" s="183" t="s">
        <v>108</v>
      </c>
      <c r="B10" s="186"/>
      <c r="C10" s="186"/>
      <c r="D10" s="186"/>
      <c r="E10" s="186"/>
      <c r="F10" s="186"/>
      <c r="G10" s="186"/>
      <c r="H10" s="186"/>
      <c r="I10" s="186"/>
      <c r="J10" s="161"/>
    </row>
    <row r="11" spans="1:10" ht="15">
      <c r="A11" s="187" t="s">
        <v>7</v>
      </c>
      <c r="B11" s="187">
        <f>'W-RR mielies Laer opbrengs '!E9</f>
        <v>788.6</v>
      </c>
      <c r="C11" s="187">
        <f>'W-RR mielies Hoer opbrengs  '!G9</f>
        <v>1256.83125</v>
      </c>
      <c r="D11" s="187">
        <f>'W-BT Mielies '!F9</f>
        <v>1079.098125</v>
      </c>
      <c r="E11" s="187">
        <f>Sonneblom!F9</f>
        <v>542</v>
      </c>
      <c r="F11" s="187">
        <f>Sojabone!F9</f>
        <v>908.675</v>
      </c>
      <c r="G11" s="187">
        <f>Graansorghum!F9</f>
        <v>450</v>
      </c>
      <c r="H11" s="187">
        <f>Grondbone!D16</f>
        <v>1400</v>
      </c>
      <c r="I11" s="187">
        <f>'Bes-mielies'!F9</f>
        <v>3972.1875</v>
      </c>
      <c r="J11" s="161"/>
    </row>
    <row r="12" spans="1:11" ht="15">
      <c r="A12" s="187" t="s">
        <v>8</v>
      </c>
      <c r="B12" s="187">
        <f>'W-RR mielies Laer opbrengs '!E10</f>
        <v>1708.8750000000002</v>
      </c>
      <c r="C12" s="187">
        <f>'W-RR mielies Hoer opbrengs  '!G10</f>
        <v>3173.6250000000005</v>
      </c>
      <c r="D12" s="187">
        <f>'W-BT Mielies '!F10</f>
        <v>2197.125</v>
      </c>
      <c r="E12" s="187">
        <f>Sonneblom!F10</f>
        <v>1163.385</v>
      </c>
      <c r="F12" s="187">
        <f>Sojabone!F10</f>
        <v>990.7750000000001</v>
      </c>
      <c r="G12" s="187">
        <f>Graansorghum!F10</f>
        <v>2016.6000000000001</v>
      </c>
      <c r="H12" s="187">
        <f>Grondbone!D17</f>
        <v>976.9000000000001</v>
      </c>
      <c r="I12" s="187">
        <f>'Bes-mielies'!F10</f>
        <v>6642.280000000001</v>
      </c>
      <c r="J12" s="161"/>
      <c r="K12" s="187"/>
    </row>
    <row r="13" spans="1:10" ht="15">
      <c r="A13" s="187" t="s">
        <v>9</v>
      </c>
      <c r="B13" s="187">
        <f>'W-RR mielies Laer opbrengs '!E11</f>
        <v>154.19565</v>
      </c>
      <c r="C13" s="187">
        <f>'W-RR mielies Hoer opbrengs  '!G11</f>
        <v>154.19565</v>
      </c>
      <c r="D13" s="187">
        <f>'W-BT Mielies '!F11</f>
        <v>154.19565</v>
      </c>
      <c r="E13" s="187">
        <f>Sonneblom!F11</f>
        <v>154.19565</v>
      </c>
      <c r="F13" s="187">
        <f>Sojabone!F11</f>
        <v>154.19565</v>
      </c>
      <c r="G13" s="187">
        <f>Graansorghum!F11</f>
        <v>154.19565</v>
      </c>
      <c r="H13" s="187">
        <f>Grondbone!D18</f>
        <v>154.19565</v>
      </c>
      <c r="I13" s="187">
        <f>'Bes-mielies'!F11</f>
        <v>154.19565</v>
      </c>
      <c r="J13" s="161"/>
    </row>
    <row r="14" spans="1:10" ht="15">
      <c r="A14" s="187" t="s">
        <v>10</v>
      </c>
      <c r="B14" s="187">
        <f>'W-RR mielies Laer opbrengs '!E12</f>
        <v>957.244735</v>
      </c>
      <c r="C14" s="187">
        <f>'W-RR mielies Hoer opbrengs  '!G12</f>
        <v>943.3179849999999</v>
      </c>
      <c r="D14" s="187">
        <f>'W-BT Mielies '!F12</f>
        <v>986.8502349999999</v>
      </c>
      <c r="E14" s="187">
        <f>Sonneblom!F12</f>
        <v>971.8867200000001</v>
      </c>
      <c r="F14" s="187">
        <f>Sojabone!F12</f>
        <v>910.5280950000001</v>
      </c>
      <c r="G14" s="187">
        <f>Graansorghum!F12</f>
        <v>944.8524199999999</v>
      </c>
      <c r="H14" s="187">
        <f>Grondbone!D19</f>
        <v>1023.5963900000002</v>
      </c>
      <c r="I14" s="187">
        <f>'Bes-mielies'!F12</f>
        <v>1111.3292199999999</v>
      </c>
      <c r="J14" s="161"/>
    </row>
    <row r="15" spans="1:10" ht="15">
      <c r="A15" s="187" t="s">
        <v>11</v>
      </c>
      <c r="B15" s="187">
        <f>'W-RR mielies Laer opbrengs '!E13</f>
        <v>738.12471579</v>
      </c>
      <c r="C15" s="187">
        <f>'W-RR mielies Hoer opbrengs  '!G13</f>
        <v>760.63959279</v>
      </c>
      <c r="D15" s="187">
        <f>'W-BT Mielies '!F13</f>
        <v>745.6296747900001</v>
      </c>
      <c r="E15" s="187">
        <f>Sonneblom!F13</f>
        <v>641.8396089</v>
      </c>
      <c r="F15" s="187">
        <f>Sojabone!F13</f>
        <v>719.7635214000001</v>
      </c>
      <c r="G15" s="187">
        <f>Graansorghum!F13</f>
        <v>734.37223629</v>
      </c>
      <c r="H15" s="187">
        <f>Grondbone!D20</f>
        <v>856.5263771672065</v>
      </c>
      <c r="I15" s="187">
        <f>'Bes-mielies'!F13</f>
        <v>679.7584087900001</v>
      </c>
      <c r="J15" s="161"/>
    </row>
    <row r="16" spans="1:10" ht="15">
      <c r="A16" s="187" t="s">
        <v>12</v>
      </c>
      <c r="B16" s="187">
        <f>'W-RR mielies Laer opbrengs '!E14</f>
        <v>765.9480000000001</v>
      </c>
      <c r="C16" s="187">
        <f>'W-RR mielies Hoer opbrengs  '!G14</f>
        <v>786.9480000000001</v>
      </c>
      <c r="D16" s="187">
        <f>'W-BT Mielies '!F14</f>
        <v>720.0849600000001</v>
      </c>
      <c r="E16" s="187">
        <f>Sonneblom!F14</f>
        <v>507.02360000000004</v>
      </c>
      <c r="F16" s="187">
        <f>Sojabone!F14</f>
        <v>707.724</v>
      </c>
      <c r="G16" s="187">
        <f>Graansorghum!F14</f>
        <v>786.2269184000002</v>
      </c>
      <c r="H16" s="187">
        <f>Grondbone!D21</f>
        <v>841.7304153600004</v>
      </c>
      <c r="I16" s="187">
        <f>'Bes-mielies'!F14</f>
        <v>914.9928775680003</v>
      </c>
      <c r="J16" s="161"/>
    </row>
    <row r="17" spans="1:10" ht="15">
      <c r="A17" s="187" t="s">
        <v>13</v>
      </c>
      <c r="B17" s="187">
        <f>'W-RR mielies Laer opbrengs '!E15</f>
        <v>215.36900000000003</v>
      </c>
      <c r="C17" s="187">
        <f>'W-RR mielies Hoer opbrengs  '!G15</f>
        <v>215.36900000000003</v>
      </c>
      <c r="D17" s="187">
        <f>'W-BT Mielies '!F15</f>
        <v>109.65680000000005</v>
      </c>
      <c r="E17" s="187">
        <f>Sonneblom!F15</f>
        <v>240.669</v>
      </c>
      <c r="F17" s="187">
        <f>Sojabone!F15</f>
        <v>522.5113062400003</v>
      </c>
      <c r="G17" s="187">
        <f>Graansorghum!F15</f>
        <v>583.6002923520002</v>
      </c>
      <c r="H17" s="187">
        <f>Grondbone!D22</f>
        <v>750.6263072000002</v>
      </c>
      <c r="I17" s="187">
        <f>'Bes-mielies'!F15</f>
        <v>741.6235200000001</v>
      </c>
      <c r="J17" s="161"/>
    </row>
    <row r="18" spans="1:10" ht="15">
      <c r="A18" s="187" t="s">
        <v>14</v>
      </c>
      <c r="B18" s="187">
        <f>'W-RR mielies Laer opbrengs '!E16</f>
        <v>164.07300000000004</v>
      </c>
      <c r="C18" s="187">
        <f>'W-RR mielies Hoer opbrengs  '!G16</f>
        <v>304.70700000000005</v>
      </c>
      <c r="D18" s="187">
        <f>'W-BT Mielies '!F16</f>
        <v>210.951</v>
      </c>
      <c r="E18" s="187">
        <f>Sonneblom!F16</f>
        <v>160.75799999999998</v>
      </c>
      <c r="F18" s="187">
        <f>Sojabone!F16</f>
        <v>211.13137500000002</v>
      </c>
      <c r="G18" s="187">
        <f>Graansorghum!F16</f>
        <v>218.6145</v>
      </c>
      <c r="H18" s="187">
        <f>Grondbone!D23</f>
        <v>0</v>
      </c>
      <c r="I18" s="187">
        <f>'Bes-mielies'!F16</f>
        <v>0</v>
      </c>
      <c r="J18" s="161"/>
    </row>
    <row r="19" spans="1:10" ht="15">
      <c r="A19" s="187" t="s">
        <v>33</v>
      </c>
      <c r="B19" s="187"/>
      <c r="C19" s="187"/>
      <c r="D19" s="187"/>
      <c r="E19" s="187"/>
      <c r="F19" s="187"/>
      <c r="G19" s="187"/>
      <c r="H19" s="187"/>
      <c r="I19" s="187">
        <f>'Bes-mielies'!F17</f>
        <v>7042.925</v>
      </c>
      <c r="J19" s="161"/>
    </row>
    <row r="20" spans="1:10" ht="15">
      <c r="A20" s="187" t="s">
        <v>15</v>
      </c>
      <c r="B20" s="187">
        <f>'W-RR mielies Laer opbrengs '!E17</f>
        <v>476.49609823544097</v>
      </c>
      <c r="C20" s="187">
        <f>'W-RR mielies Hoer opbrengs  '!G17</f>
        <v>668.2329848410983</v>
      </c>
      <c r="D20" s="187">
        <f>'W-BT Mielies '!F17</f>
        <v>542.5052408311149</v>
      </c>
      <c r="E20" s="187">
        <f>Sonneblom!F17</f>
        <v>216.1907559543304</v>
      </c>
      <c r="F20" s="187">
        <f>Sojabone!F17</f>
        <v>246.47472311459518</v>
      </c>
      <c r="G20" s="187">
        <f>Graansorghum!F17</f>
        <v>0</v>
      </c>
      <c r="H20" s="187">
        <f>Grondbone!D24</f>
        <v>0</v>
      </c>
      <c r="I20" s="187">
        <f>'Bes-mielies'!F18</f>
        <v>1851.6795487818638</v>
      </c>
      <c r="J20" s="161"/>
    </row>
    <row r="21" spans="1:10" ht="15">
      <c r="A21" s="187" t="s">
        <v>16</v>
      </c>
      <c r="B21" s="187">
        <f>'W-RR mielies Laer opbrengs '!E18</f>
        <v>0</v>
      </c>
      <c r="C21" s="187">
        <f>'W-RR mielies Hoer opbrengs  '!G18</f>
        <v>0</v>
      </c>
      <c r="D21" s="187">
        <f>'W-BT Mielies '!F18</f>
        <v>0</v>
      </c>
      <c r="E21" s="187">
        <f>Sonneblom!F18</f>
        <v>0</v>
      </c>
      <c r="F21" s="187">
        <f>Sojabone!F18</f>
        <v>0</v>
      </c>
      <c r="G21" s="187">
        <f>Graansorghum!F18</f>
        <v>0</v>
      </c>
      <c r="H21" s="187">
        <f>Grondbone!D25</f>
        <v>0</v>
      </c>
      <c r="I21" s="187">
        <f>'Bes-mielies'!F19</f>
        <v>0</v>
      </c>
      <c r="J21" s="161"/>
    </row>
    <row r="22" spans="1:10" ht="15">
      <c r="A22" s="187" t="s">
        <v>17</v>
      </c>
      <c r="B22" s="187">
        <f>'W-RR mielies Laer opbrengs '!E19</f>
        <v>235.053</v>
      </c>
      <c r="C22" s="187">
        <f>'W-RR mielies Hoer opbrengs  '!G19</f>
        <v>436.527</v>
      </c>
      <c r="D22" s="187">
        <f>'W-BT Mielies '!F19</f>
        <v>317.32155</v>
      </c>
      <c r="E22" s="187">
        <f>Sonneblom!F19</f>
        <v>370.97999999999996</v>
      </c>
      <c r="F22" s="187">
        <f>Sojabone!F19</f>
        <v>974.4525</v>
      </c>
      <c r="G22" s="187">
        <f>Graansorghum!F19</f>
        <v>0</v>
      </c>
      <c r="H22" s="187">
        <f>Grondbone!D26</f>
        <v>0</v>
      </c>
      <c r="I22" s="187">
        <f>'Bes-mielies'!F20</f>
        <v>805.8960000000001</v>
      </c>
      <c r="J22" s="161"/>
    </row>
    <row r="23" spans="1:10" ht="15">
      <c r="A23" s="187" t="s">
        <v>18</v>
      </c>
      <c r="B23" s="187">
        <f>'W-RR mielies Laer opbrengs '!E20</f>
        <v>0</v>
      </c>
      <c r="C23" s="187">
        <f>'W-RR mielies Hoer opbrengs  '!G20</f>
        <v>0</v>
      </c>
      <c r="D23" s="187">
        <f>'W-BT Mielies '!F20</f>
        <v>0</v>
      </c>
      <c r="E23" s="187">
        <f>Sonneblom!F20</f>
        <v>0</v>
      </c>
      <c r="F23" s="187">
        <f>Sojabone!F20</f>
        <v>0</v>
      </c>
      <c r="G23" s="187">
        <f>Graansorghum!F20</f>
        <v>0</v>
      </c>
      <c r="H23" s="187">
        <f>Grondbone!D27</f>
        <v>0</v>
      </c>
      <c r="I23" s="187">
        <f>'Bes-mielies'!F21</f>
        <v>0</v>
      </c>
      <c r="J23" s="161"/>
    </row>
    <row r="24" spans="1:10" ht="15">
      <c r="A24" s="187" t="s">
        <v>19</v>
      </c>
      <c r="B24" s="187">
        <f>'W-RR mielies Laer opbrengs '!E21</f>
        <v>0</v>
      </c>
      <c r="C24" s="187">
        <f>'W-RR mielies Hoer opbrengs  '!G21</f>
        <v>0</v>
      </c>
      <c r="D24" s="187">
        <f>'W-BT Mielies '!F21</f>
        <v>0</v>
      </c>
      <c r="E24" s="187">
        <f>Sonneblom!F21</f>
        <v>0</v>
      </c>
      <c r="F24" s="187">
        <f>Sojabone!F21</f>
        <v>0</v>
      </c>
      <c r="G24" s="187">
        <f>Graansorghum!F21</f>
        <v>192</v>
      </c>
      <c r="H24" s="187">
        <f>Grondbone!D28</f>
        <v>900</v>
      </c>
      <c r="I24" s="187">
        <f>'Bes-mielies'!F22</f>
        <v>192</v>
      </c>
      <c r="J24" s="161"/>
    </row>
    <row r="25" spans="1:10" ht="15">
      <c r="A25" s="187" t="s">
        <v>20</v>
      </c>
      <c r="B25" s="187">
        <f>'W-RR mielies Laer opbrengs '!E22</f>
        <v>0</v>
      </c>
      <c r="C25" s="187">
        <f>'W-RR mielies Hoer opbrengs  '!G22</f>
        <v>0</v>
      </c>
      <c r="D25" s="187">
        <f>'W-BT Mielies '!F22</f>
        <v>0</v>
      </c>
      <c r="E25" s="187">
        <f>Sonneblom!F22</f>
        <v>0</v>
      </c>
      <c r="F25" s="187">
        <f>Sojabone!F22</f>
        <v>0</v>
      </c>
      <c r="G25" s="187">
        <f>Graansorghum!F22</f>
        <v>0</v>
      </c>
      <c r="H25" s="187">
        <f>Grondbone!D29</f>
        <v>0</v>
      </c>
      <c r="I25" s="187">
        <f>'Bes-mielies'!F23</f>
        <v>0</v>
      </c>
      <c r="J25" s="161"/>
    </row>
    <row r="26" spans="1:10" ht="15">
      <c r="A26" s="187" t="s">
        <v>21</v>
      </c>
      <c r="B26" s="187">
        <f>'W-RR mielies Laer opbrengs '!E23</f>
        <v>0</v>
      </c>
      <c r="C26" s="187">
        <f>'W-RR mielies Hoer opbrengs  '!G23</f>
        <v>0</v>
      </c>
      <c r="D26" s="187">
        <f>'W-BT Mielies '!F23</f>
        <v>0</v>
      </c>
      <c r="E26" s="187">
        <f>Sonneblom!F23</f>
        <v>0</v>
      </c>
      <c r="F26" s="187">
        <f>Sojabone!F23</f>
        <v>0</v>
      </c>
      <c r="G26" s="187">
        <f>Graansorghum!F23</f>
        <v>0</v>
      </c>
      <c r="H26" s="187">
        <f>Grondbone!D30</f>
        <v>300</v>
      </c>
      <c r="I26" s="187">
        <f>'Bes-mielies'!F24</f>
        <v>0</v>
      </c>
      <c r="J26" s="161"/>
    </row>
    <row r="27" spans="1:10" ht="15.75" thickBot="1">
      <c r="A27" s="187" t="s">
        <v>22</v>
      </c>
      <c r="B27" s="188">
        <f>'W-RR mielies Laer opbrengs '!E24</f>
        <v>325.7089079488357</v>
      </c>
      <c r="C27" s="188">
        <f>'W-RR mielies Hoer opbrengs  '!G24</f>
        <v>456.7706567881326</v>
      </c>
      <c r="D27" s="188">
        <f>'W-BT Mielies '!F24</f>
        <v>370.82945737010846</v>
      </c>
      <c r="E27" s="188">
        <f>Sonneblom!F24</f>
        <v>260.86873757985234</v>
      </c>
      <c r="F27" s="188">
        <f>Sojabone!F24</f>
        <v>333.1771364646163</v>
      </c>
      <c r="G27" s="188">
        <f>Graansorghum!F24</f>
        <v>319.224255894705</v>
      </c>
      <c r="H27" s="188">
        <f>Grondbone!D31</f>
        <v>362.4376948356783</v>
      </c>
      <c r="I27" s="188">
        <f>'Bes-mielies'!F25</f>
        <v>1265.715555569843</v>
      </c>
      <c r="J27" s="161"/>
    </row>
    <row r="28" spans="1:10" ht="15.75" thickTop="1">
      <c r="A28" s="170" t="s">
        <v>109</v>
      </c>
      <c r="B28" s="189">
        <f aca="true" t="shared" si="2" ref="B28:I28">SUM(B11:B27)</f>
        <v>6529.688106974278</v>
      </c>
      <c r="C28" s="189">
        <f t="shared" si="2"/>
        <v>9157.16411941923</v>
      </c>
      <c r="D28" s="189">
        <f t="shared" si="2"/>
        <v>7434.247692991223</v>
      </c>
      <c r="E28" s="189">
        <f t="shared" si="2"/>
        <v>5229.797072434183</v>
      </c>
      <c r="F28" s="189">
        <f t="shared" si="2"/>
        <v>6679.4083072192125</v>
      </c>
      <c r="G28" s="189">
        <f t="shared" si="2"/>
        <v>6399.686272936704</v>
      </c>
      <c r="H28" s="189">
        <f t="shared" si="2"/>
        <v>7566.012834562886</v>
      </c>
      <c r="I28" s="189">
        <f t="shared" si="2"/>
        <v>25374.583280709707</v>
      </c>
      <c r="J28" s="161"/>
    </row>
    <row r="29" spans="1:10" ht="15.75" thickBot="1">
      <c r="A29" s="170"/>
      <c r="B29" s="190"/>
      <c r="C29" s="190"/>
      <c r="D29" s="190"/>
      <c r="E29" s="190"/>
      <c r="F29" s="190"/>
      <c r="G29" s="190"/>
      <c r="H29" s="190"/>
      <c r="I29" s="190"/>
      <c r="J29" s="161"/>
    </row>
    <row r="30" spans="1:16" ht="15.75" thickTop="1">
      <c r="A30" s="170" t="s">
        <v>110</v>
      </c>
      <c r="B30" s="189">
        <f>'W-RR mielies Laer opbrengs '!D27</f>
        <v>2634.77</v>
      </c>
      <c r="C30" s="189">
        <f>'W-RR mielies Hoer opbrengs  '!D27</f>
        <v>2521.01</v>
      </c>
      <c r="D30" s="189">
        <f>'W-BT Mielies '!D27</f>
        <v>2665.03</v>
      </c>
      <c r="E30" s="189">
        <f>Sonneblom!D27</f>
        <v>2652.75</v>
      </c>
      <c r="F30" s="189">
        <f>Sojabone!D27</f>
        <v>2656.68</v>
      </c>
      <c r="G30" s="189">
        <f>Graansorghum!D27</f>
        <v>2574.2000000000003</v>
      </c>
      <c r="H30" s="189">
        <f>Grondbone!D34</f>
        <v>2784.3500000000004</v>
      </c>
      <c r="I30" s="189">
        <f>'Bes-mielies'!D28</f>
        <v>4787.500000000001</v>
      </c>
      <c r="J30" s="161"/>
      <c r="K30" s="180"/>
      <c r="L30" s="180"/>
      <c r="M30" s="180"/>
      <c r="N30" s="180"/>
      <c r="O30" s="180"/>
      <c r="P30" s="180"/>
    </row>
    <row r="31" spans="1:10" ht="15">
      <c r="A31" s="170"/>
      <c r="B31" s="189"/>
      <c r="C31" s="189"/>
      <c r="D31" s="189"/>
      <c r="E31" s="189"/>
      <c r="F31" s="189"/>
      <c r="G31" s="189"/>
      <c r="H31" s="189"/>
      <c r="I31" s="189"/>
      <c r="J31" s="161"/>
    </row>
    <row r="32" spans="1:10" ht="15.75" thickBot="1">
      <c r="A32" s="170" t="s">
        <v>111</v>
      </c>
      <c r="B32" s="193">
        <f>B28+B30</f>
        <v>9164.458106974278</v>
      </c>
      <c r="C32" s="193">
        <f aca="true" t="shared" si="3" ref="C32:I32">C28+C30</f>
        <v>11678.174119419231</v>
      </c>
      <c r="D32" s="193">
        <f t="shared" si="3"/>
        <v>10099.277692991223</v>
      </c>
      <c r="E32" s="193">
        <f t="shared" si="3"/>
        <v>7882.547072434183</v>
      </c>
      <c r="F32" s="193">
        <f t="shared" si="3"/>
        <v>9336.088307219212</v>
      </c>
      <c r="G32" s="193">
        <f t="shared" si="3"/>
        <v>8973.886272936705</v>
      </c>
      <c r="H32" s="193">
        <f t="shared" si="3"/>
        <v>10350.362834562886</v>
      </c>
      <c r="I32" s="193">
        <f t="shared" si="3"/>
        <v>30162.083280709707</v>
      </c>
      <c r="J32" s="161"/>
    </row>
    <row r="33" spans="1:10" ht="16.5" thickBot="1" thickTop="1">
      <c r="A33" s="181"/>
      <c r="B33" s="190"/>
      <c r="C33" s="190"/>
      <c r="D33" s="190"/>
      <c r="E33" s="190"/>
      <c r="F33" s="190"/>
      <c r="G33" s="190"/>
      <c r="H33" s="190"/>
      <c r="I33" s="190"/>
      <c r="J33" s="161"/>
    </row>
    <row r="34" spans="1:10" ht="15.75" thickTop="1">
      <c r="A34" s="153" t="s">
        <v>112</v>
      </c>
      <c r="B34" s="148">
        <f aca="true" t="shared" si="4" ref="B34:I34">B8-B28</f>
        <v>1884.3118930257224</v>
      </c>
      <c r="C34" s="148">
        <f t="shared" si="4"/>
        <v>6468.835880580769</v>
      </c>
      <c r="D34" s="148">
        <f t="shared" si="4"/>
        <v>3383.7523070087773</v>
      </c>
      <c r="E34" s="148">
        <f t="shared" si="4"/>
        <v>3014.202927565817</v>
      </c>
      <c r="F34" s="148">
        <f t="shared" si="4"/>
        <v>4034.0916927807875</v>
      </c>
      <c r="G34" s="148">
        <f t="shared" si="4"/>
        <v>4616.313727063296</v>
      </c>
      <c r="H34" s="148">
        <f t="shared" si="4"/>
        <v>5651.987165437114</v>
      </c>
      <c r="I34" s="148">
        <f t="shared" si="4"/>
        <v>3473.4167192902933</v>
      </c>
      <c r="J34" s="161"/>
    </row>
    <row r="35" spans="1:10" ht="15">
      <c r="A35" s="153" t="s">
        <v>113</v>
      </c>
      <c r="B35" s="148">
        <f aca="true" t="shared" si="5" ref="B35:I35">B8-B32</f>
        <v>-750.458106974278</v>
      </c>
      <c r="C35" s="148">
        <f t="shared" si="5"/>
        <v>3947.825880580769</v>
      </c>
      <c r="D35" s="148">
        <f t="shared" si="5"/>
        <v>718.7223070087766</v>
      </c>
      <c r="E35" s="148">
        <f t="shared" si="5"/>
        <v>361.45292756581694</v>
      </c>
      <c r="F35" s="148">
        <f t="shared" si="5"/>
        <v>1377.4116927807881</v>
      </c>
      <c r="G35" s="148">
        <f t="shared" si="5"/>
        <v>2042.1137270632953</v>
      </c>
      <c r="H35" s="148">
        <f t="shared" si="5"/>
        <v>2867.637165437114</v>
      </c>
      <c r="I35" s="148">
        <f t="shared" si="5"/>
        <v>-1314.0832807097067</v>
      </c>
      <c r="J35" s="161"/>
    </row>
    <row r="36" spans="1:10" ht="15">
      <c r="A36" s="153"/>
      <c r="B36" s="148"/>
      <c r="C36" s="148"/>
      <c r="D36" s="148"/>
      <c r="E36" s="148"/>
      <c r="F36" s="148"/>
      <c r="G36" s="148"/>
      <c r="H36" s="148"/>
      <c r="I36" s="148"/>
      <c r="J36" s="161"/>
    </row>
    <row r="37" spans="1:10" ht="45.75" customHeight="1">
      <c r="A37" s="273" t="s">
        <v>124</v>
      </c>
      <c r="B37" s="274"/>
      <c r="C37" s="274"/>
      <c r="D37" s="274"/>
      <c r="E37" s="275"/>
      <c r="F37" s="275"/>
      <c r="G37" s="275"/>
      <c r="H37" s="275"/>
      <c r="I37" s="275"/>
      <c r="J37" s="161"/>
    </row>
    <row r="38" spans="1:10" ht="9.75" customHeight="1">
      <c r="A38" s="171"/>
      <c r="B38" s="171"/>
      <c r="C38" s="171"/>
      <c r="D38" s="171"/>
      <c r="E38" s="169"/>
      <c r="F38" s="169"/>
      <c r="G38" s="169"/>
      <c r="H38" s="169"/>
      <c r="I38" s="169"/>
      <c r="J38" s="161"/>
    </row>
    <row r="39" spans="1:10" ht="12.75">
      <c r="A39" s="172"/>
      <c r="B39" s="172"/>
      <c r="C39" s="172"/>
      <c r="D39" s="172"/>
      <c r="E39" s="172"/>
      <c r="F39" s="172"/>
      <c r="G39" s="172"/>
      <c r="H39" s="172"/>
      <c r="I39" s="172"/>
      <c r="J39" s="161"/>
    </row>
    <row r="40" spans="1:10" ht="12.75">
      <c r="A40" s="172"/>
      <c r="B40" s="172"/>
      <c r="C40" s="172"/>
      <c r="D40" s="172"/>
      <c r="E40" s="172"/>
      <c r="F40" s="172"/>
      <c r="G40" s="172"/>
      <c r="H40" s="172"/>
      <c r="I40" s="172"/>
      <c r="J40" s="161"/>
    </row>
    <row r="41" spans="1:10" ht="12.75">
      <c r="A41" s="172"/>
      <c r="B41" s="172"/>
      <c r="C41" s="172"/>
      <c r="D41" s="172"/>
      <c r="E41" s="172"/>
      <c r="F41" s="172"/>
      <c r="G41" s="172"/>
      <c r="H41" s="172"/>
      <c r="I41" s="172"/>
      <c r="J41" s="161"/>
    </row>
    <row r="42" spans="1:10" ht="12.75">
      <c r="A42" s="172"/>
      <c r="B42" s="172"/>
      <c r="C42" s="172"/>
      <c r="D42" s="172"/>
      <c r="E42" s="172"/>
      <c r="F42" s="172"/>
      <c r="G42" s="172"/>
      <c r="H42" s="172"/>
      <c r="I42" s="172"/>
      <c r="J42" s="161"/>
    </row>
    <row r="43" spans="1:10" ht="12.75">
      <c r="A43" s="172"/>
      <c r="B43" s="172"/>
      <c r="C43" s="172"/>
      <c r="D43" s="172"/>
      <c r="E43" s="172"/>
      <c r="F43" s="172"/>
      <c r="G43" s="172"/>
      <c r="H43" s="172"/>
      <c r="I43" s="172"/>
      <c r="J43" s="161"/>
    </row>
    <row r="44" spans="1:10" ht="12.75">
      <c r="A44" s="172"/>
      <c r="B44" s="172"/>
      <c r="C44" s="172"/>
      <c r="D44" s="172"/>
      <c r="E44" s="172"/>
      <c r="F44" s="172"/>
      <c r="G44" s="172"/>
      <c r="H44" s="172"/>
      <c r="I44" s="172"/>
      <c r="J44" s="161"/>
    </row>
    <row r="45" spans="1:10" ht="12.75">
      <c r="A45" s="172"/>
      <c r="B45" s="172"/>
      <c r="C45" s="172"/>
      <c r="D45" s="172"/>
      <c r="E45" s="172"/>
      <c r="F45" s="172"/>
      <c r="G45" s="172"/>
      <c r="H45" s="172"/>
      <c r="I45" s="172"/>
      <c r="J45" s="161"/>
    </row>
    <row r="46" spans="1:10" ht="12.75">
      <c r="A46" s="172"/>
      <c r="B46" s="172"/>
      <c r="C46" s="172"/>
      <c r="D46" s="172"/>
      <c r="E46" s="172"/>
      <c r="F46" s="172"/>
      <c r="G46" s="172"/>
      <c r="H46" s="172"/>
      <c r="I46" s="172"/>
      <c r="J46" s="161"/>
    </row>
    <row r="47" spans="1:10" ht="12.75">
      <c r="A47" s="172"/>
      <c r="B47" s="172"/>
      <c r="C47" s="172"/>
      <c r="D47" s="172"/>
      <c r="E47" s="172"/>
      <c r="F47" s="172"/>
      <c r="G47" s="172"/>
      <c r="H47" s="172"/>
      <c r="I47" s="172"/>
      <c r="J47" s="161"/>
    </row>
    <row r="48" spans="1:10" ht="12.75">
      <c r="A48" s="172"/>
      <c r="B48" s="172"/>
      <c r="C48" s="172"/>
      <c r="D48" s="172"/>
      <c r="E48" s="172"/>
      <c r="F48" s="172"/>
      <c r="G48" s="172"/>
      <c r="H48" s="172"/>
      <c r="I48" s="172"/>
      <c r="J48" s="161"/>
    </row>
    <row r="49" spans="1:10" ht="12.75">
      <c r="A49" s="172"/>
      <c r="B49" s="172"/>
      <c r="C49" s="172"/>
      <c r="D49" s="172"/>
      <c r="E49" s="172"/>
      <c r="F49" s="172"/>
      <c r="G49" s="172"/>
      <c r="H49" s="172"/>
      <c r="I49" s="172"/>
      <c r="J49" s="161"/>
    </row>
    <row r="50" spans="1:10" ht="12.75">
      <c r="A50" s="172"/>
      <c r="B50" s="172"/>
      <c r="C50" s="172"/>
      <c r="D50" s="172"/>
      <c r="E50" s="172"/>
      <c r="F50" s="172"/>
      <c r="G50" s="172"/>
      <c r="H50" s="172"/>
      <c r="I50" s="172"/>
      <c r="J50" s="161"/>
    </row>
    <row r="51" spans="1:10" ht="12.75">
      <c r="A51" s="172"/>
      <c r="B51" s="172"/>
      <c r="C51" s="172"/>
      <c r="D51" s="172"/>
      <c r="E51" s="172"/>
      <c r="F51" s="172"/>
      <c r="G51" s="172"/>
      <c r="H51" s="172"/>
      <c r="I51" s="172"/>
      <c r="J51" s="161"/>
    </row>
    <row r="52" spans="1:10" ht="12.75">
      <c r="A52" s="172"/>
      <c r="B52" s="172"/>
      <c r="C52" s="172"/>
      <c r="D52" s="172"/>
      <c r="E52" s="172"/>
      <c r="F52" s="172"/>
      <c r="G52" s="172"/>
      <c r="H52" s="172"/>
      <c r="I52" s="172"/>
      <c r="J52" s="161"/>
    </row>
    <row r="53" spans="1:10" ht="12.75">
      <c r="A53" s="172"/>
      <c r="B53" s="172"/>
      <c r="C53" s="172"/>
      <c r="D53" s="172"/>
      <c r="E53" s="172"/>
      <c r="F53" s="172"/>
      <c r="G53" s="172"/>
      <c r="H53" s="172"/>
      <c r="I53" s="172"/>
      <c r="J53" s="161"/>
    </row>
    <row r="54" spans="1:10" ht="12.75">
      <c r="A54" s="172"/>
      <c r="B54" s="172"/>
      <c r="C54" s="172"/>
      <c r="D54" s="172"/>
      <c r="E54" s="172"/>
      <c r="F54" s="172"/>
      <c r="G54" s="172"/>
      <c r="H54" s="172"/>
      <c r="I54" s="172"/>
      <c r="J54" s="161"/>
    </row>
    <row r="55" spans="1:10" ht="12.75">
      <c r="A55" s="172"/>
      <c r="B55" s="172"/>
      <c r="C55" s="172"/>
      <c r="D55" s="172"/>
      <c r="E55" s="172"/>
      <c r="F55" s="172"/>
      <c r="G55" s="172"/>
      <c r="H55" s="172"/>
      <c r="I55" s="172"/>
      <c r="J55" s="161"/>
    </row>
    <row r="56" spans="1:10" ht="12.75">
      <c r="A56" s="172"/>
      <c r="B56" s="172"/>
      <c r="C56" s="172"/>
      <c r="D56" s="172"/>
      <c r="E56" s="172"/>
      <c r="F56" s="172"/>
      <c r="G56" s="172"/>
      <c r="H56" s="172"/>
      <c r="I56" s="172"/>
      <c r="J56" s="161"/>
    </row>
    <row r="57" spans="1:10" ht="12.75">
      <c r="A57" s="172"/>
      <c r="B57" s="172"/>
      <c r="C57" s="172"/>
      <c r="D57" s="172"/>
      <c r="E57" s="172"/>
      <c r="F57" s="172"/>
      <c r="G57" s="172"/>
      <c r="H57" s="172"/>
      <c r="I57" s="172"/>
      <c r="J57" s="161"/>
    </row>
    <row r="58" spans="1:10" ht="15">
      <c r="A58" s="164" t="s">
        <v>114</v>
      </c>
      <c r="B58" s="173"/>
      <c r="C58" s="173"/>
      <c r="D58" s="173"/>
      <c r="E58" s="173"/>
      <c r="F58" s="173"/>
      <c r="G58" s="173"/>
      <c r="H58" s="173"/>
      <c r="I58" s="173"/>
      <c r="J58" s="161"/>
    </row>
    <row r="59" spans="1:10" ht="27" customHeight="1" thickBot="1">
      <c r="A59" s="154"/>
      <c r="B59" s="177" t="str">
        <f aca="true" t="shared" si="6" ref="B59:I59">B2</f>
        <v>Maize (lower yield)</v>
      </c>
      <c r="C59" s="177" t="str">
        <f t="shared" si="6"/>
        <v>Maize (higher yield)</v>
      </c>
      <c r="D59" s="177" t="str">
        <f t="shared" si="6"/>
        <v>Maize (Bt)</v>
      </c>
      <c r="E59" s="177" t="str">
        <f t="shared" si="6"/>
        <v>Sunflower</v>
      </c>
      <c r="F59" s="177" t="str">
        <f t="shared" si="6"/>
        <v>Soy bean</v>
      </c>
      <c r="G59" s="177" t="str">
        <f t="shared" si="6"/>
        <v>Grain Sorghum</v>
      </c>
      <c r="H59" s="177" t="str">
        <f t="shared" si="6"/>
        <v>Groundnuts</v>
      </c>
      <c r="I59" s="177" t="str">
        <f t="shared" si="6"/>
        <v>Irr-Maize</v>
      </c>
      <c r="J59" s="161"/>
    </row>
    <row r="60" spans="1:10" ht="15">
      <c r="A60" s="192" t="s">
        <v>104</v>
      </c>
      <c r="B60" s="165">
        <f aca="true" t="shared" si="7" ref="B60:I60">B5</f>
        <v>2700</v>
      </c>
      <c r="C60" s="165">
        <f t="shared" si="7"/>
        <v>2700</v>
      </c>
      <c r="D60" s="165">
        <f t="shared" si="7"/>
        <v>2700</v>
      </c>
      <c r="E60" s="165">
        <f t="shared" si="7"/>
        <v>5850</v>
      </c>
      <c r="F60" s="165">
        <f t="shared" si="7"/>
        <v>6250</v>
      </c>
      <c r="G60" s="165">
        <f t="shared" si="7"/>
        <v>3800</v>
      </c>
      <c r="H60" s="165">
        <f t="shared" si="7"/>
        <v>8875</v>
      </c>
      <c r="I60" s="165">
        <f t="shared" si="7"/>
        <v>2700</v>
      </c>
      <c r="J60" s="161"/>
    </row>
    <row r="61" spans="1:10" ht="12.75">
      <c r="A61" s="166" t="s">
        <v>115</v>
      </c>
      <c r="B61" s="176">
        <f aca="true" t="shared" si="8" ref="B61:I61">B4</f>
        <v>3.5</v>
      </c>
      <c r="C61" s="176">
        <f t="shared" si="8"/>
        <v>6.5</v>
      </c>
      <c r="D61" s="176">
        <f t="shared" si="8"/>
        <v>4.5</v>
      </c>
      <c r="E61" s="176">
        <f t="shared" si="8"/>
        <v>1.5</v>
      </c>
      <c r="F61" s="176">
        <f t="shared" si="8"/>
        <v>1.75</v>
      </c>
      <c r="G61" s="176">
        <f t="shared" si="8"/>
        <v>3</v>
      </c>
      <c r="H61" s="176">
        <f t="shared" si="8"/>
        <v>1.5</v>
      </c>
      <c r="I61" s="176">
        <f t="shared" si="8"/>
        <v>12</v>
      </c>
      <c r="J61" s="161"/>
    </row>
    <row r="62" spans="1:10" ht="12.75">
      <c r="A62" s="166"/>
      <c r="B62" s="176"/>
      <c r="C62" s="176"/>
      <c r="D62" s="176"/>
      <c r="E62" s="176"/>
      <c r="F62" s="176"/>
      <c r="G62" s="176"/>
      <c r="H62" s="176"/>
      <c r="I62" s="176"/>
      <c r="J62" s="161"/>
    </row>
    <row r="63" spans="1:10" ht="15">
      <c r="A63" s="191" t="s">
        <v>102</v>
      </c>
      <c r="B63" s="179"/>
      <c r="C63" s="179"/>
      <c r="D63" s="179"/>
      <c r="E63" s="179"/>
      <c r="F63" s="179"/>
      <c r="G63" s="179"/>
      <c r="H63" s="179"/>
      <c r="I63" s="179"/>
      <c r="J63" s="161"/>
    </row>
    <row r="64" spans="1:10" ht="12.75">
      <c r="A64" s="166" t="s">
        <v>116</v>
      </c>
      <c r="B64" s="165">
        <f aca="true" t="shared" si="9" ref="B64:I64">B7</f>
        <v>2404</v>
      </c>
      <c r="C64" s="165">
        <f t="shared" si="9"/>
        <v>2404</v>
      </c>
      <c r="D64" s="165">
        <f t="shared" si="9"/>
        <v>2404</v>
      </c>
      <c r="E64" s="165">
        <f t="shared" si="9"/>
        <v>5496</v>
      </c>
      <c r="F64" s="165">
        <f t="shared" si="9"/>
        <v>6122</v>
      </c>
      <c r="G64" s="165">
        <f t="shared" si="9"/>
        <v>3672</v>
      </c>
      <c r="H64" s="165">
        <f t="shared" si="9"/>
        <v>8812</v>
      </c>
      <c r="I64" s="165">
        <f t="shared" si="9"/>
        <v>2404</v>
      </c>
      <c r="J64" s="161"/>
    </row>
    <row r="65" spans="1:10" ht="12.75">
      <c r="A65" s="166" t="s">
        <v>117</v>
      </c>
      <c r="B65" s="165">
        <f aca="true" t="shared" si="10" ref="B65:I65">B64/B61</f>
        <v>686.8571428571429</v>
      </c>
      <c r="C65" s="165">
        <f t="shared" si="10"/>
        <v>369.84615384615387</v>
      </c>
      <c r="D65" s="165">
        <f t="shared" si="10"/>
        <v>534.2222222222222</v>
      </c>
      <c r="E65" s="165">
        <f t="shared" si="10"/>
        <v>3664</v>
      </c>
      <c r="F65" s="165">
        <f t="shared" si="10"/>
        <v>3498.285714285714</v>
      </c>
      <c r="G65" s="165">
        <f t="shared" si="10"/>
        <v>1224</v>
      </c>
      <c r="H65" s="165">
        <f t="shared" si="10"/>
        <v>5874.666666666667</v>
      </c>
      <c r="I65" s="165">
        <f t="shared" si="10"/>
        <v>200.33333333333334</v>
      </c>
      <c r="J65" s="161"/>
    </row>
    <row r="66" spans="1:10" ht="12.75">
      <c r="A66" s="166"/>
      <c r="B66" s="165"/>
      <c r="C66" s="165"/>
      <c r="D66" s="165"/>
      <c r="E66" s="165"/>
      <c r="F66" s="165"/>
      <c r="G66" s="165"/>
      <c r="H66" s="165"/>
      <c r="I66" s="165"/>
      <c r="J66" s="161"/>
    </row>
    <row r="67" spans="1:10" ht="15">
      <c r="A67" s="197" t="s">
        <v>125</v>
      </c>
      <c r="B67" s="179"/>
      <c r="C67" s="179"/>
      <c r="D67" s="179"/>
      <c r="E67" s="179"/>
      <c r="F67" s="179"/>
      <c r="G67" s="179"/>
      <c r="H67" s="179"/>
      <c r="I67" s="179"/>
      <c r="J67" s="161"/>
    </row>
    <row r="68" spans="1:10" ht="12.75">
      <c r="A68" s="195" t="s">
        <v>126</v>
      </c>
      <c r="B68" s="165">
        <f>B28</f>
        <v>6529.688106974278</v>
      </c>
      <c r="C68" s="165">
        <f aca="true" t="shared" si="11" ref="C68:I68">C28</f>
        <v>9157.16411941923</v>
      </c>
      <c r="D68" s="165">
        <f t="shared" si="11"/>
        <v>7434.247692991223</v>
      </c>
      <c r="E68" s="165">
        <f t="shared" si="11"/>
        <v>5229.797072434183</v>
      </c>
      <c r="F68" s="165">
        <f t="shared" si="11"/>
        <v>6679.4083072192125</v>
      </c>
      <c r="G68" s="165">
        <f t="shared" si="11"/>
        <v>6399.686272936704</v>
      </c>
      <c r="H68" s="165">
        <f t="shared" si="11"/>
        <v>7566.012834562886</v>
      </c>
      <c r="I68" s="165">
        <f t="shared" si="11"/>
        <v>25374.583280709707</v>
      </c>
      <c r="J68" s="161"/>
    </row>
    <row r="69" spans="1:10" ht="12.75">
      <c r="A69" s="195" t="s">
        <v>127</v>
      </c>
      <c r="B69" s="165">
        <f>B68/B61</f>
        <v>1865.6251734212221</v>
      </c>
      <c r="C69" s="165">
        <f aca="true" t="shared" si="12" ref="C69:I69">C68/C61</f>
        <v>1408.7944799106508</v>
      </c>
      <c r="D69" s="165">
        <f t="shared" si="12"/>
        <v>1652.0550428869383</v>
      </c>
      <c r="E69" s="165">
        <f t="shared" si="12"/>
        <v>3486.5313816227886</v>
      </c>
      <c r="F69" s="165">
        <f t="shared" si="12"/>
        <v>3816.8047469824073</v>
      </c>
      <c r="G69" s="165">
        <f t="shared" si="12"/>
        <v>2133.228757645568</v>
      </c>
      <c r="H69" s="165">
        <f t="shared" si="12"/>
        <v>5044.008556375257</v>
      </c>
      <c r="I69" s="165">
        <f t="shared" si="12"/>
        <v>2114.548606725809</v>
      </c>
      <c r="J69" s="161"/>
    </row>
    <row r="70" spans="1:10" ht="12.75">
      <c r="A70" s="166"/>
      <c r="B70" s="165"/>
      <c r="C70" s="165"/>
      <c r="D70" s="165"/>
      <c r="E70" s="165"/>
      <c r="F70" s="165"/>
      <c r="G70" s="165"/>
      <c r="H70" s="165"/>
      <c r="I70" s="165"/>
      <c r="J70" s="161"/>
    </row>
    <row r="71" spans="1:10" ht="12.75">
      <c r="A71" s="166" t="s">
        <v>118</v>
      </c>
      <c r="B71" s="165">
        <f>B32</f>
        <v>9164.458106974278</v>
      </c>
      <c r="C71" s="165">
        <f aca="true" t="shared" si="13" ref="C71:I71">C32</f>
        <v>11678.174119419231</v>
      </c>
      <c r="D71" s="165">
        <f t="shared" si="13"/>
        <v>10099.277692991223</v>
      </c>
      <c r="E71" s="165">
        <f t="shared" si="13"/>
        <v>7882.547072434183</v>
      </c>
      <c r="F71" s="165">
        <f t="shared" si="13"/>
        <v>9336.088307219212</v>
      </c>
      <c r="G71" s="165">
        <f t="shared" si="13"/>
        <v>8973.886272936705</v>
      </c>
      <c r="H71" s="165">
        <f t="shared" si="13"/>
        <v>10350.362834562886</v>
      </c>
      <c r="I71" s="165">
        <f t="shared" si="13"/>
        <v>30162.083280709707</v>
      </c>
      <c r="J71" s="161"/>
    </row>
    <row r="72" spans="1:10" ht="12.75">
      <c r="A72" s="166" t="s">
        <v>119</v>
      </c>
      <c r="B72" s="165">
        <f>B71/B61</f>
        <v>2618.416601992651</v>
      </c>
      <c r="C72" s="165">
        <f aca="true" t="shared" si="14" ref="C72:I72">C71/C61</f>
        <v>1796.6421722183431</v>
      </c>
      <c r="D72" s="165">
        <f t="shared" si="14"/>
        <v>2244.2839317758276</v>
      </c>
      <c r="E72" s="165">
        <f t="shared" si="14"/>
        <v>5255.031381622789</v>
      </c>
      <c r="F72" s="165">
        <f t="shared" si="14"/>
        <v>5334.907604125264</v>
      </c>
      <c r="G72" s="165">
        <f t="shared" si="14"/>
        <v>2991.295424312235</v>
      </c>
      <c r="H72" s="165">
        <f t="shared" si="14"/>
        <v>6900.241889708591</v>
      </c>
      <c r="I72" s="165">
        <f t="shared" si="14"/>
        <v>2513.5069400591424</v>
      </c>
      <c r="J72" s="161"/>
    </row>
    <row r="73" spans="1:10" ht="12.75">
      <c r="A73" s="166"/>
      <c r="B73" s="165"/>
      <c r="C73" s="165"/>
      <c r="D73" s="165"/>
      <c r="E73" s="165"/>
      <c r="F73" s="165"/>
      <c r="G73" s="165"/>
      <c r="H73" s="165"/>
      <c r="I73" s="165"/>
      <c r="J73" s="161"/>
    </row>
    <row r="74" spans="1:10" ht="12.75">
      <c r="A74" s="194" t="s">
        <v>128</v>
      </c>
      <c r="B74" s="152"/>
      <c r="C74" s="152"/>
      <c r="D74" s="152"/>
      <c r="E74" s="152"/>
      <c r="F74" s="152"/>
      <c r="G74" s="152"/>
      <c r="H74" s="152"/>
      <c r="I74" s="152"/>
      <c r="J74" s="161"/>
    </row>
    <row r="75" spans="1:10" ht="12.75">
      <c r="A75" s="195" t="s">
        <v>129</v>
      </c>
      <c r="B75" s="165">
        <f>B34</f>
        <v>1884.3118930257224</v>
      </c>
      <c r="C75" s="165">
        <f aca="true" t="shared" si="15" ref="C75:I75">C34</f>
        <v>6468.835880580769</v>
      </c>
      <c r="D75" s="165">
        <f t="shared" si="15"/>
        <v>3383.7523070087773</v>
      </c>
      <c r="E75" s="165">
        <f t="shared" si="15"/>
        <v>3014.202927565817</v>
      </c>
      <c r="F75" s="165">
        <f t="shared" si="15"/>
        <v>4034.0916927807875</v>
      </c>
      <c r="G75" s="165">
        <f t="shared" si="15"/>
        <v>4616.313727063296</v>
      </c>
      <c r="H75" s="165">
        <f t="shared" si="15"/>
        <v>5651.987165437114</v>
      </c>
      <c r="I75" s="165">
        <f t="shared" si="15"/>
        <v>3473.4167192902933</v>
      </c>
      <c r="J75" s="161"/>
    </row>
    <row r="76" spans="1:10" ht="12.75">
      <c r="A76" s="195" t="s">
        <v>130</v>
      </c>
      <c r="B76" s="165">
        <f>B75/B61</f>
        <v>538.3748265787779</v>
      </c>
      <c r="C76" s="165">
        <f aca="true" t="shared" si="16" ref="C76:I76">C75/C61</f>
        <v>995.2055200893491</v>
      </c>
      <c r="D76" s="165">
        <f t="shared" si="16"/>
        <v>751.9449571130616</v>
      </c>
      <c r="E76" s="165">
        <f t="shared" si="16"/>
        <v>2009.4686183772112</v>
      </c>
      <c r="F76" s="165">
        <f t="shared" si="16"/>
        <v>2305.1952530175927</v>
      </c>
      <c r="G76" s="165">
        <f t="shared" si="16"/>
        <v>1538.771242354432</v>
      </c>
      <c r="H76" s="165">
        <f t="shared" si="16"/>
        <v>3767.9914436247423</v>
      </c>
      <c r="I76" s="165">
        <f t="shared" si="16"/>
        <v>289.4513932741911</v>
      </c>
      <c r="J76" s="161"/>
    </row>
    <row r="77" spans="1:10" ht="12.75">
      <c r="A77" s="166"/>
      <c r="B77" s="165"/>
      <c r="C77" s="165"/>
      <c r="D77" s="165"/>
      <c r="E77" s="165"/>
      <c r="F77" s="165"/>
      <c r="G77" s="165"/>
      <c r="H77" s="165"/>
      <c r="I77" s="165"/>
      <c r="J77" s="161"/>
    </row>
    <row r="78" spans="1:10" ht="12.75">
      <c r="A78" s="166" t="s">
        <v>120</v>
      </c>
      <c r="B78" s="165">
        <f>B35</f>
        <v>-750.458106974278</v>
      </c>
      <c r="C78" s="165">
        <f aca="true" t="shared" si="17" ref="C78:I78">C35</f>
        <v>3947.825880580769</v>
      </c>
      <c r="D78" s="165">
        <f t="shared" si="17"/>
        <v>718.7223070087766</v>
      </c>
      <c r="E78" s="165">
        <f t="shared" si="17"/>
        <v>361.45292756581694</v>
      </c>
      <c r="F78" s="165">
        <f t="shared" si="17"/>
        <v>1377.4116927807881</v>
      </c>
      <c r="G78" s="165">
        <f t="shared" si="17"/>
        <v>2042.1137270632953</v>
      </c>
      <c r="H78" s="165">
        <f t="shared" si="17"/>
        <v>2867.637165437114</v>
      </c>
      <c r="I78" s="165">
        <f t="shared" si="17"/>
        <v>-1314.0832807097067</v>
      </c>
      <c r="J78" s="161"/>
    </row>
    <row r="79" spans="1:10" ht="12.75">
      <c r="A79" s="166" t="s">
        <v>121</v>
      </c>
      <c r="B79" s="165">
        <f aca="true" t="shared" si="18" ref="B79:I79">B78/B4</f>
        <v>-214.41660199265087</v>
      </c>
      <c r="C79" s="165">
        <f t="shared" si="18"/>
        <v>607.3578277816567</v>
      </c>
      <c r="D79" s="165">
        <f t="shared" si="18"/>
        <v>159.71606822417257</v>
      </c>
      <c r="E79" s="165">
        <f t="shared" si="18"/>
        <v>240.9686183772113</v>
      </c>
      <c r="F79" s="165">
        <f t="shared" si="18"/>
        <v>787.0923958747361</v>
      </c>
      <c r="G79" s="165">
        <f t="shared" si="18"/>
        <v>680.7045756877651</v>
      </c>
      <c r="H79" s="165">
        <f t="shared" si="18"/>
        <v>1911.7581102914094</v>
      </c>
      <c r="I79" s="165">
        <f t="shared" si="18"/>
        <v>-109.50694005914222</v>
      </c>
      <c r="J79" s="161"/>
    </row>
    <row r="80" spans="1:10" ht="12.75">
      <c r="A80" s="166"/>
      <c r="B80" s="165"/>
      <c r="C80" s="165"/>
      <c r="D80" s="165"/>
      <c r="E80" s="165"/>
      <c r="F80" s="165"/>
      <c r="G80" s="165"/>
      <c r="H80" s="165"/>
      <c r="I80" s="165"/>
      <c r="J80" s="161"/>
    </row>
    <row r="81" spans="1:10" ht="15">
      <c r="A81" s="196" t="s">
        <v>131</v>
      </c>
      <c r="B81" s="152"/>
      <c r="C81" s="152"/>
      <c r="D81" s="152"/>
      <c r="E81" s="152"/>
      <c r="F81" s="152"/>
      <c r="G81" s="152"/>
      <c r="H81" s="152"/>
      <c r="I81" s="152"/>
      <c r="J81" s="161"/>
    </row>
    <row r="82" spans="1:10" ht="13.5" thickBot="1">
      <c r="A82" s="195" t="s">
        <v>122</v>
      </c>
      <c r="B82" s="151">
        <f>B68/B64</f>
        <v>2.716176417210598</v>
      </c>
      <c r="C82" s="151">
        <f aca="true" t="shared" si="19" ref="C82:I82">C68/C64</f>
        <v>3.8091364889431074</v>
      </c>
      <c r="D82" s="151">
        <f t="shared" si="19"/>
        <v>3.092449123540442</v>
      </c>
      <c r="E82" s="151">
        <f t="shared" si="19"/>
        <v>0.9515642417092764</v>
      </c>
      <c r="F82" s="151">
        <f t="shared" si="19"/>
        <v>1.091050033848287</v>
      </c>
      <c r="G82" s="151">
        <f t="shared" si="19"/>
        <v>1.7428339523248104</v>
      </c>
      <c r="H82" s="151">
        <f t="shared" si="19"/>
        <v>0.8586033629780851</v>
      </c>
      <c r="I82" s="151">
        <f t="shared" si="19"/>
        <v>10.555151115103872</v>
      </c>
      <c r="J82" s="161"/>
    </row>
    <row r="83" spans="1:10" ht="14.25" thickBot="1" thickTop="1">
      <c r="A83" s="195" t="s">
        <v>123</v>
      </c>
      <c r="B83" s="168">
        <f>B69+B6</f>
        <v>2161.625173421222</v>
      </c>
      <c r="C83" s="168">
        <f aca="true" t="shared" si="20" ref="C83:I83">C69+C6</f>
        <v>1704.7944799106508</v>
      </c>
      <c r="D83" s="168">
        <f t="shared" si="20"/>
        <v>1948.0550428869383</v>
      </c>
      <c r="E83" s="168">
        <f t="shared" si="20"/>
        <v>3840.5313816227886</v>
      </c>
      <c r="F83" s="168">
        <f t="shared" si="20"/>
        <v>3944.8047469824073</v>
      </c>
      <c r="G83" s="168">
        <f t="shared" si="20"/>
        <v>2261.228757645568</v>
      </c>
      <c r="H83" s="168">
        <f t="shared" si="20"/>
        <v>5107.008556375257</v>
      </c>
      <c r="I83" s="168">
        <f t="shared" si="20"/>
        <v>2410.548606725809</v>
      </c>
      <c r="J83" s="161"/>
    </row>
    <row r="84" spans="1:10" ht="15.75" thickTop="1">
      <c r="A84" s="196" t="s">
        <v>132</v>
      </c>
      <c r="B84" s="152"/>
      <c r="C84" s="152"/>
      <c r="D84" s="152"/>
      <c r="E84" s="152"/>
      <c r="F84" s="152"/>
      <c r="G84" s="152"/>
      <c r="H84" s="152"/>
      <c r="I84" s="152"/>
      <c r="J84" s="161"/>
    </row>
    <row r="85" spans="1:10" ht="13.5" thickBot="1">
      <c r="A85" s="195" t="s">
        <v>122</v>
      </c>
      <c r="B85" s="151">
        <f>B71/B64</f>
        <v>3.81217059358331</v>
      </c>
      <c r="C85" s="151">
        <f aca="true" t="shared" si="21" ref="C85:I85">C71/C64</f>
        <v>4.857809533868233</v>
      </c>
      <c r="D85" s="151">
        <f t="shared" si="21"/>
        <v>4.201030654322472</v>
      </c>
      <c r="E85" s="151">
        <f t="shared" si="21"/>
        <v>1.4342334556830756</v>
      </c>
      <c r="F85" s="151">
        <f t="shared" si="21"/>
        <v>1.5250062573046737</v>
      </c>
      <c r="G85" s="151">
        <f t="shared" si="21"/>
        <v>2.44386881071261</v>
      </c>
      <c r="H85" s="151">
        <f t="shared" si="21"/>
        <v>1.1745759004270184</v>
      </c>
      <c r="I85" s="151">
        <f t="shared" si="21"/>
        <v>12.546623660860943</v>
      </c>
      <c r="J85" s="161"/>
    </row>
    <row r="86" spans="1:10" ht="14.25" thickBot="1" thickTop="1">
      <c r="A86" s="166" t="s">
        <v>123</v>
      </c>
      <c r="B86" s="168">
        <f>B72+B6</f>
        <v>2914.416601992651</v>
      </c>
      <c r="C86" s="168">
        <f aca="true" t="shared" si="22" ref="C86:I86">C72+C6</f>
        <v>2092.642172218343</v>
      </c>
      <c r="D86" s="168">
        <f t="shared" si="22"/>
        <v>2540.2839317758276</v>
      </c>
      <c r="E86" s="168">
        <f t="shared" si="22"/>
        <v>5609.031381622789</v>
      </c>
      <c r="F86" s="168">
        <f t="shared" si="22"/>
        <v>5462.907604125264</v>
      </c>
      <c r="G86" s="168">
        <f t="shared" si="22"/>
        <v>3119.295424312235</v>
      </c>
      <c r="H86" s="168">
        <f t="shared" si="22"/>
        <v>6963.241889708591</v>
      </c>
      <c r="I86" s="168">
        <f t="shared" si="22"/>
        <v>2809.5069400591424</v>
      </c>
      <c r="J86" s="161"/>
    </row>
    <row r="87" ht="13.5" thickTop="1"/>
  </sheetData>
  <sheetProtection/>
  <mergeCells count="1">
    <mergeCell ref="A37:I37"/>
  </mergeCells>
  <conditionalFormatting sqref="E35:I35 B35:D36 B34:I34">
    <cfRule type="colorScale" priority="2" dxfId="48">
      <colorScale>
        <cfvo type="min" val="0"/>
        <cfvo type="percentile" val="50"/>
        <cfvo type="max"/>
        <color rgb="FFF8696B"/>
        <color rgb="FFFFEB84"/>
        <color rgb="FF63BE7B"/>
      </colorScale>
    </cfRule>
  </conditionalFormatting>
  <conditionalFormatting sqref="E34:I36">
    <cfRule type="colorScale" priority="3" dxfId="48">
      <colorScale>
        <cfvo type="min" val="0"/>
        <cfvo type="percentile" val="50"/>
        <cfvo type="max"/>
        <color rgb="FFF8696B"/>
        <color rgb="FFFFEB84"/>
        <color rgb="FF63BE7B"/>
      </colorScale>
    </cfRule>
  </conditionalFormatting>
  <conditionalFormatting sqref="B34:I36">
    <cfRule type="colorScale" priority="64" dxfId="48">
      <colorScale>
        <cfvo type="min" val="0"/>
        <cfvo type="percentile" val="50"/>
        <cfvo type="max"/>
        <color rgb="FFF8696B"/>
        <color rgb="FFFFEB84"/>
        <color rgb="FF63BE7B"/>
      </colorScale>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zoomScale="85" zoomScaleNormal="85" zoomScaleSheetLayoutView="90" zoomScalePageLayoutView="0" workbookViewId="0" topLeftCell="A1">
      <selection activeCell="Q7" sqref="Q7"/>
    </sheetView>
  </sheetViews>
  <sheetFormatPr defaultColWidth="9.140625" defaultRowHeight="12.75"/>
  <cols>
    <col min="1" max="1" width="41.7109375" style="1" customWidth="1"/>
    <col min="2" max="2" width="18.28125" style="1" customWidth="1"/>
    <col min="3" max="3" width="17.28125" style="1" customWidth="1"/>
    <col min="4" max="4" width="13.140625" style="1" customWidth="1"/>
    <col min="5" max="5" width="14.00390625" style="1" customWidth="1"/>
    <col min="6" max="8" width="11.8515625" style="1" customWidth="1"/>
    <col min="9" max="9" width="12.8515625" style="1" bestFit="1" customWidth="1"/>
    <col min="10" max="10" width="12.421875" style="1" bestFit="1" customWidth="1"/>
    <col min="11" max="15" width="12.7109375" style="1" hidden="1" customWidth="1"/>
    <col min="16" max="26" width="12.7109375" style="1" customWidth="1"/>
    <col min="27" max="16384" width="9.140625" style="1" customWidth="1"/>
  </cols>
  <sheetData>
    <row r="1" spans="1:10" s="3" customFormat="1" ht="31.5" customHeight="1" thickBot="1">
      <c r="A1" s="252" t="s">
        <v>151</v>
      </c>
      <c r="B1" s="253"/>
      <c r="C1" s="253"/>
      <c r="D1" s="253"/>
      <c r="E1" s="254" t="s">
        <v>138</v>
      </c>
      <c r="F1" s="254"/>
      <c r="G1" s="254"/>
      <c r="H1" s="2"/>
      <c r="I1" s="15"/>
      <c r="J1" s="14"/>
    </row>
    <row r="2" spans="1:10" ht="16.5" thickBot="1">
      <c r="A2" s="16"/>
      <c r="B2" s="17"/>
      <c r="C2" s="18"/>
      <c r="D2" s="18"/>
      <c r="E2" s="10"/>
      <c r="F2" s="10"/>
      <c r="G2" s="10"/>
      <c r="H2" s="10"/>
      <c r="I2" s="4"/>
      <c r="J2" s="3"/>
    </row>
    <row r="3" spans="1:9" ht="25.5" customHeight="1" thickBot="1">
      <c r="A3" s="258" t="s">
        <v>3</v>
      </c>
      <c r="B3" s="259"/>
      <c r="C3" s="259"/>
      <c r="D3" s="30"/>
      <c r="E3" s="39">
        <f>'Pryse + Sensatiwiteitsanali'!B26</f>
        <v>2404</v>
      </c>
      <c r="F3" s="30" t="s">
        <v>0</v>
      </c>
      <c r="G3" s="19"/>
      <c r="H3" s="19"/>
      <c r="I3" s="5"/>
    </row>
    <row r="4" spans="1:10" ht="13.5" thickBot="1">
      <c r="A4" s="54"/>
      <c r="B4" s="7"/>
      <c r="C4" s="7"/>
      <c r="D4" s="6"/>
      <c r="E4" s="9"/>
      <c r="F4" s="20"/>
      <c r="G4" s="7"/>
      <c r="H4" s="21"/>
      <c r="I4" s="21"/>
      <c r="J4" s="3"/>
    </row>
    <row r="5" spans="1:14" ht="13.5" thickBot="1">
      <c r="A5" s="58" t="s">
        <v>4</v>
      </c>
      <c r="B5" s="7"/>
      <c r="C5" s="7"/>
      <c r="D5" s="43">
        <v>3</v>
      </c>
      <c r="E5" s="43">
        <v>3.5</v>
      </c>
      <c r="F5" s="43">
        <v>4</v>
      </c>
      <c r="G5" s="43">
        <v>4.5</v>
      </c>
      <c r="H5" s="43">
        <v>5</v>
      </c>
      <c r="I5" s="43">
        <v>5.5</v>
      </c>
      <c r="J5" s="3"/>
      <c r="M5" s="47"/>
      <c r="N5" s="47"/>
    </row>
    <row r="6" spans="1:14" ht="13.5" thickBot="1">
      <c r="A6" s="59" t="s">
        <v>5</v>
      </c>
      <c r="B6" s="56"/>
      <c r="C6" s="57"/>
      <c r="D6" s="37">
        <f aca="true" t="shared" si="0" ref="D6:I6">$E$3*D5</f>
        <v>7212</v>
      </c>
      <c r="E6" s="37">
        <f t="shared" si="0"/>
        <v>8414</v>
      </c>
      <c r="F6" s="37">
        <f t="shared" si="0"/>
        <v>9616</v>
      </c>
      <c r="G6" s="37">
        <f t="shared" si="0"/>
        <v>10818</v>
      </c>
      <c r="H6" s="37">
        <f t="shared" si="0"/>
        <v>12020</v>
      </c>
      <c r="I6" s="37">
        <f t="shared" si="0"/>
        <v>13222</v>
      </c>
      <c r="J6" s="3"/>
      <c r="M6" s="48"/>
      <c r="N6" s="48"/>
    </row>
    <row r="7" spans="1:15" ht="15.75" thickBot="1">
      <c r="A7" s="52"/>
      <c r="B7" s="53"/>
      <c r="C7" s="53"/>
      <c r="D7" s="23"/>
      <c r="E7" s="23"/>
      <c r="F7" s="23"/>
      <c r="G7" s="23"/>
      <c r="H7" s="23"/>
      <c r="I7" s="23"/>
      <c r="J7" s="3"/>
      <c r="M7" s="242" t="s">
        <v>77</v>
      </c>
      <c r="N7" s="242"/>
      <c r="O7" s="242"/>
    </row>
    <row r="8" spans="1:15" ht="15.75" thickBot="1">
      <c r="A8" s="261" t="s">
        <v>6</v>
      </c>
      <c r="B8" s="262"/>
      <c r="C8" s="263"/>
      <c r="D8" s="24"/>
      <c r="E8" s="24"/>
      <c r="F8" s="24"/>
      <c r="G8" s="24"/>
      <c r="H8" s="24"/>
      <c r="I8" s="24"/>
      <c r="J8" s="3"/>
      <c r="M8" s="143" t="s">
        <v>74</v>
      </c>
      <c r="N8" s="143" t="s">
        <v>75</v>
      </c>
      <c r="O8" s="143" t="s">
        <v>76</v>
      </c>
    </row>
    <row r="9" spans="1:15" ht="15">
      <c r="A9" s="63" t="s">
        <v>7</v>
      </c>
      <c r="B9" s="64"/>
      <c r="C9" s="64"/>
      <c r="D9" s="157">
        <v>788.6</v>
      </c>
      <c r="E9" s="157">
        <v>788.6</v>
      </c>
      <c r="F9" s="157">
        <v>887.175</v>
      </c>
      <c r="G9" s="157">
        <v>1084.325</v>
      </c>
      <c r="H9" s="157">
        <v>1108.96875</v>
      </c>
      <c r="I9" s="157">
        <v>1182.8999999999999</v>
      </c>
      <c r="J9" s="3"/>
      <c r="K9" s="29"/>
      <c r="M9" s="144">
        <f>D5</f>
        <v>3</v>
      </c>
      <c r="N9" s="144">
        <f>D25</f>
        <v>6161.287512653168</v>
      </c>
      <c r="O9" s="144">
        <f>D27</f>
        <v>2634.77</v>
      </c>
    </row>
    <row r="10" spans="1:15" ht="15">
      <c r="A10" s="60" t="s">
        <v>8</v>
      </c>
      <c r="B10" s="65"/>
      <c r="C10" s="65"/>
      <c r="D10" s="156">
        <v>1464.75</v>
      </c>
      <c r="E10" s="156">
        <v>1708.8750000000002</v>
      </c>
      <c r="F10" s="156">
        <v>1953</v>
      </c>
      <c r="G10" s="156">
        <v>2197.125</v>
      </c>
      <c r="H10" s="156">
        <v>2441.25</v>
      </c>
      <c r="I10" s="156">
        <v>2685.375</v>
      </c>
      <c r="J10" s="3"/>
      <c r="K10" s="29"/>
      <c r="M10" s="144">
        <f>E5</f>
        <v>3.5</v>
      </c>
      <c r="N10" s="144">
        <f>E25</f>
        <v>6529.688106974278</v>
      </c>
      <c r="O10" s="144">
        <f>E27</f>
        <v>2634.77</v>
      </c>
    </row>
    <row r="11" spans="1:15" ht="15">
      <c r="A11" s="60" t="s">
        <v>9</v>
      </c>
      <c r="B11" s="65"/>
      <c r="C11" s="65"/>
      <c r="D11" s="156">
        <v>154.19565</v>
      </c>
      <c r="E11" s="156">
        <v>154.19565</v>
      </c>
      <c r="F11" s="156">
        <v>154.19565</v>
      </c>
      <c r="G11" s="156">
        <v>154.19565</v>
      </c>
      <c r="H11" s="156">
        <v>154.19565</v>
      </c>
      <c r="I11" s="156">
        <v>154.19565</v>
      </c>
      <c r="J11" s="3"/>
      <c r="K11" s="29"/>
      <c r="M11" s="144">
        <f>F5</f>
        <v>4</v>
      </c>
      <c r="N11" s="144">
        <f>F25</f>
        <v>7010.470351981739</v>
      </c>
      <c r="O11" s="144">
        <f>F27</f>
        <v>2634.77</v>
      </c>
    </row>
    <row r="12" spans="1:15" ht="15">
      <c r="A12" s="60" t="s">
        <v>10</v>
      </c>
      <c r="B12" s="65"/>
      <c r="C12" s="65"/>
      <c r="D12" s="156">
        <v>938.9994849999999</v>
      </c>
      <c r="E12" s="156">
        <v>957.244735</v>
      </c>
      <c r="F12" s="156">
        <v>975.4899849999999</v>
      </c>
      <c r="G12" s="156">
        <v>993.7352349999999</v>
      </c>
      <c r="H12" s="156">
        <v>1011.9804849999999</v>
      </c>
      <c r="I12" s="156">
        <v>1030.225735</v>
      </c>
      <c r="J12" s="3"/>
      <c r="K12" s="29"/>
      <c r="M12" s="144">
        <f>G5</f>
        <v>4.5</v>
      </c>
      <c r="N12" s="144">
        <f>G25</f>
        <v>7603.634247675563</v>
      </c>
      <c r="O12" s="144">
        <f>G27</f>
        <v>2634.77</v>
      </c>
    </row>
    <row r="13" spans="1:15" ht="15">
      <c r="A13" s="60" t="s">
        <v>11</v>
      </c>
      <c r="B13" s="65"/>
      <c r="C13" s="65"/>
      <c r="D13" s="156">
        <v>734.37223629</v>
      </c>
      <c r="E13" s="156">
        <v>738.12471579</v>
      </c>
      <c r="F13" s="156">
        <v>741.8771952900001</v>
      </c>
      <c r="G13" s="156">
        <v>745.6296747900001</v>
      </c>
      <c r="H13" s="156">
        <v>749.38215429</v>
      </c>
      <c r="I13" s="156">
        <v>753.1346337900001</v>
      </c>
      <c r="J13" s="3"/>
      <c r="K13" s="29"/>
      <c r="M13" s="144">
        <f>H5</f>
        <v>5</v>
      </c>
      <c r="N13" s="144">
        <f>H25</f>
        <v>8000.13025466826</v>
      </c>
      <c r="O13" s="144">
        <f>H27</f>
        <v>2634.77</v>
      </c>
    </row>
    <row r="14" spans="1:15" ht="15">
      <c r="A14" s="60" t="s">
        <v>12</v>
      </c>
      <c r="B14" s="65"/>
      <c r="C14" s="65"/>
      <c r="D14" s="156">
        <v>765.9480000000001</v>
      </c>
      <c r="E14" s="156">
        <v>765.9480000000001</v>
      </c>
      <c r="F14" s="156">
        <v>765.9480000000001</v>
      </c>
      <c r="G14" s="156">
        <v>765.9480000000001</v>
      </c>
      <c r="H14" s="156">
        <v>765.9480000000001</v>
      </c>
      <c r="I14" s="156">
        <v>765.9480000000001</v>
      </c>
      <c r="J14" s="3"/>
      <c r="K14" s="29"/>
      <c r="M14" s="144">
        <f>I5</f>
        <v>5.5</v>
      </c>
      <c r="N14" s="144">
        <f>I25</f>
        <v>8452.817087004134</v>
      </c>
      <c r="O14" s="144">
        <f>I27</f>
        <v>2634.77</v>
      </c>
    </row>
    <row r="15" spans="1:14" ht="12.75">
      <c r="A15" s="60" t="s">
        <v>13</v>
      </c>
      <c r="B15" s="65"/>
      <c r="C15" s="65"/>
      <c r="D15" s="156">
        <v>215.36900000000003</v>
      </c>
      <c r="E15" s="156">
        <v>215.36900000000003</v>
      </c>
      <c r="F15" s="156">
        <v>215.36900000000003</v>
      </c>
      <c r="G15" s="156">
        <v>215.36900000000003</v>
      </c>
      <c r="H15" s="156">
        <v>215.36900000000003</v>
      </c>
      <c r="I15" s="156">
        <v>215.36900000000003</v>
      </c>
      <c r="J15" s="3"/>
      <c r="K15" s="29"/>
      <c r="M15" s="38"/>
      <c r="N15" s="38"/>
    </row>
    <row r="16" spans="1:14" ht="12.75">
      <c r="A16" s="60" t="s">
        <v>14</v>
      </c>
      <c r="B16" s="65"/>
      <c r="C16" s="65"/>
      <c r="D16" s="156">
        <v>140.634</v>
      </c>
      <c r="E16" s="156">
        <v>164.07300000000004</v>
      </c>
      <c r="F16" s="156">
        <v>187.512</v>
      </c>
      <c r="G16" s="156">
        <v>210.951</v>
      </c>
      <c r="H16" s="156">
        <v>234.39000000000001</v>
      </c>
      <c r="I16" s="156">
        <v>257.829</v>
      </c>
      <c r="J16" s="3"/>
      <c r="K16" s="29"/>
      <c r="M16" s="38"/>
      <c r="N16" s="38"/>
    </row>
    <row r="17" spans="1:14" ht="12.75">
      <c r="A17" s="60" t="s">
        <v>15</v>
      </c>
      <c r="B17" s="65"/>
      <c r="C17" s="65"/>
      <c r="D17" s="156">
        <v>449.61251009068224</v>
      </c>
      <c r="E17" s="156">
        <v>476.49609823544097</v>
      </c>
      <c r="F17" s="156">
        <v>511.58060152163057</v>
      </c>
      <c r="G17" s="156">
        <v>554.8660199492513</v>
      </c>
      <c r="H17" s="156">
        <v>583.7998368793677</v>
      </c>
      <c r="I17" s="156">
        <v>616.8341113801996</v>
      </c>
      <c r="J17" s="3"/>
      <c r="K17" s="29"/>
      <c r="M17" s="38"/>
      <c r="N17" s="38"/>
    </row>
    <row r="18" spans="1:14" ht="12.75">
      <c r="A18" s="60" t="s">
        <v>16</v>
      </c>
      <c r="B18" s="65"/>
      <c r="C18" s="65"/>
      <c r="D18" s="156">
        <v>0</v>
      </c>
      <c r="E18" s="156">
        <v>0</v>
      </c>
      <c r="F18" s="156">
        <v>0</v>
      </c>
      <c r="G18" s="156">
        <v>0</v>
      </c>
      <c r="H18" s="156">
        <v>0</v>
      </c>
      <c r="I18" s="156">
        <v>0</v>
      </c>
      <c r="J18" s="3"/>
      <c r="K18" s="29"/>
      <c r="M18" s="38"/>
      <c r="N18" s="38"/>
    </row>
    <row r="19" spans="1:14" ht="12.75">
      <c r="A19" s="60" t="s">
        <v>17</v>
      </c>
      <c r="B19" s="65"/>
      <c r="C19" s="65"/>
      <c r="D19" s="156">
        <v>201.47400000000002</v>
      </c>
      <c r="E19" s="156">
        <v>235.053</v>
      </c>
      <c r="F19" s="156">
        <v>268.632</v>
      </c>
      <c r="G19" s="156">
        <v>302.211</v>
      </c>
      <c r="H19" s="156">
        <v>335.79</v>
      </c>
      <c r="I19" s="156">
        <v>369.369</v>
      </c>
      <c r="J19" s="3"/>
      <c r="K19" s="29"/>
      <c r="M19" s="38"/>
      <c r="N19" s="38"/>
    </row>
    <row r="20" spans="1:14" ht="12.75">
      <c r="A20" s="60" t="s">
        <v>18</v>
      </c>
      <c r="B20" s="65"/>
      <c r="C20" s="65"/>
      <c r="D20" s="156">
        <v>0</v>
      </c>
      <c r="E20" s="156">
        <v>0</v>
      </c>
      <c r="F20" s="156">
        <v>0</v>
      </c>
      <c r="G20" s="156">
        <v>0</v>
      </c>
      <c r="H20" s="156">
        <v>0</v>
      </c>
      <c r="I20" s="156">
        <v>0</v>
      </c>
      <c r="J20" s="3"/>
      <c r="K20" s="29"/>
      <c r="M20" s="38"/>
      <c r="N20" s="38"/>
    </row>
    <row r="21" spans="1:14" ht="12.75">
      <c r="A21" s="60" t="s">
        <v>19</v>
      </c>
      <c r="B21" s="65"/>
      <c r="C21" s="65"/>
      <c r="D21" s="156">
        <v>0</v>
      </c>
      <c r="E21" s="156">
        <v>0</v>
      </c>
      <c r="F21" s="156">
        <v>0</v>
      </c>
      <c r="G21" s="156">
        <v>0</v>
      </c>
      <c r="H21" s="156">
        <v>0</v>
      </c>
      <c r="I21" s="156">
        <v>0</v>
      </c>
      <c r="J21" s="3"/>
      <c r="K21" s="29"/>
      <c r="M21" s="38"/>
      <c r="N21" s="38"/>
    </row>
    <row r="22" spans="1:14" ht="12.75">
      <c r="A22" s="60" t="s">
        <v>20</v>
      </c>
      <c r="B22" s="65"/>
      <c r="C22" s="65"/>
      <c r="D22" s="156">
        <v>0</v>
      </c>
      <c r="E22" s="156">
        <v>0</v>
      </c>
      <c r="F22" s="156">
        <v>0</v>
      </c>
      <c r="G22" s="156">
        <v>0</v>
      </c>
      <c r="H22" s="156">
        <v>0</v>
      </c>
      <c r="I22" s="156">
        <v>0</v>
      </c>
      <c r="J22" s="3"/>
      <c r="K22" s="29"/>
      <c r="M22" s="38"/>
      <c r="N22" s="38"/>
    </row>
    <row r="23" spans="1:14" ht="12.75">
      <c r="A23" s="60" t="s">
        <v>21</v>
      </c>
      <c r="B23" s="65"/>
      <c r="C23" s="65"/>
      <c r="D23" s="156">
        <v>0</v>
      </c>
      <c r="E23" s="156">
        <v>0</v>
      </c>
      <c r="F23" s="156">
        <v>0</v>
      </c>
      <c r="G23" s="156">
        <v>0</v>
      </c>
      <c r="H23" s="156">
        <v>0</v>
      </c>
      <c r="I23" s="156">
        <v>0</v>
      </c>
      <c r="J23" s="3"/>
      <c r="K23" s="29"/>
      <c r="M23" s="38"/>
      <c r="N23" s="38"/>
    </row>
    <row r="24" spans="1:14" ht="13.5" thickBot="1">
      <c r="A24" s="60" t="s">
        <v>22</v>
      </c>
      <c r="B24" s="65"/>
      <c r="C24" s="65"/>
      <c r="D24" s="156">
        <v>307.33263127248574</v>
      </c>
      <c r="E24" s="156">
        <v>325.7089079488357</v>
      </c>
      <c r="F24" s="156">
        <v>349.69092017011053</v>
      </c>
      <c r="G24" s="156">
        <v>379.2786679363107</v>
      </c>
      <c r="H24" s="156">
        <v>399.0563784988919</v>
      </c>
      <c r="I24" s="156">
        <v>421.63695683393536</v>
      </c>
      <c r="J24" s="3"/>
      <c r="K24" s="29"/>
      <c r="M24" s="38"/>
      <c r="N24" s="38"/>
    </row>
    <row r="25" spans="1:14" ht="26.25" customHeight="1" thickBot="1">
      <c r="A25" s="255" t="s">
        <v>23</v>
      </c>
      <c r="B25" s="264"/>
      <c r="C25" s="265"/>
      <c r="D25" s="33">
        <f aca="true" t="shared" si="1" ref="D25:I25">SUM(D9:D24)</f>
        <v>6161.287512653168</v>
      </c>
      <c r="E25" s="33">
        <f t="shared" si="1"/>
        <v>6529.688106974278</v>
      </c>
      <c r="F25" s="33">
        <f t="shared" si="1"/>
        <v>7010.470351981739</v>
      </c>
      <c r="G25" s="33">
        <f t="shared" si="1"/>
        <v>7603.634247675563</v>
      </c>
      <c r="H25" s="33">
        <f t="shared" si="1"/>
        <v>8000.13025466826</v>
      </c>
      <c r="I25" s="33">
        <f t="shared" si="1"/>
        <v>8452.817087004134</v>
      </c>
      <c r="J25" s="3"/>
      <c r="K25" s="29"/>
      <c r="M25" s="47"/>
      <c r="N25" s="47"/>
    </row>
    <row r="26" spans="1:11" ht="13.5" thickBot="1">
      <c r="A26" s="66"/>
      <c r="B26" s="67"/>
      <c r="C26" s="67"/>
      <c r="D26" s="34"/>
      <c r="E26" s="34"/>
      <c r="F26" s="34"/>
      <c r="G26" s="34"/>
      <c r="H26" s="34"/>
      <c r="I26" s="34"/>
      <c r="J26" s="3"/>
      <c r="K26" s="29"/>
    </row>
    <row r="27" spans="1:11" ht="13.5" thickBot="1">
      <c r="A27" s="266" t="s">
        <v>24</v>
      </c>
      <c r="B27" s="267"/>
      <c r="C27" s="268"/>
      <c r="D27" s="159">
        <v>2634.77</v>
      </c>
      <c r="E27" s="147">
        <f>D27</f>
        <v>2634.77</v>
      </c>
      <c r="F27" s="147">
        <f>E27</f>
        <v>2634.77</v>
      </c>
      <c r="G27" s="147">
        <f>F27</f>
        <v>2634.77</v>
      </c>
      <c r="H27" s="147">
        <f>G27</f>
        <v>2634.77</v>
      </c>
      <c r="I27" s="147">
        <f>H27</f>
        <v>2634.77</v>
      </c>
      <c r="K27" s="29"/>
    </row>
    <row r="28" spans="1:11" ht="13.5" thickBot="1">
      <c r="A28" s="66"/>
      <c r="B28" s="67"/>
      <c r="C28" s="67"/>
      <c r="D28" s="34"/>
      <c r="E28" s="34"/>
      <c r="F28" s="34"/>
      <c r="G28" s="34"/>
      <c r="H28" s="34"/>
      <c r="I28" s="34"/>
      <c r="K28" s="29"/>
    </row>
    <row r="29" spans="1:11" ht="27" customHeight="1" thickBot="1">
      <c r="A29" s="255" t="s">
        <v>25</v>
      </c>
      <c r="B29" s="264"/>
      <c r="C29" s="265"/>
      <c r="D29" s="33">
        <f aca="true" t="shared" si="2" ref="D29:I29">D25+D27</f>
        <v>8796.057512653168</v>
      </c>
      <c r="E29" s="33">
        <f t="shared" si="2"/>
        <v>9164.458106974278</v>
      </c>
      <c r="F29" s="33">
        <f t="shared" si="2"/>
        <v>9645.24035198174</v>
      </c>
      <c r="G29" s="33">
        <f t="shared" si="2"/>
        <v>10238.404247675562</v>
      </c>
      <c r="H29" s="33">
        <f t="shared" si="2"/>
        <v>10634.90025466826</v>
      </c>
      <c r="I29" s="33">
        <f t="shared" si="2"/>
        <v>11087.587087004134</v>
      </c>
      <c r="J29" s="3"/>
      <c r="K29" s="29"/>
    </row>
    <row r="30" spans="1:11" ht="13.5" thickBot="1">
      <c r="A30" s="61"/>
      <c r="B30" s="62"/>
      <c r="C30" s="62"/>
      <c r="D30" s="36"/>
      <c r="E30" s="36"/>
      <c r="F30" s="36"/>
      <c r="G30" s="36"/>
      <c r="H30" s="36"/>
      <c r="I30" s="36"/>
      <c r="J30" s="3"/>
      <c r="K30" s="29"/>
    </row>
    <row r="31" spans="1:11" ht="25.5" customHeight="1" thickBot="1">
      <c r="A31" s="255" t="s">
        <v>26</v>
      </c>
      <c r="B31" s="256"/>
      <c r="C31" s="257"/>
      <c r="D31" s="33">
        <f aca="true" t="shared" si="3" ref="D31:I31">D29/D5</f>
        <v>2932.019170884389</v>
      </c>
      <c r="E31" s="33">
        <f t="shared" si="3"/>
        <v>2618.416601992651</v>
      </c>
      <c r="F31" s="33">
        <f t="shared" si="3"/>
        <v>2411.310087995435</v>
      </c>
      <c r="G31" s="33">
        <f t="shared" si="3"/>
        <v>2275.2009439279027</v>
      </c>
      <c r="H31" s="33">
        <f t="shared" si="3"/>
        <v>2126.980050933652</v>
      </c>
      <c r="I31" s="33">
        <f t="shared" si="3"/>
        <v>2015.9249249098427</v>
      </c>
      <c r="J31" s="3"/>
      <c r="K31" s="29"/>
    </row>
    <row r="32" spans="1:11" ht="13.5" thickBot="1">
      <c r="A32" s="52"/>
      <c r="B32" s="53"/>
      <c r="C32" s="53"/>
      <c r="D32" s="36"/>
      <c r="E32" s="36"/>
      <c r="F32" s="36"/>
      <c r="G32" s="36"/>
      <c r="H32" s="36"/>
      <c r="I32" s="36"/>
      <c r="J32" s="3"/>
      <c r="K32" s="29"/>
    </row>
    <row r="33" spans="1:11" ht="13.5" thickBot="1">
      <c r="A33" s="55" t="s">
        <v>27</v>
      </c>
      <c r="B33" s="56"/>
      <c r="C33" s="56"/>
      <c r="D33" s="33">
        <f>'Pryse + Sensatiwiteitsanali'!D4</f>
        <v>296</v>
      </c>
      <c r="E33" s="33">
        <f>$D$33</f>
        <v>296</v>
      </c>
      <c r="F33" s="33">
        <f>$D$33</f>
        <v>296</v>
      </c>
      <c r="G33" s="33">
        <f>$D$33</f>
        <v>296</v>
      </c>
      <c r="H33" s="33">
        <f>$D$33</f>
        <v>296</v>
      </c>
      <c r="I33" s="33">
        <f>$D$33</f>
        <v>296</v>
      </c>
      <c r="J33" s="3"/>
      <c r="K33" s="29"/>
    </row>
    <row r="34" spans="1:11" ht="13.5" thickBot="1">
      <c r="A34" s="52"/>
      <c r="B34" s="53"/>
      <c r="C34" s="53"/>
      <c r="D34" s="36"/>
      <c r="E34" s="36"/>
      <c r="F34" s="36"/>
      <c r="G34" s="36"/>
      <c r="H34" s="36"/>
      <c r="I34" s="36"/>
      <c r="J34" s="3"/>
      <c r="K34" s="29"/>
    </row>
    <row r="35" spans="1:11" ht="27.75" customHeight="1" thickBot="1">
      <c r="A35" s="258" t="s">
        <v>28</v>
      </c>
      <c r="B35" s="259"/>
      <c r="C35" s="260"/>
      <c r="D35" s="35">
        <f aca="true" t="shared" si="4" ref="D35:I35">D31+D33</f>
        <v>3228.019170884389</v>
      </c>
      <c r="E35" s="35">
        <f t="shared" si="4"/>
        <v>2914.416601992651</v>
      </c>
      <c r="F35" s="35">
        <f t="shared" si="4"/>
        <v>2707.310087995435</v>
      </c>
      <c r="G35" s="35">
        <f t="shared" si="4"/>
        <v>2571.2009439279027</v>
      </c>
      <c r="H35" s="35">
        <f t="shared" si="4"/>
        <v>2422.980050933652</v>
      </c>
      <c r="I35" s="35">
        <f t="shared" si="4"/>
        <v>2311.924924909843</v>
      </c>
      <c r="J35" s="3"/>
      <c r="K35" s="29"/>
    </row>
    <row r="36" spans="1:11" ht="13.5" thickBot="1">
      <c r="A36" s="50" t="s">
        <v>29</v>
      </c>
      <c r="B36" s="51"/>
      <c r="C36" s="5"/>
      <c r="D36" s="35">
        <f>'Pryse + Sensatiwiteitsanali'!B4</f>
        <v>2700</v>
      </c>
      <c r="E36" s="35">
        <f>$D$36</f>
        <v>2700</v>
      </c>
      <c r="F36" s="35">
        <f>$D$36</f>
        <v>2700</v>
      </c>
      <c r="G36" s="35">
        <f>$D$36</f>
        <v>2700</v>
      </c>
      <c r="H36" s="35">
        <f>$D$36</f>
        <v>2700</v>
      </c>
      <c r="I36" s="35">
        <f>$D$36</f>
        <v>2700</v>
      </c>
      <c r="J36" s="14"/>
      <c r="K36" s="29"/>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row r="40" spans="1:8" ht="12.75">
      <c r="A40" s="243" t="s">
        <v>37</v>
      </c>
      <c r="B40" s="244"/>
      <c r="C40" s="244"/>
      <c r="D40" s="244"/>
      <c r="E40" s="244"/>
      <c r="F40" s="244"/>
      <c r="G40" s="244"/>
      <c r="H40" s="245"/>
    </row>
    <row r="41" spans="1:8" ht="12.75">
      <c r="A41" s="246"/>
      <c r="B41" s="247"/>
      <c r="C41" s="247"/>
      <c r="D41" s="247"/>
      <c r="E41" s="247"/>
      <c r="F41" s="247"/>
      <c r="G41" s="247"/>
      <c r="H41" s="248"/>
    </row>
    <row r="42" spans="1:8" ht="12.75">
      <c r="A42" s="246"/>
      <c r="B42" s="247"/>
      <c r="C42" s="247"/>
      <c r="D42" s="247"/>
      <c r="E42" s="247"/>
      <c r="F42" s="247"/>
      <c r="G42" s="247"/>
      <c r="H42" s="248"/>
    </row>
    <row r="43" spans="1:8" ht="13.5" thickBot="1">
      <c r="A43" s="249"/>
      <c r="B43" s="250"/>
      <c r="C43" s="250"/>
      <c r="D43" s="250"/>
      <c r="E43" s="250"/>
      <c r="F43" s="250"/>
      <c r="G43" s="250"/>
      <c r="H43" s="251"/>
    </row>
  </sheetData>
  <sheetProtection/>
  <mergeCells count="11">
    <mergeCell ref="A29:C29"/>
    <mergeCell ref="M7:O7"/>
    <mergeCell ref="A40:H43"/>
    <mergeCell ref="A1:D1"/>
    <mergeCell ref="E1:G1"/>
    <mergeCell ref="A31:C31"/>
    <mergeCell ref="A35:C35"/>
    <mergeCell ref="A3:C3"/>
    <mergeCell ref="A8:C8"/>
    <mergeCell ref="A25:C25"/>
    <mergeCell ref="A27:C27"/>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3"/>
  <sheetViews>
    <sheetView zoomScale="70" zoomScaleNormal="70" zoomScalePageLayoutView="0" workbookViewId="0" topLeftCell="A1">
      <selection activeCell="R16" sqref="R16"/>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4.421875" style="1" customWidth="1"/>
    <col min="11" max="15" width="12.7109375" style="1" hidden="1" customWidth="1"/>
    <col min="16" max="26" width="12.7109375" style="1" customWidth="1"/>
    <col min="27" max="16384" width="9.140625" style="1" customWidth="1"/>
  </cols>
  <sheetData>
    <row r="1" spans="1:10" s="3" customFormat="1" ht="36" customHeight="1" thickBot="1">
      <c r="A1" s="252" t="s">
        <v>150</v>
      </c>
      <c r="B1" s="253"/>
      <c r="C1" s="253"/>
      <c r="D1" s="253"/>
      <c r="E1" s="254" t="s">
        <v>138</v>
      </c>
      <c r="F1" s="254"/>
      <c r="G1" s="254"/>
      <c r="H1" s="2"/>
      <c r="I1" s="15"/>
      <c r="J1" s="14"/>
    </row>
    <row r="2" spans="1:10" ht="16.5" thickBot="1">
      <c r="A2" s="16"/>
      <c r="B2" s="17"/>
      <c r="C2" s="18"/>
      <c r="D2" s="18"/>
      <c r="E2" s="10"/>
      <c r="F2" s="10"/>
      <c r="G2" s="10"/>
      <c r="H2" s="10"/>
      <c r="I2" s="4"/>
      <c r="J2" s="3"/>
    </row>
    <row r="3" spans="1:11" ht="25.5" customHeight="1" thickBot="1">
      <c r="A3" s="258" t="s">
        <v>3</v>
      </c>
      <c r="B3" s="259"/>
      <c r="C3" s="259"/>
      <c r="D3" s="30"/>
      <c r="E3" s="39">
        <f>'Pryse + Sensatiwiteitsanali'!B26</f>
        <v>2404</v>
      </c>
      <c r="F3" s="30" t="s">
        <v>0</v>
      </c>
      <c r="G3" s="19"/>
      <c r="H3" s="19"/>
      <c r="I3" s="5"/>
      <c r="K3" s="3"/>
    </row>
    <row r="4" spans="1:11" ht="13.5" thickBot="1">
      <c r="A4" s="54"/>
      <c r="B4" s="7"/>
      <c r="C4" s="7"/>
      <c r="D4" s="6"/>
      <c r="E4" s="9"/>
      <c r="F4" s="20"/>
      <c r="G4" s="7"/>
      <c r="H4" s="21"/>
      <c r="I4" s="21"/>
      <c r="J4" s="3"/>
      <c r="K4" s="14"/>
    </row>
    <row r="5" spans="1:11" ht="13.5" thickBot="1">
      <c r="A5" s="58" t="s">
        <v>4</v>
      </c>
      <c r="B5" s="7"/>
      <c r="C5" s="7"/>
      <c r="D5" s="160">
        <v>5</v>
      </c>
      <c r="E5" s="160">
        <v>5.5</v>
      </c>
      <c r="F5" s="160">
        <v>6</v>
      </c>
      <c r="G5" s="160">
        <v>6.5</v>
      </c>
      <c r="H5" s="160">
        <v>7</v>
      </c>
      <c r="I5" s="43"/>
      <c r="J5" s="3"/>
      <c r="K5" s="14"/>
    </row>
    <row r="6" spans="1:11" ht="13.5" thickBot="1">
      <c r="A6" s="59" t="s">
        <v>5</v>
      </c>
      <c r="B6" s="56"/>
      <c r="C6" s="57"/>
      <c r="D6" s="37">
        <f>$E$3*D5</f>
        <v>12020</v>
      </c>
      <c r="E6" s="37">
        <f>$E$3*E5</f>
        <v>13222</v>
      </c>
      <c r="F6" s="37">
        <f>$E$3*F5</f>
        <v>14424</v>
      </c>
      <c r="G6" s="37">
        <f>$E$3*G5</f>
        <v>15626</v>
      </c>
      <c r="H6" s="37">
        <f>$E$3*H5</f>
        <v>16828</v>
      </c>
      <c r="I6" s="37"/>
      <c r="J6" s="3"/>
      <c r="K6" s="14"/>
    </row>
    <row r="7" spans="1:15" ht="15.75" thickBot="1">
      <c r="A7" s="52"/>
      <c r="B7" s="53"/>
      <c r="C7" s="53"/>
      <c r="D7" s="23"/>
      <c r="E7" s="23"/>
      <c r="F7" s="23"/>
      <c r="G7" s="23"/>
      <c r="H7" s="23"/>
      <c r="I7" s="23"/>
      <c r="J7" s="3"/>
      <c r="K7" s="14"/>
      <c r="M7" s="242" t="s">
        <v>78</v>
      </c>
      <c r="N7" s="242"/>
      <c r="O7" s="242"/>
    </row>
    <row r="8" spans="1:15" ht="15.75" thickBot="1">
      <c r="A8" s="261" t="s">
        <v>6</v>
      </c>
      <c r="B8" s="262"/>
      <c r="C8" s="263"/>
      <c r="D8" s="24"/>
      <c r="E8" s="24"/>
      <c r="F8" s="24"/>
      <c r="G8" s="24"/>
      <c r="H8" s="24"/>
      <c r="I8" s="24"/>
      <c r="J8" s="3"/>
      <c r="K8" s="14"/>
      <c r="M8" s="143" t="s">
        <v>74</v>
      </c>
      <c r="N8" s="143" t="s">
        <v>75</v>
      </c>
      <c r="O8" s="143" t="s">
        <v>76</v>
      </c>
    </row>
    <row r="9" spans="1:15" ht="15">
      <c r="A9" s="63" t="s">
        <v>7</v>
      </c>
      <c r="B9" s="64"/>
      <c r="C9" s="64"/>
      <c r="D9" s="157">
        <v>1108.96875</v>
      </c>
      <c r="E9" s="157">
        <v>1158.25625</v>
      </c>
      <c r="F9" s="157">
        <v>1207.54375</v>
      </c>
      <c r="G9" s="157">
        <v>1256.83125</v>
      </c>
      <c r="H9" s="157">
        <v>1281.475</v>
      </c>
      <c r="I9" s="145"/>
      <c r="J9" s="3"/>
      <c r="K9" s="14"/>
      <c r="M9" s="144">
        <f>D5</f>
        <v>5</v>
      </c>
      <c r="N9" s="144">
        <f>D25</f>
        <v>7899.756311167845</v>
      </c>
      <c r="O9" s="144">
        <f>D27</f>
        <v>2521.01</v>
      </c>
    </row>
    <row r="10" spans="1:15" ht="15">
      <c r="A10" s="60" t="s">
        <v>8</v>
      </c>
      <c r="B10" s="65"/>
      <c r="C10" s="65"/>
      <c r="D10" s="156">
        <v>2441.25</v>
      </c>
      <c r="E10" s="156">
        <v>2685.375</v>
      </c>
      <c r="F10" s="156">
        <v>2929.5</v>
      </c>
      <c r="G10" s="156">
        <v>3173.6250000000005</v>
      </c>
      <c r="H10" s="156">
        <v>3417.7500000000005</v>
      </c>
      <c r="I10" s="146"/>
      <c r="J10" s="3"/>
      <c r="K10" s="14"/>
      <c r="M10" s="144">
        <f>E5</f>
        <v>5.5</v>
      </c>
      <c r="N10" s="144">
        <f>E25</f>
        <v>8318.892247251639</v>
      </c>
      <c r="O10" s="144">
        <f>E27</f>
        <v>2521.01</v>
      </c>
    </row>
    <row r="11" spans="1:15" ht="15">
      <c r="A11" s="60" t="s">
        <v>9</v>
      </c>
      <c r="B11" s="65"/>
      <c r="C11" s="65"/>
      <c r="D11" s="156">
        <v>154.19565</v>
      </c>
      <c r="E11" s="156">
        <v>154.19565</v>
      </c>
      <c r="F11" s="156">
        <v>154.19565</v>
      </c>
      <c r="G11" s="156">
        <v>154.19565</v>
      </c>
      <c r="H11" s="156">
        <v>154.19565</v>
      </c>
      <c r="I11" s="146"/>
      <c r="J11" s="3"/>
      <c r="K11" s="14"/>
      <c r="M11" s="144">
        <f>F5</f>
        <v>6</v>
      </c>
      <c r="N11" s="144">
        <f>F25</f>
        <v>8738.028183335435</v>
      </c>
      <c r="O11" s="144">
        <f>F27</f>
        <v>2521.01</v>
      </c>
    </row>
    <row r="12" spans="1:15" ht="15">
      <c r="A12" s="60" t="s">
        <v>10</v>
      </c>
      <c r="B12" s="65"/>
      <c r="C12" s="65"/>
      <c r="D12" s="156">
        <v>902.937985</v>
      </c>
      <c r="E12" s="156">
        <v>916.3979850000001</v>
      </c>
      <c r="F12" s="156">
        <v>929.8579850000001</v>
      </c>
      <c r="G12" s="156">
        <v>943.3179849999999</v>
      </c>
      <c r="H12" s="156">
        <v>956.7779850000001</v>
      </c>
      <c r="I12" s="146"/>
      <c r="J12" s="3"/>
      <c r="K12" s="14"/>
      <c r="M12" s="144">
        <f>G5</f>
        <v>6.5</v>
      </c>
      <c r="N12" s="144">
        <f>G25</f>
        <v>9157.16411941923</v>
      </c>
      <c r="O12" s="144">
        <f>G27</f>
        <v>2521.01</v>
      </c>
    </row>
    <row r="13" spans="1:15" ht="15">
      <c r="A13" s="60" t="s">
        <v>11</v>
      </c>
      <c r="B13" s="65"/>
      <c r="C13" s="65"/>
      <c r="D13" s="156">
        <v>749.38215429</v>
      </c>
      <c r="E13" s="156">
        <v>753.1346337900001</v>
      </c>
      <c r="F13" s="156">
        <v>756.8871132900001</v>
      </c>
      <c r="G13" s="156">
        <v>760.63959279</v>
      </c>
      <c r="H13" s="156">
        <v>764.39207229</v>
      </c>
      <c r="I13" s="146"/>
      <c r="J13" s="3"/>
      <c r="K13" s="14"/>
      <c r="M13" s="144">
        <f>H5</f>
        <v>7</v>
      </c>
      <c r="N13" s="144">
        <f>H25</f>
        <v>9548.204642831437</v>
      </c>
      <c r="O13" s="144">
        <f>H27</f>
        <v>2521.01</v>
      </c>
    </row>
    <row r="14" spans="1:15" ht="15">
      <c r="A14" s="60" t="s">
        <v>12</v>
      </c>
      <c r="B14" s="65"/>
      <c r="C14" s="65"/>
      <c r="D14" s="156">
        <v>786.9480000000001</v>
      </c>
      <c r="E14" s="156">
        <v>786.9480000000001</v>
      </c>
      <c r="F14" s="156">
        <v>786.9480000000001</v>
      </c>
      <c r="G14" s="156">
        <v>786.9480000000001</v>
      </c>
      <c r="H14" s="156">
        <v>786.9480000000001</v>
      </c>
      <c r="I14" s="146"/>
      <c r="J14" s="3"/>
      <c r="K14" s="14"/>
      <c r="M14" s="144">
        <f>I5</f>
        <v>0</v>
      </c>
      <c r="N14" s="144">
        <f>I25</f>
        <v>0</v>
      </c>
      <c r="O14" s="144">
        <f>I27</f>
        <v>0</v>
      </c>
    </row>
    <row r="15" spans="1:11" ht="12.75">
      <c r="A15" s="60" t="s">
        <v>13</v>
      </c>
      <c r="B15" s="65"/>
      <c r="C15" s="65"/>
      <c r="D15" s="156">
        <v>215.36900000000003</v>
      </c>
      <c r="E15" s="156">
        <v>215.36900000000003</v>
      </c>
      <c r="F15" s="156">
        <v>215.36900000000003</v>
      </c>
      <c r="G15" s="156">
        <v>215.36900000000003</v>
      </c>
      <c r="H15" s="156">
        <v>215.36900000000003</v>
      </c>
      <c r="I15" s="146"/>
      <c r="J15" s="3"/>
      <c r="K15" s="14"/>
    </row>
    <row r="16" spans="1:11" ht="12.75">
      <c r="A16" s="60" t="s">
        <v>14</v>
      </c>
      <c r="B16" s="65"/>
      <c r="C16" s="65"/>
      <c r="D16" s="156">
        <v>234.39000000000001</v>
      </c>
      <c r="E16" s="156">
        <v>257.829</v>
      </c>
      <c r="F16" s="156">
        <v>281.268</v>
      </c>
      <c r="G16" s="156">
        <v>304.70700000000005</v>
      </c>
      <c r="H16" s="156">
        <v>328.1460000000001</v>
      </c>
      <c r="I16" s="146"/>
      <c r="J16" s="3"/>
      <c r="K16" s="14"/>
    </row>
    <row r="17" spans="1:11" ht="12.75">
      <c r="A17" s="60" t="s">
        <v>15</v>
      </c>
      <c r="B17" s="65"/>
      <c r="C17" s="65"/>
      <c r="D17" s="156">
        <v>576.4751696580698</v>
      </c>
      <c r="E17" s="156">
        <v>607.0611080524127</v>
      </c>
      <c r="F17" s="156">
        <v>637.6470464467554</v>
      </c>
      <c r="G17" s="156">
        <v>668.2329848410983</v>
      </c>
      <c r="H17" s="156">
        <v>696.7686944500832</v>
      </c>
      <c r="I17" s="146"/>
      <c r="J17" s="3"/>
      <c r="K17" s="14"/>
    </row>
    <row r="18" spans="1:11" ht="12.75">
      <c r="A18" s="60" t="s">
        <v>16</v>
      </c>
      <c r="B18" s="65"/>
      <c r="C18" s="65"/>
      <c r="D18" s="156">
        <v>0</v>
      </c>
      <c r="E18" s="156">
        <v>0</v>
      </c>
      <c r="F18" s="156">
        <v>0</v>
      </c>
      <c r="G18" s="156">
        <v>0</v>
      </c>
      <c r="H18" s="156">
        <v>0</v>
      </c>
      <c r="I18" s="146"/>
      <c r="J18" s="3"/>
      <c r="K18" s="14"/>
    </row>
    <row r="19" spans="1:11" ht="12.75">
      <c r="A19" s="60" t="s">
        <v>17</v>
      </c>
      <c r="B19" s="65"/>
      <c r="C19" s="65"/>
      <c r="D19" s="156">
        <v>335.79</v>
      </c>
      <c r="E19" s="156">
        <v>369.369</v>
      </c>
      <c r="F19" s="156">
        <v>402.94800000000004</v>
      </c>
      <c r="G19" s="156">
        <v>436.527</v>
      </c>
      <c r="H19" s="156">
        <v>470.106</v>
      </c>
      <c r="I19" s="146"/>
      <c r="J19" s="3"/>
      <c r="K19" s="14"/>
    </row>
    <row r="20" spans="1:11" ht="12.75">
      <c r="A20" s="60" t="s">
        <v>18</v>
      </c>
      <c r="B20" s="65"/>
      <c r="C20" s="65"/>
      <c r="D20" s="156">
        <v>0</v>
      </c>
      <c r="E20" s="156">
        <v>0</v>
      </c>
      <c r="F20" s="156">
        <v>0</v>
      </c>
      <c r="G20" s="156">
        <v>0</v>
      </c>
      <c r="H20" s="156">
        <v>0</v>
      </c>
      <c r="I20" s="146"/>
      <c r="J20" s="3"/>
      <c r="K20" s="14"/>
    </row>
    <row r="21" spans="1:11" ht="12.75">
      <c r="A21" s="60" t="s">
        <v>19</v>
      </c>
      <c r="B21" s="65"/>
      <c r="C21" s="65"/>
      <c r="D21" s="156">
        <v>0</v>
      </c>
      <c r="E21" s="156">
        <v>0</v>
      </c>
      <c r="F21" s="156">
        <v>0</v>
      </c>
      <c r="G21" s="156">
        <v>0</v>
      </c>
      <c r="H21" s="156">
        <v>0</v>
      </c>
      <c r="I21" s="146"/>
      <c r="J21" s="3"/>
      <c r="K21" s="14"/>
    </row>
    <row r="22" spans="1:11" ht="12.75">
      <c r="A22" s="60" t="s">
        <v>20</v>
      </c>
      <c r="B22" s="65"/>
      <c r="C22" s="65"/>
      <c r="D22" s="156">
        <v>0</v>
      </c>
      <c r="E22" s="156">
        <v>0</v>
      </c>
      <c r="F22" s="156">
        <v>0</v>
      </c>
      <c r="G22" s="156">
        <v>0</v>
      </c>
      <c r="H22" s="156">
        <v>0</v>
      </c>
      <c r="I22" s="146"/>
      <c r="J22" s="3"/>
      <c r="K22" s="14"/>
    </row>
    <row r="23" spans="1:11" ht="12.75">
      <c r="A23" s="60" t="s">
        <v>21</v>
      </c>
      <c r="B23" s="65"/>
      <c r="C23" s="65"/>
      <c r="D23" s="156">
        <v>0</v>
      </c>
      <c r="E23" s="156">
        <v>0</v>
      </c>
      <c r="F23" s="156">
        <v>0</v>
      </c>
      <c r="G23" s="156">
        <v>0</v>
      </c>
      <c r="H23" s="156">
        <v>0</v>
      </c>
      <c r="I23" s="146"/>
      <c r="J23" s="3"/>
      <c r="K23" s="14"/>
    </row>
    <row r="24" spans="1:11" ht="13.5" thickBot="1">
      <c r="A24" s="60" t="s">
        <v>22</v>
      </c>
      <c r="B24" s="65"/>
      <c r="C24" s="65"/>
      <c r="D24" s="156">
        <v>394.0496022197737</v>
      </c>
      <c r="E24" s="156">
        <v>414.9566204092266</v>
      </c>
      <c r="F24" s="156">
        <v>435.86363859867964</v>
      </c>
      <c r="G24" s="156">
        <v>456.7706567881326</v>
      </c>
      <c r="H24" s="156">
        <v>476.2762410913543</v>
      </c>
      <c r="I24" s="146"/>
      <c r="J24" s="3"/>
      <c r="K24" s="14"/>
    </row>
    <row r="25" spans="1:11" ht="25.5" customHeight="1" thickBot="1">
      <c r="A25" s="255" t="s">
        <v>23</v>
      </c>
      <c r="B25" s="264"/>
      <c r="C25" s="265"/>
      <c r="D25" s="33">
        <f>SUM(D9:D24)</f>
        <v>7899.756311167845</v>
      </c>
      <c r="E25" s="33">
        <f>SUM(E9:E24)</f>
        <v>8318.892247251639</v>
      </c>
      <c r="F25" s="33">
        <f>SUM(F9:F24)</f>
        <v>8738.028183335435</v>
      </c>
      <c r="G25" s="33">
        <f>SUM(G9:G24)</f>
        <v>9157.16411941923</v>
      </c>
      <c r="H25" s="33">
        <f>SUM(H9:H24)</f>
        <v>9548.204642831437</v>
      </c>
      <c r="I25" s="33"/>
      <c r="J25" s="3"/>
      <c r="K25" s="14"/>
    </row>
    <row r="26" spans="1:11" ht="13.5" thickBot="1">
      <c r="A26" s="66"/>
      <c r="B26" s="67"/>
      <c r="C26" s="67"/>
      <c r="D26" s="34"/>
      <c r="E26" s="34"/>
      <c r="F26" s="34"/>
      <c r="G26" s="34"/>
      <c r="H26" s="34"/>
      <c r="I26" s="34"/>
      <c r="J26" s="3"/>
      <c r="K26" s="14"/>
    </row>
    <row r="27" spans="1:11" ht="13.5" thickBot="1">
      <c r="A27" s="266" t="s">
        <v>24</v>
      </c>
      <c r="B27" s="267"/>
      <c r="C27" s="268"/>
      <c r="D27" s="159">
        <v>2521.01</v>
      </c>
      <c r="E27" s="147">
        <f>D27</f>
        <v>2521.01</v>
      </c>
      <c r="F27" s="147">
        <f>E27</f>
        <v>2521.01</v>
      </c>
      <c r="G27" s="147">
        <f>F27</f>
        <v>2521.01</v>
      </c>
      <c r="H27" s="147">
        <f>G27</f>
        <v>2521.01</v>
      </c>
      <c r="I27" s="147"/>
      <c r="J27" s="27"/>
      <c r="K27" s="14"/>
    </row>
    <row r="28" spans="1:11" ht="13.5" thickBot="1">
      <c r="A28" s="66"/>
      <c r="B28" s="67"/>
      <c r="C28" s="67"/>
      <c r="D28" s="34"/>
      <c r="E28" s="34"/>
      <c r="F28" s="34"/>
      <c r="G28" s="34"/>
      <c r="H28" s="34"/>
      <c r="I28" s="34"/>
      <c r="J28" s="3"/>
      <c r="K28" s="14"/>
    </row>
    <row r="29" spans="1:11" ht="27.75" customHeight="1" thickBot="1">
      <c r="A29" s="255" t="s">
        <v>25</v>
      </c>
      <c r="B29" s="264"/>
      <c r="C29" s="265"/>
      <c r="D29" s="33">
        <f>D25+D27</f>
        <v>10420.766311167845</v>
      </c>
      <c r="E29" s="33">
        <f>E25+E27</f>
        <v>10839.902247251639</v>
      </c>
      <c r="F29" s="33">
        <f>F25+F27</f>
        <v>11259.038183335435</v>
      </c>
      <c r="G29" s="33">
        <f>G25+G27</f>
        <v>11678.174119419231</v>
      </c>
      <c r="H29" s="33">
        <f>H25+H27</f>
        <v>12069.214642831437</v>
      </c>
      <c r="I29" s="33"/>
      <c r="J29" s="3"/>
      <c r="K29" s="3"/>
    </row>
    <row r="30" spans="1:11" ht="13.5" thickBot="1">
      <c r="A30" s="61"/>
      <c r="B30" s="62"/>
      <c r="C30" s="62"/>
      <c r="D30" s="36"/>
      <c r="E30" s="36"/>
      <c r="F30" s="36"/>
      <c r="G30" s="36"/>
      <c r="H30" s="36"/>
      <c r="I30" s="36"/>
      <c r="J30" s="3"/>
      <c r="K30" s="3"/>
    </row>
    <row r="31" spans="1:11" ht="27.75" customHeight="1" thickBot="1">
      <c r="A31" s="255" t="s">
        <v>26</v>
      </c>
      <c r="B31" s="256"/>
      <c r="C31" s="257"/>
      <c r="D31" s="33">
        <f>D29/D5</f>
        <v>2084.153262233569</v>
      </c>
      <c r="E31" s="33">
        <f>E29/E5</f>
        <v>1970.891317682116</v>
      </c>
      <c r="F31" s="33">
        <f>F29/F5</f>
        <v>1876.506363889239</v>
      </c>
      <c r="G31" s="33">
        <f>G29/G5</f>
        <v>1796.6421722183431</v>
      </c>
      <c r="H31" s="33">
        <f>H29/H5</f>
        <v>1724.173520404491</v>
      </c>
      <c r="I31" s="33"/>
      <c r="J31" s="3"/>
      <c r="K31" s="3"/>
    </row>
    <row r="32" spans="1:11" ht="13.5" thickBot="1">
      <c r="A32" s="52"/>
      <c r="B32" s="53"/>
      <c r="C32" s="53"/>
      <c r="D32" s="36"/>
      <c r="E32" s="36"/>
      <c r="F32" s="36"/>
      <c r="G32" s="36"/>
      <c r="H32" s="36"/>
      <c r="I32" s="36"/>
      <c r="J32" s="3"/>
      <c r="K32" s="14"/>
    </row>
    <row r="33" spans="1:11" ht="13.5" thickBot="1">
      <c r="A33" s="55" t="s">
        <v>27</v>
      </c>
      <c r="B33" s="56"/>
      <c r="C33" s="56"/>
      <c r="D33" s="33">
        <f>'Pryse + Sensatiwiteitsanali'!D4</f>
        <v>296</v>
      </c>
      <c r="E33" s="33">
        <f>$D$33</f>
        <v>296</v>
      </c>
      <c r="F33" s="33">
        <f>$D$33</f>
        <v>296</v>
      </c>
      <c r="G33" s="33">
        <f>$D$33</f>
        <v>296</v>
      </c>
      <c r="H33" s="33">
        <f>$D$33</f>
        <v>296</v>
      </c>
      <c r="I33" s="33"/>
      <c r="J33" s="3"/>
      <c r="K33" s="14"/>
    </row>
    <row r="34" spans="1:11" ht="13.5" thickBot="1">
      <c r="A34" s="52"/>
      <c r="B34" s="53"/>
      <c r="C34" s="53"/>
      <c r="D34" s="36"/>
      <c r="E34" s="36"/>
      <c r="F34" s="36"/>
      <c r="G34" s="36"/>
      <c r="H34" s="36"/>
      <c r="I34" s="36"/>
      <c r="J34" s="3"/>
      <c r="K34" s="14"/>
    </row>
    <row r="35" spans="1:11" ht="25.5" customHeight="1" thickBot="1">
      <c r="A35" s="258" t="s">
        <v>28</v>
      </c>
      <c r="B35" s="259"/>
      <c r="C35" s="260"/>
      <c r="D35" s="35">
        <f>D31+D33</f>
        <v>2380.153262233569</v>
      </c>
      <c r="E35" s="35">
        <f>E31+E33</f>
        <v>2266.891317682116</v>
      </c>
      <c r="F35" s="35">
        <f>F31+F33</f>
        <v>2172.506363889239</v>
      </c>
      <c r="G35" s="35">
        <f>G31+G33</f>
        <v>2092.642172218343</v>
      </c>
      <c r="H35" s="35">
        <f>H31+H33</f>
        <v>2020.173520404491</v>
      </c>
      <c r="I35" s="35"/>
      <c r="J35" s="3"/>
      <c r="K35" s="14"/>
    </row>
    <row r="36" spans="1:11" ht="13.5" thickBot="1">
      <c r="A36" s="50" t="s">
        <v>29</v>
      </c>
      <c r="B36" s="51"/>
      <c r="C36" s="5"/>
      <c r="D36" s="35">
        <f>'Pryse + Sensatiwiteitsanali'!B4</f>
        <v>2700</v>
      </c>
      <c r="E36" s="35">
        <f>$D$36</f>
        <v>2700</v>
      </c>
      <c r="F36" s="35">
        <f>$D$36</f>
        <v>2700</v>
      </c>
      <c r="G36" s="35">
        <f>$D$36</f>
        <v>2700</v>
      </c>
      <c r="H36" s="35">
        <f>$D$36</f>
        <v>2700</v>
      </c>
      <c r="I36" s="35"/>
      <c r="J36" s="14"/>
      <c r="K36" s="3"/>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row r="40" spans="1:8" ht="12.75">
      <c r="A40" s="243" t="s">
        <v>37</v>
      </c>
      <c r="B40" s="244"/>
      <c r="C40" s="244"/>
      <c r="D40" s="244"/>
      <c r="E40" s="244"/>
      <c r="F40" s="244"/>
      <c r="G40" s="244"/>
      <c r="H40" s="245"/>
    </row>
    <row r="41" spans="1:8" ht="12.75">
      <c r="A41" s="246"/>
      <c r="B41" s="247"/>
      <c r="C41" s="247"/>
      <c r="D41" s="247"/>
      <c r="E41" s="247"/>
      <c r="F41" s="247"/>
      <c r="G41" s="247"/>
      <c r="H41" s="248"/>
    </row>
    <row r="42" spans="1:8" ht="12.75">
      <c r="A42" s="246"/>
      <c r="B42" s="247"/>
      <c r="C42" s="247"/>
      <c r="D42" s="247"/>
      <c r="E42" s="247"/>
      <c r="F42" s="247"/>
      <c r="G42" s="247"/>
      <c r="H42" s="248"/>
    </row>
    <row r="43" spans="1:8" ht="13.5" thickBot="1">
      <c r="A43" s="249"/>
      <c r="B43" s="250"/>
      <c r="C43" s="250"/>
      <c r="D43" s="250"/>
      <c r="E43" s="250"/>
      <c r="F43" s="250"/>
      <c r="G43" s="250"/>
      <c r="H43" s="251"/>
    </row>
    <row r="72" ht="12.75"/>
    <row r="73" ht="12.75"/>
    <row r="74" ht="12.75"/>
    <row r="75" ht="12.75"/>
    <row r="76" ht="12.75"/>
    <row r="77" ht="12.75"/>
  </sheetData>
  <sheetProtection/>
  <mergeCells count="11">
    <mergeCell ref="A29:C29"/>
    <mergeCell ref="M7:O7"/>
    <mergeCell ref="A40:H43"/>
    <mergeCell ref="E1:G1"/>
    <mergeCell ref="A1:D1"/>
    <mergeCell ref="A31:C31"/>
    <mergeCell ref="A35:C35"/>
    <mergeCell ref="A3:C3"/>
    <mergeCell ref="A8:C8"/>
    <mergeCell ref="A25:C25"/>
    <mergeCell ref="A27:C27"/>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zoomScale="80" zoomScaleNormal="80" zoomScalePageLayoutView="0" workbookViewId="0" topLeftCell="A1">
      <selection activeCell="A1" sqref="A1:D1"/>
    </sheetView>
  </sheetViews>
  <sheetFormatPr defaultColWidth="9.140625" defaultRowHeight="12.75"/>
  <cols>
    <col min="1" max="1" width="41.7109375" style="1" customWidth="1"/>
    <col min="2" max="2" width="14.7109375" style="1" customWidth="1"/>
    <col min="3" max="3" width="20.421875" style="1" customWidth="1"/>
    <col min="4" max="4" width="16.7109375" style="1" customWidth="1"/>
    <col min="5" max="5" width="14.421875" style="1" customWidth="1"/>
    <col min="6" max="9" width="14.28125" style="1" customWidth="1"/>
    <col min="10" max="10" width="14.421875" style="1" customWidth="1"/>
    <col min="11" max="15" width="12.7109375" style="1" hidden="1" customWidth="1"/>
    <col min="16" max="26" width="12.7109375" style="1" customWidth="1"/>
    <col min="27" max="16384" width="9.140625" style="1" customWidth="1"/>
  </cols>
  <sheetData>
    <row r="1" spans="1:10" s="3" customFormat="1" ht="33.75" customHeight="1" thickBot="1">
      <c r="A1" s="252" t="s">
        <v>133</v>
      </c>
      <c r="B1" s="253"/>
      <c r="C1" s="253"/>
      <c r="D1" s="253"/>
      <c r="E1" s="254" t="s">
        <v>138</v>
      </c>
      <c r="F1" s="254"/>
      <c r="G1" s="254"/>
      <c r="H1" s="2"/>
      <c r="I1" s="15"/>
      <c r="J1" s="14"/>
    </row>
    <row r="2" spans="1:10" ht="16.5" thickBot="1">
      <c r="A2" s="16"/>
      <c r="B2" s="17"/>
      <c r="C2" s="18"/>
      <c r="D2" s="18"/>
      <c r="E2" s="10"/>
      <c r="F2" s="10"/>
      <c r="G2" s="10"/>
      <c r="H2" s="10"/>
      <c r="I2" s="4"/>
      <c r="J2" s="3"/>
    </row>
    <row r="3" spans="1:11" ht="27.75" customHeight="1" thickBot="1">
      <c r="A3" s="258" t="s">
        <v>3</v>
      </c>
      <c r="B3" s="259"/>
      <c r="C3" s="259"/>
      <c r="D3" s="30"/>
      <c r="E3" s="39">
        <f>'Pryse + Sensatiwiteitsanali'!B26</f>
        <v>2404</v>
      </c>
      <c r="F3" s="30" t="s">
        <v>0</v>
      </c>
      <c r="G3" s="19"/>
      <c r="H3" s="19"/>
      <c r="I3" s="5"/>
      <c r="K3" s="3"/>
    </row>
    <row r="4" spans="1:12" ht="13.5" thickBot="1">
      <c r="A4" s="54"/>
      <c r="B4" s="7"/>
      <c r="C4" s="7"/>
      <c r="D4" s="6"/>
      <c r="E4" s="9"/>
      <c r="F4" s="20"/>
      <c r="G4" s="7"/>
      <c r="H4" s="21"/>
      <c r="I4" s="21"/>
      <c r="J4" s="3"/>
      <c r="K4" s="14"/>
      <c r="L4" s="14"/>
    </row>
    <row r="5" spans="1:12" ht="13.5" thickBot="1">
      <c r="A5" s="58" t="s">
        <v>4</v>
      </c>
      <c r="B5" s="7"/>
      <c r="C5" s="7"/>
      <c r="D5" s="43">
        <v>3.5</v>
      </c>
      <c r="E5" s="43">
        <v>4</v>
      </c>
      <c r="F5" s="43">
        <v>4.5</v>
      </c>
      <c r="G5" s="43">
        <v>5</v>
      </c>
      <c r="H5" s="43">
        <v>6</v>
      </c>
      <c r="I5" s="43">
        <v>7</v>
      </c>
      <c r="J5" s="3"/>
      <c r="K5" s="47"/>
      <c r="L5" s="47"/>
    </row>
    <row r="6" spans="1:12" ht="13.5" thickBot="1">
      <c r="A6" s="59" t="s">
        <v>5</v>
      </c>
      <c r="B6" s="56"/>
      <c r="C6" s="57"/>
      <c r="D6" s="37">
        <f aca="true" t="shared" si="0" ref="D6:I6">$E$3*D5</f>
        <v>8414</v>
      </c>
      <c r="E6" s="37">
        <f t="shared" si="0"/>
        <v>9616</v>
      </c>
      <c r="F6" s="37">
        <f t="shared" si="0"/>
        <v>10818</v>
      </c>
      <c r="G6" s="37">
        <f t="shared" si="0"/>
        <v>12020</v>
      </c>
      <c r="H6" s="37">
        <f t="shared" si="0"/>
        <v>14424</v>
      </c>
      <c r="I6" s="37">
        <f t="shared" si="0"/>
        <v>16828</v>
      </c>
      <c r="J6" s="3"/>
      <c r="K6" s="48"/>
      <c r="L6" s="48"/>
    </row>
    <row r="7" spans="1:15" ht="15.75" thickBot="1">
      <c r="A7" s="52"/>
      <c r="B7" s="53"/>
      <c r="C7" s="53"/>
      <c r="D7" s="23"/>
      <c r="E7" s="23"/>
      <c r="F7" s="23"/>
      <c r="G7" s="23"/>
      <c r="H7" s="23"/>
      <c r="I7" s="23"/>
      <c r="J7" s="3"/>
      <c r="K7" s="49"/>
      <c r="L7" s="49"/>
      <c r="M7" s="242" t="s">
        <v>79</v>
      </c>
      <c r="N7" s="242"/>
      <c r="O7" s="242"/>
    </row>
    <row r="8" spans="1:15" ht="25.5" customHeight="1" thickBot="1">
      <c r="A8" s="261" t="s">
        <v>6</v>
      </c>
      <c r="B8" s="262"/>
      <c r="C8" s="263"/>
      <c r="D8" s="24"/>
      <c r="E8" s="24"/>
      <c r="F8" s="24"/>
      <c r="G8" s="24"/>
      <c r="H8" s="24"/>
      <c r="I8" s="24"/>
      <c r="J8" s="3"/>
      <c r="K8" s="3"/>
      <c r="L8" s="3"/>
      <c r="M8" s="143" t="s">
        <v>74</v>
      </c>
      <c r="N8" s="143" t="s">
        <v>75</v>
      </c>
      <c r="O8" s="143" t="s">
        <v>76</v>
      </c>
    </row>
    <row r="9" spans="1:15" ht="15">
      <c r="A9" s="63" t="s">
        <v>7</v>
      </c>
      <c r="B9" s="64"/>
      <c r="C9" s="64"/>
      <c r="D9" s="157">
        <v>976.326875</v>
      </c>
      <c r="E9" s="157">
        <v>1027.7124999999999</v>
      </c>
      <c r="F9" s="157">
        <v>1079.098125</v>
      </c>
      <c r="G9" s="157">
        <v>1130.4837499999999</v>
      </c>
      <c r="H9" s="157">
        <v>1233.255</v>
      </c>
      <c r="I9" s="157">
        <v>1336.02625</v>
      </c>
      <c r="J9" s="3"/>
      <c r="K9" s="38"/>
      <c r="L9" s="38"/>
      <c r="M9" s="144">
        <f>D5</f>
        <v>3.5</v>
      </c>
      <c r="N9" s="144">
        <f>D25</f>
        <v>6576.452651313857</v>
      </c>
      <c r="O9" s="144">
        <f>D27</f>
        <v>2665.03</v>
      </c>
    </row>
    <row r="10" spans="1:15" ht="15">
      <c r="A10" s="60" t="s">
        <v>8</v>
      </c>
      <c r="B10" s="65"/>
      <c r="C10" s="65"/>
      <c r="D10" s="156">
        <v>1708.8750000000002</v>
      </c>
      <c r="E10" s="156">
        <v>2022.4</v>
      </c>
      <c r="F10" s="156">
        <v>2197.125</v>
      </c>
      <c r="G10" s="156">
        <v>2441.25</v>
      </c>
      <c r="H10" s="156">
        <v>2929.5</v>
      </c>
      <c r="I10" s="156">
        <v>3417.7500000000005</v>
      </c>
      <c r="J10" s="3"/>
      <c r="K10" s="38"/>
      <c r="L10" s="38"/>
      <c r="M10" s="144">
        <f>E5</f>
        <v>4</v>
      </c>
      <c r="N10" s="144">
        <f>E25</f>
        <v>7084.470502435403</v>
      </c>
      <c r="O10" s="144">
        <f>E27</f>
        <v>2665.03</v>
      </c>
    </row>
    <row r="11" spans="1:15" ht="15">
      <c r="A11" s="60" t="s">
        <v>9</v>
      </c>
      <c r="B11" s="65"/>
      <c r="C11" s="65"/>
      <c r="D11" s="156">
        <v>154.19565</v>
      </c>
      <c r="E11" s="156">
        <v>154.19565</v>
      </c>
      <c r="F11" s="156">
        <v>154.19565</v>
      </c>
      <c r="G11" s="156">
        <v>154.19565</v>
      </c>
      <c r="H11" s="156">
        <v>154.19565</v>
      </c>
      <c r="I11" s="156">
        <v>154.19565</v>
      </c>
      <c r="J11" s="3"/>
      <c r="K11" s="38"/>
      <c r="L11" s="38"/>
      <c r="M11" s="144">
        <f>F5</f>
        <v>4.5</v>
      </c>
      <c r="N11" s="144">
        <f>F25</f>
        <v>7434.247692991223</v>
      </c>
      <c r="O11" s="144">
        <f>F27</f>
        <v>2665.03</v>
      </c>
    </row>
    <row r="12" spans="1:15" ht="15">
      <c r="A12" s="60" t="s">
        <v>10</v>
      </c>
      <c r="B12" s="65"/>
      <c r="C12" s="65"/>
      <c r="D12" s="156">
        <v>950.359735</v>
      </c>
      <c r="E12" s="156">
        <v>968.6049849999999</v>
      </c>
      <c r="F12" s="156">
        <v>986.8502349999999</v>
      </c>
      <c r="G12" s="156">
        <v>1005.0954849999999</v>
      </c>
      <c r="H12" s="156">
        <v>1034.700985</v>
      </c>
      <c r="I12" s="156">
        <v>1064.306485</v>
      </c>
      <c r="J12" s="3"/>
      <c r="K12" s="38"/>
      <c r="L12" s="38"/>
      <c r="M12" s="144">
        <f>G5</f>
        <v>5</v>
      </c>
      <c r="N12" s="144">
        <f>G25</f>
        <v>7863.145213829906</v>
      </c>
      <c r="O12" s="144">
        <f>G27</f>
        <v>2665.03</v>
      </c>
    </row>
    <row r="13" spans="1:15" ht="15">
      <c r="A13" s="60" t="s">
        <v>11</v>
      </c>
      <c r="B13" s="65"/>
      <c r="C13" s="65"/>
      <c r="D13" s="156">
        <v>738.12471579</v>
      </c>
      <c r="E13" s="156">
        <v>741.8771952900001</v>
      </c>
      <c r="F13" s="156">
        <v>745.6296747900001</v>
      </c>
      <c r="G13" s="156">
        <v>749.38215429</v>
      </c>
      <c r="H13" s="156">
        <v>756.8871132900001</v>
      </c>
      <c r="I13" s="156">
        <v>764.39207229</v>
      </c>
      <c r="J13" s="3"/>
      <c r="K13" s="38"/>
      <c r="L13" s="38"/>
      <c r="M13" s="144">
        <f>H5</f>
        <v>6</v>
      </c>
      <c r="N13" s="144">
        <f>H25</f>
        <v>8713.090925910767</v>
      </c>
      <c r="O13" s="144">
        <f>H27</f>
        <v>2665.03</v>
      </c>
    </row>
    <row r="14" spans="1:15" ht="15">
      <c r="A14" s="60" t="s">
        <v>12</v>
      </c>
      <c r="B14" s="65"/>
      <c r="C14" s="65"/>
      <c r="D14" s="156">
        <v>720.0849600000001</v>
      </c>
      <c r="E14" s="156">
        <v>720.0849600000001</v>
      </c>
      <c r="F14" s="156">
        <v>720.0849600000001</v>
      </c>
      <c r="G14" s="156">
        <v>720.0849600000001</v>
      </c>
      <c r="H14" s="156">
        <v>720.0849600000001</v>
      </c>
      <c r="I14" s="156">
        <v>720.0849600000001</v>
      </c>
      <c r="J14" s="3"/>
      <c r="K14" s="38"/>
      <c r="L14" s="38"/>
      <c r="M14" s="144">
        <f>I5</f>
        <v>7</v>
      </c>
      <c r="N14" s="144">
        <f>I25</f>
        <v>9563.03663799163</v>
      </c>
      <c r="O14" s="144">
        <f>I27</f>
        <v>2665.03</v>
      </c>
    </row>
    <row r="15" spans="1:12" ht="12.75">
      <c r="A15" s="60" t="s">
        <v>13</v>
      </c>
      <c r="B15" s="65"/>
      <c r="C15" s="65"/>
      <c r="D15" s="156">
        <v>109.65680000000005</v>
      </c>
      <c r="E15" s="156">
        <v>109.65680000000005</v>
      </c>
      <c r="F15" s="156">
        <v>109.65680000000005</v>
      </c>
      <c r="G15" s="156">
        <v>109.65680000000005</v>
      </c>
      <c r="H15" s="156">
        <v>109.65680000000005</v>
      </c>
      <c r="I15" s="156">
        <v>109.65680000000005</v>
      </c>
      <c r="J15" s="3"/>
      <c r="K15" s="38"/>
      <c r="L15" s="38"/>
    </row>
    <row r="16" spans="1:12" ht="12.75">
      <c r="A16" s="60" t="s">
        <v>14</v>
      </c>
      <c r="B16" s="65"/>
      <c r="C16" s="65"/>
      <c r="D16" s="156">
        <v>164.07300000000004</v>
      </c>
      <c r="E16" s="156">
        <v>187.512</v>
      </c>
      <c r="F16" s="156">
        <v>210.951</v>
      </c>
      <c r="G16" s="156">
        <v>234.39000000000001</v>
      </c>
      <c r="H16" s="156">
        <v>281.268</v>
      </c>
      <c r="I16" s="156">
        <v>328.1460000000001</v>
      </c>
      <c r="J16" s="3"/>
      <c r="K16" s="38"/>
      <c r="L16" s="38"/>
    </row>
    <row r="17" spans="1:12" ht="12.75">
      <c r="A17" s="60" t="s">
        <v>15</v>
      </c>
      <c r="B17" s="65"/>
      <c r="C17" s="65"/>
      <c r="D17" s="156">
        <v>479.90868434193015</v>
      </c>
      <c r="E17" s="156">
        <v>516.9806730690516</v>
      </c>
      <c r="F17" s="156">
        <v>542.5052408311149</v>
      </c>
      <c r="G17" s="156">
        <v>573.8035190757071</v>
      </c>
      <c r="H17" s="156">
        <v>635.8272802237937</v>
      </c>
      <c r="I17" s="156">
        <v>697.8510413718802</v>
      </c>
      <c r="J17" s="3"/>
      <c r="K17" s="38"/>
      <c r="L17" s="38"/>
    </row>
    <row r="18" spans="1:12" ht="12.75">
      <c r="A18" s="60" t="s">
        <v>16</v>
      </c>
      <c r="B18" s="65"/>
      <c r="C18" s="65"/>
      <c r="D18" s="156">
        <v>0</v>
      </c>
      <c r="E18" s="156">
        <v>0</v>
      </c>
      <c r="F18" s="156">
        <v>0</v>
      </c>
      <c r="G18" s="156">
        <v>0</v>
      </c>
      <c r="H18" s="156">
        <v>0</v>
      </c>
      <c r="I18" s="156">
        <v>0</v>
      </c>
      <c r="J18" s="3"/>
      <c r="K18" s="38"/>
      <c r="L18" s="38"/>
    </row>
    <row r="19" spans="1:12" ht="12.75">
      <c r="A19" s="60" t="s">
        <v>17</v>
      </c>
      <c r="B19" s="65"/>
      <c r="C19" s="65"/>
      <c r="D19" s="156">
        <v>246.80565000000004</v>
      </c>
      <c r="E19" s="156">
        <v>282.0636</v>
      </c>
      <c r="F19" s="156">
        <v>317.32155</v>
      </c>
      <c r="G19" s="156">
        <v>352.5795</v>
      </c>
      <c r="H19" s="156">
        <v>423.09540000000004</v>
      </c>
      <c r="I19" s="156">
        <v>493.6113000000001</v>
      </c>
      <c r="J19" s="3"/>
      <c r="K19" s="38"/>
      <c r="L19" s="38"/>
    </row>
    <row r="20" spans="1:12" ht="12.75">
      <c r="A20" s="60" t="s">
        <v>18</v>
      </c>
      <c r="B20" s="65"/>
      <c r="C20" s="65"/>
      <c r="D20" s="156">
        <v>0</v>
      </c>
      <c r="E20" s="156">
        <v>0</v>
      </c>
      <c r="F20" s="156">
        <v>0</v>
      </c>
      <c r="G20" s="156">
        <v>0</v>
      </c>
      <c r="H20" s="156">
        <v>0</v>
      </c>
      <c r="I20" s="156">
        <v>0</v>
      </c>
      <c r="J20" s="3"/>
      <c r="K20" s="38"/>
      <c r="L20" s="38"/>
    </row>
    <row r="21" spans="1:12" ht="12.75">
      <c r="A21" s="60" t="s">
        <v>19</v>
      </c>
      <c r="B21" s="65"/>
      <c r="C21" s="65"/>
      <c r="D21" s="156">
        <v>0</v>
      </c>
      <c r="E21" s="156">
        <v>0</v>
      </c>
      <c r="F21" s="156">
        <v>0</v>
      </c>
      <c r="G21" s="156">
        <v>0</v>
      </c>
      <c r="H21" s="156">
        <v>0</v>
      </c>
      <c r="I21" s="156">
        <v>0</v>
      </c>
      <c r="J21" s="3"/>
      <c r="K21" s="38"/>
      <c r="L21" s="38"/>
    </row>
    <row r="22" spans="1:12" ht="12.75">
      <c r="A22" s="60" t="s">
        <v>20</v>
      </c>
      <c r="B22" s="65"/>
      <c r="C22" s="65"/>
      <c r="D22" s="156">
        <v>0</v>
      </c>
      <c r="E22" s="156">
        <v>0</v>
      </c>
      <c r="F22" s="156">
        <v>0</v>
      </c>
      <c r="G22" s="156">
        <v>0</v>
      </c>
      <c r="H22" s="156">
        <v>0</v>
      </c>
      <c r="I22" s="156">
        <v>0</v>
      </c>
      <c r="J22" s="3"/>
      <c r="K22" s="38"/>
      <c r="L22" s="38"/>
    </row>
    <row r="23" spans="1:12" ht="12.75">
      <c r="A23" s="60" t="s">
        <v>21</v>
      </c>
      <c r="B23" s="65"/>
      <c r="C23" s="65"/>
      <c r="D23" s="156">
        <v>0</v>
      </c>
      <c r="E23" s="156">
        <v>0</v>
      </c>
      <c r="F23" s="156">
        <v>0</v>
      </c>
      <c r="G23" s="156">
        <v>0</v>
      </c>
      <c r="H23" s="156">
        <v>0</v>
      </c>
      <c r="I23" s="156">
        <v>0</v>
      </c>
      <c r="J23" s="3"/>
      <c r="K23" s="38"/>
      <c r="L23" s="38"/>
    </row>
    <row r="24" spans="1:12" ht="13.5" thickBot="1">
      <c r="A24" s="60" t="s">
        <v>22</v>
      </c>
      <c r="B24" s="65"/>
      <c r="C24" s="65"/>
      <c r="D24" s="156">
        <v>328.04158118192635</v>
      </c>
      <c r="E24" s="156">
        <v>353.38213907635014</v>
      </c>
      <c r="F24" s="156">
        <v>370.82945737010846</v>
      </c>
      <c r="G24" s="156">
        <v>392.22339546419954</v>
      </c>
      <c r="H24" s="156">
        <v>434.61973739697413</v>
      </c>
      <c r="I24" s="156">
        <v>477.01607932974883</v>
      </c>
      <c r="J24" s="3"/>
      <c r="K24" s="38"/>
      <c r="L24" s="38"/>
    </row>
    <row r="25" spans="1:12" ht="25.5" customHeight="1" thickBot="1">
      <c r="A25" s="255" t="s">
        <v>23</v>
      </c>
      <c r="B25" s="264"/>
      <c r="C25" s="265"/>
      <c r="D25" s="33">
        <f aca="true" t="shared" si="1" ref="D25:I25">SUM(D9:D24)</f>
        <v>6576.452651313857</v>
      </c>
      <c r="E25" s="33">
        <f t="shared" si="1"/>
        <v>7084.470502435403</v>
      </c>
      <c r="F25" s="33">
        <f t="shared" si="1"/>
        <v>7434.247692991223</v>
      </c>
      <c r="G25" s="33">
        <f t="shared" si="1"/>
        <v>7863.145213829906</v>
      </c>
      <c r="H25" s="33">
        <f t="shared" si="1"/>
        <v>8713.090925910767</v>
      </c>
      <c r="I25" s="33">
        <f t="shared" si="1"/>
        <v>9563.03663799163</v>
      </c>
      <c r="J25" s="3"/>
      <c r="K25" s="47"/>
      <c r="L25" s="47"/>
    </row>
    <row r="26" spans="1:11" ht="13.5" thickBot="1">
      <c r="A26" s="66"/>
      <c r="B26" s="67"/>
      <c r="C26" s="67"/>
      <c r="D26" s="34"/>
      <c r="E26" s="34"/>
      <c r="F26" s="34"/>
      <c r="G26" s="34"/>
      <c r="H26" s="34"/>
      <c r="I26" s="34"/>
      <c r="J26" s="3"/>
      <c r="K26" s="14"/>
    </row>
    <row r="27" spans="1:11" ht="13.5" thickBot="1">
      <c r="A27" s="266" t="s">
        <v>24</v>
      </c>
      <c r="B27" s="267"/>
      <c r="C27" s="268"/>
      <c r="D27" s="159">
        <v>2665.03</v>
      </c>
      <c r="E27" s="147">
        <f>D27</f>
        <v>2665.03</v>
      </c>
      <c r="F27" s="147">
        <f>E27</f>
        <v>2665.03</v>
      </c>
      <c r="G27" s="147">
        <f>F27</f>
        <v>2665.03</v>
      </c>
      <c r="H27" s="147">
        <f>G27</f>
        <v>2665.03</v>
      </c>
      <c r="I27" s="147">
        <f>H27</f>
        <v>2665.03</v>
      </c>
      <c r="J27" s="27"/>
      <c r="K27" s="14"/>
    </row>
    <row r="28" spans="1:11" ht="13.5" thickBot="1">
      <c r="A28" s="66"/>
      <c r="B28" s="67"/>
      <c r="C28" s="67"/>
      <c r="D28" s="34"/>
      <c r="E28" s="34"/>
      <c r="F28" s="34"/>
      <c r="G28" s="34"/>
      <c r="H28" s="34"/>
      <c r="I28" s="34"/>
      <c r="J28" s="3"/>
      <c r="K28" s="14"/>
    </row>
    <row r="29" spans="1:11" ht="25.5" customHeight="1" thickBot="1">
      <c r="A29" s="255" t="s">
        <v>25</v>
      </c>
      <c r="B29" s="264"/>
      <c r="C29" s="265"/>
      <c r="D29" s="33">
        <f aca="true" t="shared" si="2" ref="D29:I29">D25+D27</f>
        <v>9241.482651313858</v>
      </c>
      <c r="E29" s="33">
        <f t="shared" si="2"/>
        <v>9749.500502435403</v>
      </c>
      <c r="F29" s="33">
        <f t="shared" si="2"/>
        <v>10099.277692991223</v>
      </c>
      <c r="G29" s="33">
        <f t="shared" si="2"/>
        <v>10528.175213829907</v>
      </c>
      <c r="H29" s="33">
        <f t="shared" si="2"/>
        <v>11378.120925910767</v>
      </c>
      <c r="I29" s="33">
        <f t="shared" si="2"/>
        <v>12228.066637991631</v>
      </c>
      <c r="J29" s="3"/>
      <c r="K29" s="3"/>
    </row>
    <row r="30" spans="1:11" ht="13.5" thickBot="1">
      <c r="A30" s="61"/>
      <c r="B30" s="62"/>
      <c r="C30" s="62"/>
      <c r="D30" s="36"/>
      <c r="E30" s="36"/>
      <c r="F30" s="36"/>
      <c r="G30" s="36"/>
      <c r="H30" s="36"/>
      <c r="I30" s="36"/>
      <c r="J30" s="3"/>
      <c r="K30" s="3"/>
    </row>
    <row r="31" spans="1:11" ht="25.5" customHeight="1" thickBot="1">
      <c r="A31" s="255" t="s">
        <v>26</v>
      </c>
      <c r="B31" s="256"/>
      <c r="C31" s="257"/>
      <c r="D31" s="33">
        <f aca="true" t="shared" si="3" ref="D31:I31">D29/D5</f>
        <v>2640.4236146611024</v>
      </c>
      <c r="E31" s="33">
        <f t="shared" si="3"/>
        <v>2437.375125608851</v>
      </c>
      <c r="F31" s="33">
        <f t="shared" si="3"/>
        <v>2244.2839317758276</v>
      </c>
      <c r="G31" s="33">
        <f t="shared" si="3"/>
        <v>2105.6350427659813</v>
      </c>
      <c r="H31" s="33">
        <f t="shared" si="3"/>
        <v>1896.3534876517945</v>
      </c>
      <c r="I31" s="33">
        <f t="shared" si="3"/>
        <v>1746.866662570233</v>
      </c>
      <c r="J31" s="3"/>
      <c r="K31" s="3"/>
    </row>
    <row r="32" spans="1:11" ht="13.5" thickBot="1">
      <c r="A32" s="52"/>
      <c r="B32" s="53"/>
      <c r="C32" s="53"/>
      <c r="D32" s="36"/>
      <c r="E32" s="36"/>
      <c r="F32" s="36"/>
      <c r="G32" s="36"/>
      <c r="H32" s="36"/>
      <c r="I32" s="36"/>
      <c r="J32" s="3"/>
      <c r="K32" s="14"/>
    </row>
    <row r="33" spans="1:11" ht="13.5" thickBot="1">
      <c r="A33" s="55" t="s">
        <v>27</v>
      </c>
      <c r="B33" s="56"/>
      <c r="C33" s="56"/>
      <c r="D33" s="33">
        <f>'Pryse + Sensatiwiteitsanali'!D4</f>
        <v>296</v>
      </c>
      <c r="E33" s="33">
        <f>$D$33</f>
        <v>296</v>
      </c>
      <c r="F33" s="33">
        <f>$D$33</f>
        <v>296</v>
      </c>
      <c r="G33" s="33">
        <f>$D$33</f>
        <v>296</v>
      </c>
      <c r="H33" s="33">
        <f>$D$33</f>
        <v>296</v>
      </c>
      <c r="I33" s="33">
        <f>$D$33</f>
        <v>296</v>
      </c>
      <c r="J33" s="3"/>
      <c r="K33" s="14"/>
    </row>
    <row r="34" spans="1:11" ht="13.5" thickBot="1">
      <c r="A34" s="52"/>
      <c r="B34" s="53"/>
      <c r="C34" s="53"/>
      <c r="D34" s="36"/>
      <c r="E34" s="36"/>
      <c r="F34" s="36"/>
      <c r="G34" s="36"/>
      <c r="H34" s="36"/>
      <c r="I34" s="36"/>
      <c r="J34" s="3"/>
      <c r="K34" s="14"/>
    </row>
    <row r="35" spans="1:11" ht="27.75" customHeight="1" thickBot="1">
      <c r="A35" s="258" t="s">
        <v>28</v>
      </c>
      <c r="B35" s="259"/>
      <c r="C35" s="260"/>
      <c r="D35" s="35">
        <f aca="true" t="shared" si="4" ref="D35:I35">D31+D33</f>
        <v>2936.4236146611024</v>
      </c>
      <c r="E35" s="35">
        <f t="shared" si="4"/>
        <v>2733.375125608851</v>
      </c>
      <c r="F35" s="35">
        <f t="shared" si="4"/>
        <v>2540.2839317758276</v>
      </c>
      <c r="G35" s="35">
        <f t="shared" si="4"/>
        <v>2401.6350427659813</v>
      </c>
      <c r="H35" s="35">
        <f t="shared" si="4"/>
        <v>2192.3534876517942</v>
      </c>
      <c r="I35" s="35">
        <f t="shared" si="4"/>
        <v>2042.866662570233</v>
      </c>
      <c r="J35" s="3"/>
      <c r="K35" s="14"/>
    </row>
    <row r="36" spans="1:11" ht="13.5" thickBot="1">
      <c r="A36" s="50" t="s">
        <v>29</v>
      </c>
      <c r="B36" s="51"/>
      <c r="C36" s="5"/>
      <c r="D36" s="35">
        <f>'Pryse + Sensatiwiteitsanali'!B4</f>
        <v>2700</v>
      </c>
      <c r="E36" s="35">
        <f>$D$36</f>
        <v>2700</v>
      </c>
      <c r="F36" s="35">
        <f>$D$36</f>
        <v>2700</v>
      </c>
      <c r="G36" s="35">
        <f>$D$36</f>
        <v>2700</v>
      </c>
      <c r="H36" s="35">
        <f>$D$36</f>
        <v>2700</v>
      </c>
      <c r="I36" s="35">
        <f>$D$36</f>
        <v>2700</v>
      </c>
      <c r="J36" s="14"/>
      <c r="K36" s="3"/>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row r="40" spans="1:8" ht="12.75">
      <c r="A40" s="243" t="s">
        <v>37</v>
      </c>
      <c r="B40" s="244"/>
      <c r="C40" s="244"/>
      <c r="D40" s="244"/>
      <c r="E40" s="244"/>
      <c r="F40" s="244"/>
      <c r="G40" s="244"/>
      <c r="H40" s="245"/>
    </row>
    <row r="41" spans="1:8" ht="12.75">
      <c r="A41" s="246"/>
      <c r="B41" s="247"/>
      <c r="C41" s="247"/>
      <c r="D41" s="247"/>
      <c r="E41" s="247"/>
      <c r="F41" s="247"/>
      <c r="G41" s="247"/>
      <c r="H41" s="248"/>
    </row>
    <row r="42" spans="1:8" ht="12.75">
      <c r="A42" s="246"/>
      <c r="B42" s="247"/>
      <c r="C42" s="247"/>
      <c r="D42" s="247"/>
      <c r="E42" s="247"/>
      <c r="F42" s="247"/>
      <c r="G42" s="247"/>
      <c r="H42" s="248"/>
    </row>
    <row r="43" spans="1:8" ht="13.5" thickBot="1">
      <c r="A43" s="249"/>
      <c r="B43" s="250"/>
      <c r="C43" s="250"/>
      <c r="D43" s="250"/>
      <c r="E43" s="250"/>
      <c r="F43" s="250"/>
      <c r="G43" s="250"/>
      <c r="H43" s="251"/>
    </row>
  </sheetData>
  <sheetProtection/>
  <mergeCells count="11">
    <mergeCell ref="A29:C29"/>
    <mergeCell ref="M7:O7"/>
    <mergeCell ref="A40:H43"/>
    <mergeCell ref="A1:D1"/>
    <mergeCell ref="E1:G1"/>
    <mergeCell ref="A31:C31"/>
    <mergeCell ref="A35:C35"/>
    <mergeCell ref="A3:C3"/>
    <mergeCell ref="A8:C8"/>
    <mergeCell ref="A25:C25"/>
    <mergeCell ref="A27:C27"/>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85" zoomScaleNormal="85" zoomScalePageLayoutView="0" workbookViewId="0" topLeftCell="A1">
      <selection activeCell="A1" sqref="A1:D1"/>
    </sheetView>
  </sheetViews>
  <sheetFormatPr defaultColWidth="9.140625" defaultRowHeight="12.75"/>
  <cols>
    <col min="1" max="1" width="41.7109375" style="1" customWidth="1"/>
    <col min="2" max="2" width="15.7109375" style="1" customWidth="1"/>
    <col min="3" max="3" width="17.28125" style="1" customWidth="1"/>
    <col min="4" max="4" width="13.8515625" style="1" customWidth="1"/>
    <col min="5"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52" t="s">
        <v>1</v>
      </c>
      <c r="B1" s="253"/>
      <c r="C1" s="253"/>
      <c r="D1" s="253"/>
      <c r="E1" s="254" t="s">
        <v>141</v>
      </c>
      <c r="F1" s="254"/>
      <c r="G1" s="254"/>
      <c r="H1" s="2"/>
      <c r="I1" s="15"/>
      <c r="J1" s="14"/>
    </row>
    <row r="2" spans="1:10" ht="16.5" thickBot="1">
      <c r="A2" s="16"/>
      <c r="B2" s="17"/>
      <c r="C2" s="18"/>
      <c r="D2" s="18"/>
      <c r="E2" s="10"/>
      <c r="F2" s="10"/>
      <c r="G2" s="10"/>
      <c r="H2" s="10"/>
      <c r="I2" s="4"/>
      <c r="J2" s="3"/>
    </row>
    <row r="3" spans="1:11" ht="25.5" customHeight="1" thickBot="1">
      <c r="A3" s="258" t="s">
        <v>3</v>
      </c>
      <c r="B3" s="259"/>
      <c r="C3" s="259"/>
      <c r="D3" s="30"/>
      <c r="E3" s="39">
        <f>'Pryse + Sensatiwiteitsanali'!B66</f>
        <v>5496</v>
      </c>
      <c r="F3" s="30" t="s">
        <v>0</v>
      </c>
      <c r="G3" s="19"/>
      <c r="H3" s="19"/>
      <c r="I3" s="5"/>
      <c r="K3" s="3"/>
    </row>
    <row r="4" spans="1:11" ht="13.5" thickBot="1">
      <c r="A4" s="54"/>
      <c r="B4" s="7"/>
      <c r="C4" s="7"/>
      <c r="D4" s="6"/>
      <c r="E4" s="9"/>
      <c r="F4" s="20"/>
      <c r="G4" s="7"/>
      <c r="H4" s="21"/>
      <c r="I4" s="21"/>
      <c r="J4" s="3"/>
      <c r="K4" s="14"/>
    </row>
    <row r="5" spans="1:11" ht="13.5" thickBot="1">
      <c r="A5" s="58" t="s">
        <v>4</v>
      </c>
      <c r="B5" s="7"/>
      <c r="C5" s="7"/>
      <c r="D5" s="43">
        <v>1</v>
      </c>
      <c r="E5" s="43">
        <v>1.25</v>
      </c>
      <c r="F5" s="43">
        <v>1.5</v>
      </c>
      <c r="G5" s="43">
        <v>1.75</v>
      </c>
      <c r="H5" s="43">
        <v>2</v>
      </c>
      <c r="I5" s="43">
        <v>2.5</v>
      </c>
      <c r="J5" s="3"/>
      <c r="K5" s="14"/>
    </row>
    <row r="6" spans="1:11" ht="13.5" thickBot="1">
      <c r="A6" s="59" t="s">
        <v>5</v>
      </c>
      <c r="B6" s="56"/>
      <c r="C6" s="57"/>
      <c r="D6" s="37">
        <f aca="true" t="shared" si="0" ref="D6:I6">$E$3*D5</f>
        <v>5496</v>
      </c>
      <c r="E6" s="37">
        <f t="shared" si="0"/>
        <v>6870</v>
      </c>
      <c r="F6" s="37">
        <f t="shared" si="0"/>
        <v>8244</v>
      </c>
      <c r="G6" s="37">
        <f t="shared" si="0"/>
        <v>9618</v>
      </c>
      <c r="H6" s="37">
        <f t="shared" si="0"/>
        <v>10992</v>
      </c>
      <c r="I6" s="37">
        <f t="shared" si="0"/>
        <v>13740</v>
      </c>
      <c r="J6" s="3"/>
      <c r="K6" s="14"/>
    </row>
    <row r="7" spans="1:15" ht="15.75" thickBot="1">
      <c r="A7" s="52"/>
      <c r="B7" s="53"/>
      <c r="C7" s="53"/>
      <c r="D7" s="23"/>
      <c r="E7" s="23"/>
      <c r="F7" s="23"/>
      <c r="G7" s="23"/>
      <c r="H7" s="23"/>
      <c r="I7" s="23"/>
      <c r="J7" s="3"/>
      <c r="K7" s="14"/>
      <c r="M7" s="242" t="s">
        <v>80</v>
      </c>
      <c r="N7" s="242"/>
      <c r="O7" s="242"/>
    </row>
    <row r="8" spans="1:15" ht="15.75" thickBot="1">
      <c r="A8" s="261" t="s">
        <v>6</v>
      </c>
      <c r="B8" s="262"/>
      <c r="C8" s="263"/>
      <c r="D8" s="24"/>
      <c r="E8" s="24"/>
      <c r="F8" s="24"/>
      <c r="G8" s="24"/>
      <c r="H8" s="24"/>
      <c r="I8" s="24"/>
      <c r="J8" s="3"/>
      <c r="K8" s="14"/>
      <c r="M8" s="143" t="s">
        <v>74</v>
      </c>
      <c r="N8" s="143" t="s">
        <v>75</v>
      </c>
      <c r="O8" s="143" t="s">
        <v>76</v>
      </c>
    </row>
    <row r="9" spans="1:15" ht="12" customHeight="1">
      <c r="A9" s="63" t="s">
        <v>7</v>
      </c>
      <c r="B9" s="64"/>
      <c r="C9" s="64"/>
      <c r="D9" s="157">
        <v>474.25</v>
      </c>
      <c r="E9" s="157">
        <v>508.125</v>
      </c>
      <c r="F9" s="157">
        <v>542</v>
      </c>
      <c r="G9" s="157">
        <v>575.875</v>
      </c>
      <c r="H9" s="157">
        <v>609.75</v>
      </c>
      <c r="I9" s="157">
        <v>609.75</v>
      </c>
      <c r="J9" s="3"/>
      <c r="K9" s="46"/>
      <c r="M9" s="144">
        <f>D5</f>
        <v>1</v>
      </c>
      <c r="N9" s="144">
        <f>D25</f>
        <v>4522.593465364146</v>
      </c>
      <c r="O9" s="144">
        <f>D27</f>
        <v>2652.75</v>
      </c>
    </row>
    <row r="10" spans="1:15" ht="12" customHeight="1">
      <c r="A10" s="60" t="s">
        <v>8</v>
      </c>
      <c r="B10" s="65"/>
      <c r="C10" s="65"/>
      <c r="D10" s="156">
        <v>805.59</v>
      </c>
      <c r="E10" s="156">
        <v>984.4875</v>
      </c>
      <c r="F10" s="156">
        <v>1163.385</v>
      </c>
      <c r="G10" s="156">
        <v>1342.2825000000003</v>
      </c>
      <c r="H10" s="156">
        <v>1521.18</v>
      </c>
      <c r="I10" s="156">
        <v>1878.975</v>
      </c>
      <c r="J10" s="3"/>
      <c r="K10" s="46"/>
      <c r="M10" s="144">
        <f>E5</f>
        <v>1.25</v>
      </c>
      <c r="N10" s="144">
        <f>E25</f>
        <v>4876.195268899163</v>
      </c>
      <c r="O10" s="144">
        <f>E27</f>
        <v>2652.75</v>
      </c>
    </row>
    <row r="11" spans="1:15" ht="12" customHeight="1">
      <c r="A11" s="60" t="s">
        <v>9</v>
      </c>
      <c r="B11" s="65"/>
      <c r="C11" s="65"/>
      <c r="D11" s="156">
        <v>154.19565</v>
      </c>
      <c r="E11" s="156">
        <v>154.19565</v>
      </c>
      <c r="F11" s="156">
        <v>154.19565</v>
      </c>
      <c r="G11" s="156">
        <v>154.19565</v>
      </c>
      <c r="H11" s="156">
        <v>154.19565</v>
      </c>
      <c r="I11" s="156">
        <v>154.19565</v>
      </c>
      <c r="J11" s="3"/>
      <c r="K11" s="46"/>
      <c r="M11" s="144">
        <f>F5</f>
        <v>1.5</v>
      </c>
      <c r="N11" s="144">
        <f>F25</f>
        <v>5229.797072434183</v>
      </c>
      <c r="O11" s="144">
        <f>F27</f>
        <v>2652.75</v>
      </c>
    </row>
    <row r="12" spans="1:15" ht="12" customHeight="1">
      <c r="A12" s="60" t="s">
        <v>10</v>
      </c>
      <c r="B12" s="65"/>
      <c r="C12" s="65"/>
      <c r="D12" s="156">
        <v>935.3962200000001</v>
      </c>
      <c r="E12" s="156">
        <v>953.64147</v>
      </c>
      <c r="F12" s="156">
        <v>971.8867200000001</v>
      </c>
      <c r="G12" s="156">
        <v>990.1319700000001</v>
      </c>
      <c r="H12" s="156">
        <v>1008.3772200000001</v>
      </c>
      <c r="I12" s="156">
        <v>1037.98272</v>
      </c>
      <c r="J12" s="3"/>
      <c r="K12" s="46"/>
      <c r="M12" s="144">
        <f>G5</f>
        <v>1.75</v>
      </c>
      <c r="N12" s="144">
        <f>G25</f>
        <v>5583.398875969204</v>
      </c>
      <c r="O12" s="144">
        <f>G27</f>
        <v>2652.75</v>
      </c>
    </row>
    <row r="13" spans="1:15" ht="12" customHeight="1">
      <c r="A13" s="60" t="s">
        <v>11</v>
      </c>
      <c r="B13" s="65"/>
      <c r="C13" s="65"/>
      <c r="D13" s="156">
        <v>638.4282639</v>
      </c>
      <c r="E13" s="156">
        <v>640.1339364</v>
      </c>
      <c r="F13" s="156">
        <v>641.8396089</v>
      </c>
      <c r="G13" s="156">
        <v>643.5452814</v>
      </c>
      <c r="H13" s="156">
        <v>645.2509539</v>
      </c>
      <c r="I13" s="156">
        <v>648.6622989</v>
      </c>
      <c r="J13" s="3"/>
      <c r="K13" s="46"/>
      <c r="M13" s="144">
        <f>H5</f>
        <v>2</v>
      </c>
      <c r="N13" s="144">
        <f>H25</f>
        <v>5937.000679504221</v>
      </c>
      <c r="O13" s="144">
        <f>H27</f>
        <v>2652.75</v>
      </c>
    </row>
    <row r="14" spans="1:15" ht="12" customHeight="1">
      <c r="A14" s="60" t="s">
        <v>12</v>
      </c>
      <c r="B14" s="65"/>
      <c r="C14" s="65"/>
      <c r="D14" s="156">
        <v>507.02360000000004</v>
      </c>
      <c r="E14" s="156">
        <v>507.02360000000004</v>
      </c>
      <c r="F14" s="156">
        <v>507.02360000000004</v>
      </c>
      <c r="G14" s="156">
        <v>507.02360000000004</v>
      </c>
      <c r="H14" s="156">
        <v>507.02360000000004</v>
      </c>
      <c r="I14" s="156">
        <v>507.02360000000004</v>
      </c>
      <c r="J14" s="3"/>
      <c r="K14" s="46"/>
      <c r="M14" s="144">
        <f>I5</f>
        <v>2.5</v>
      </c>
      <c r="N14" s="144">
        <f>I25</f>
        <v>6562.077744129753</v>
      </c>
      <c r="O14" s="144">
        <f>I27</f>
        <v>2652.75</v>
      </c>
    </row>
    <row r="15" spans="1:11" ht="12" customHeight="1">
      <c r="A15" s="60" t="s">
        <v>13</v>
      </c>
      <c r="B15" s="65"/>
      <c r="C15" s="65"/>
      <c r="D15" s="156">
        <v>240.669</v>
      </c>
      <c r="E15" s="156">
        <v>240.669</v>
      </c>
      <c r="F15" s="156">
        <v>240.669</v>
      </c>
      <c r="G15" s="156">
        <v>240.669</v>
      </c>
      <c r="H15" s="156">
        <v>240.669</v>
      </c>
      <c r="I15" s="156">
        <v>240.669</v>
      </c>
      <c r="J15" s="3"/>
      <c r="K15" s="46"/>
    </row>
    <row r="16" spans="1:11" ht="12" customHeight="1">
      <c r="A16" s="60" t="s">
        <v>14</v>
      </c>
      <c r="B16" s="65"/>
      <c r="C16" s="65"/>
      <c r="D16" s="156">
        <v>107.172</v>
      </c>
      <c r="E16" s="156">
        <v>133.965</v>
      </c>
      <c r="F16" s="156">
        <v>160.75799999999998</v>
      </c>
      <c r="G16" s="156">
        <v>187.55100000000002</v>
      </c>
      <c r="H16" s="156">
        <v>214.344</v>
      </c>
      <c r="I16" s="156">
        <v>267.93</v>
      </c>
      <c r="J16" s="3"/>
      <c r="K16" s="46"/>
    </row>
    <row r="17" spans="1:11" ht="12" customHeight="1">
      <c r="A17" s="60" t="s">
        <v>15</v>
      </c>
      <c r="B17" s="65"/>
      <c r="C17" s="65"/>
      <c r="D17" s="156">
        <v>186.95618331058952</v>
      </c>
      <c r="E17" s="156">
        <v>201.57346963246</v>
      </c>
      <c r="F17" s="156">
        <v>216.1907559543304</v>
      </c>
      <c r="G17" s="156">
        <v>230.80804227620095</v>
      </c>
      <c r="H17" s="156">
        <v>245.42532859807133</v>
      </c>
      <c r="I17" s="156">
        <v>271.2649321733988</v>
      </c>
      <c r="J17" s="3"/>
      <c r="K17" s="46"/>
    </row>
    <row r="18" spans="1:11" ht="12" customHeight="1">
      <c r="A18" s="60" t="s">
        <v>16</v>
      </c>
      <c r="B18" s="65"/>
      <c r="C18" s="65"/>
      <c r="D18" s="156">
        <v>0</v>
      </c>
      <c r="E18" s="156">
        <v>0</v>
      </c>
      <c r="F18" s="156">
        <v>0</v>
      </c>
      <c r="G18" s="156">
        <v>0</v>
      </c>
      <c r="H18" s="156">
        <v>0</v>
      </c>
      <c r="I18" s="156">
        <v>0</v>
      </c>
      <c r="J18" s="3"/>
      <c r="K18" s="46"/>
    </row>
    <row r="19" spans="1:11" ht="12" customHeight="1">
      <c r="A19" s="60" t="s">
        <v>17</v>
      </c>
      <c r="B19" s="65"/>
      <c r="C19" s="65"/>
      <c r="D19" s="156">
        <v>247.32</v>
      </c>
      <c r="E19" s="156">
        <v>309.15</v>
      </c>
      <c r="F19" s="156">
        <v>370.97999999999996</v>
      </c>
      <c r="G19" s="156">
        <v>432.81</v>
      </c>
      <c r="H19" s="156">
        <v>494.64</v>
      </c>
      <c r="I19" s="156">
        <v>618.3</v>
      </c>
      <c r="J19" s="3"/>
      <c r="K19" s="46"/>
    </row>
    <row r="20" spans="1:11" ht="12" customHeight="1">
      <c r="A20" s="60" t="s">
        <v>18</v>
      </c>
      <c r="B20" s="65"/>
      <c r="C20" s="65"/>
      <c r="D20" s="156">
        <v>0</v>
      </c>
      <c r="E20" s="156">
        <v>0</v>
      </c>
      <c r="F20" s="156">
        <v>0</v>
      </c>
      <c r="G20" s="156">
        <v>0</v>
      </c>
      <c r="H20" s="156">
        <v>0</v>
      </c>
      <c r="I20" s="156">
        <v>0</v>
      </c>
      <c r="J20" s="3"/>
      <c r="K20" s="46"/>
    </row>
    <row r="21" spans="1:11" ht="12" customHeight="1">
      <c r="A21" s="60" t="s">
        <v>19</v>
      </c>
      <c r="B21" s="65"/>
      <c r="C21" s="65"/>
      <c r="D21" s="156">
        <v>0</v>
      </c>
      <c r="E21" s="156">
        <v>0</v>
      </c>
      <c r="F21" s="156">
        <v>0</v>
      </c>
      <c r="G21" s="156">
        <v>0</v>
      </c>
      <c r="H21" s="156">
        <v>0</v>
      </c>
      <c r="I21" s="156">
        <v>0</v>
      </c>
      <c r="J21" s="3"/>
      <c r="K21" s="46"/>
    </row>
    <row r="22" spans="1:11" ht="12" customHeight="1">
      <c r="A22" s="60" t="s">
        <v>20</v>
      </c>
      <c r="B22" s="65"/>
      <c r="C22" s="65"/>
      <c r="D22" s="156">
        <v>0</v>
      </c>
      <c r="E22" s="156">
        <v>0</v>
      </c>
      <c r="F22" s="156">
        <v>0</v>
      </c>
      <c r="G22" s="156">
        <v>0</v>
      </c>
      <c r="H22" s="156">
        <v>0</v>
      </c>
      <c r="I22" s="156">
        <v>0</v>
      </c>
      <c r="J22" s="3"/>
      <c r="K22" s="46"/>
    </row>
    <row r="23" spans="1:11" ht="12.75">
      <c r="A23" s="60" t="s">
        <v>21</v>
      </c>
      <c r="B23" s="65"/>
      <c r="C23" s="65"/>
      <c r="D23" s="156">
        <v>0</v>
      </c>
      <c r="E23" s="156">
        <v>0</v>
      </c>
      <c r="F23" s="156">
        <v>0</v>
      </c>
      <c r="G23" s="156">
        <v>0</v>
      </c>
      <c r="H23" s="156">
        <v>0</v>
      </c>
      <c r="I23" s="156">
        <v>0</v>
      </c>
      <c r="J23" s="3"/>
      <c r="K23" s="46"/>
    </row>
    <row r="24" spans="1:11" ht="13.5" thickBot="1">
      <c r="A24" s="60" t="s">
        <v>22</v>
      </c>
      <c r="B24" s="65"/>
      <c r="C24" s="65"/>
      <c r="D24" s="156">
        <v>225.5925481535559</v>
      </c>
      <c r="E24" s="156">
        <v>243.23064286670407</v>
      </c>
      <c r="F24" s="156">
        <v>260.86873757985234</v>
      </c>
      <c r="G24" s="156">
        <v>278.5068322930006</v>
      </c>
      <c r="H24" s="156">
        <v>296.1449270061488</v>
      </c>
      <c r="I24" s="156">
        <v>327.32454305635343</v>
      </c>
      <c r="J24" s="3"/>
      <c r="K24" s="46"/>
    </row>
    <row r="25" spans="1:11" ht="24.75" customHeight="1" thickBot="1">
      <c r="A25" s="255" t="s">
        <v>23</v>
      </c>
      <c r="B25" s="264"/>
      <c r="C25" s="265"/>
      <c r="D25" s="33">
        <f aca="true" t="shared" si="1" ref="D25:I25">SUM(D9:D24)</f>
        <v>4522.593465364146</v>
      </c>
      <c r="E25" s="33">
        <f t="shared" si="1"/>
        <v>4876.195268899163</v>
      </c>
      <c r="F25" s="33">
        <f t="shared" si="1"/>
        <v>5229.797072434183</v>
      </c>
      <c r="G25" s="33">
        <f t="shared" si="1"/>
        <v>5583.398875969204</v>
      </c>
      <c r="H25" s="33">
        <f t="shared" si="1"/>
        <v>5937.000679504221</v>
      </c>
      <c r="I25" s="33">
        <f t="shared" si="1"/>
        <v>6562.077744129753</v>
      </c>
      <c r="J25" s="3"/>
      <c r="K25" s="46"/>
    </row>
    <row r="26" spans="1:11" ht="13.5" thickBot="1">
      <c r="A26" s="66"/>
      <c r="B26" s="67"/>
      <c r="C26" s="67"/>
      <c r="D26" s="34"/>
      <c r="E26" s="34"/>
      <c r="F26" s="34"/>
      <c r="G26" s="34"/>
      <c r="H26" s="34"/>
      <c r="I26" s="34"/>
      <c r="J26" s="3"/>
      <c r="K26" s="14"/>
    </row>
    <row r="27" spans="1:11" ht="13.5" thickBot="1">
      <c r="A27" s="266" t="s">
        <v>24</v>
      </c>
      <c r="B27" s="267"/>
      <c r="C27" s="268"/>
      <c r="D27" s="159">
        <v>2652.75</v>
      </c>
      <c r="E27" s="147">
        <f>D27</f>
        <v>2652.75</v>
      </c>
      <c r="F27" s="147">
        <f>E27</f>
        <v>2652.75</v>
      </c>
      <c r="G27" s="147">
        <f>F27</f>
        <v>2652.75</v>
      </c>
      <c r="H27" s="147">
        <f>G27</f>
        <v>2652.75</v>
      </c>
      <c r="I27" s="147">
        <f>H27</f>
        <v>2652.75</v>
      </c>
      <c r="J27" s="27"/>
      <c r="K27" s="14"/>
    </row>
    <row r="28" spans="1:11" ht="13.5" thickBot="1">
      <c r="A28" s="66"/>
      <c r="B28" s="67"/>
      <c r="C28" s="67"/>
      <c r="D28" s="34"/>
      <c r="E28" s="34"/>
      <c r="F28" s="34"/>
      <c r="G28" s="34"/>
      <c r="H28" s="34"/>
      <c r="I28" s="34"/>
      <c r="J28" s="3"/>
      <c r="K28" s="14"/>
    </row>
    <row r="29" spans="1:11" ht="28.5" customHeight="1" thickBot="1">
      <c r="A29" s="255" t="s">
        <v>25</v>
      </c>
      <c r="B29" s="264"/>
      <c r="C29" s="265"/>
      <c r="D29" s="33">
        <f aca="true" t="shared" si="2" ref="D29:I29">D25+D27</f>
        <v>7175.343465364146</v>
      </c>
      <c r="E29" s="33">
        <f t="shared" si="2"/>
        <v>7528.945268899163</v>
      </c>
      <c r="F29" s="33">
        <f t="shared" si="2"/>
        <v>7882.547072434183</v>
      </c>
      <c r="G29" s="33">
        <f t="shared" si="2"/>
        <v>8236.148875969204</v>
      </c>
      <c r="H29" s="33">
        <f t="shared" si="2"/>
        <v>8589.75067950422</v>
      </c>
      <c r="I29" s="33">
        <f t="shared" si="2"/>
        <v>9214.827744129754</v>
      </c>
      <c r="J29" s="3"/>
      <c r="K29" s="3"/>
    </row>
    <row r="30" spans="1:11" ht="13.5" thickBot="1">
      <c r="A30" s="61"/>
      <c r="B30" s="62"/>
      <c r="C30" s="62"/>
      <c r="D30" s="36"/>
      <c r="E30" s="36"/>
      <c r="F30" s="36"/>
      <c r="G30" s="36"/>
      <c r="H30" s="36"/>
      <c r="I30" s="36"/>
      <c r="J30" s="3"/>
      <c r="K30" s="3"/>
    </row>
    <row r="31" spans="1:11" ht="27.75" customHeight="1" thickBot="1">
      <c r="A31" s="255" t="s">
        <v>26</v>
      </c>
      <c r="B31" s="256"/>
      <c r="C31" s="257"/>
      <c r="D31" s="33">
        <f aca="true" t="shared" si="3" ref="D31:I31">D29/D5</f>
        <v>7175.343465364146</v>
      </c>
      <c r="E31" s="33">
        <f t="shared" si="3"/>
        <v>6023.15621511933</v>
      </c>
      <c r="F31" s="33">
        <f t="shared" si="3"/>
        <v>5255.031381622789</v>
      </c>
      <c r="G31" s="33">
        <f t="shared" si="3"/>
        <v>4706.370786268117</v>
      </c>
      <c r="H31" s="33">
        <f t="shared" si="3"/>
        <v>4294.87533975211</v>
      </c>
      <c r="I31" s="33">
        <f t="shared" si="3"/>
        <v>3685.931097651902</v>
      </c>
      <c r="J31" s="3"/>
      <c r="K31" s="3"/>
    </row>
    <row r="32" spans="1:11" ht="13.5" thickBot="1">
      <c r="A32" s="52"/>
      <c r="B32" s="53"/>
      <c r="C32" s="53"/>
      <c r="D32" s="36"/>
      <c r="E32" s="36"/>
      <c r="F32" s="36"/>
      <c r="G32" s="36"/>
      <c r="H32" s="36"/>
      <c r="I32" s="36"/>
      <c r="J32" s="3"/>
      <c r="K32" s="14"/>
    </row>
    <row r="33" spans="1:11" ht="13.5" thickBot="1">
      <c r="A33" s="55" t="s">
        <v>27</v>
      </c>
      <c r="B33" s="56"/>
      <c r="C33" s="56"/>
      <c r="D33" s="33">
        <f>'Pryse + Sensatiwiteitsanali'!D5</f>
        <v>354</v>
      </c>
      <c r="E33" s="33">
        <f>$D$33</f>
        <v>354</v>
      </c>
      <c r="F33" s="33">
        <f>$D$33</f>
        <v>354</v>
      </c>
      <c r="G33" s="33">
        <f>$D$33</f>
        <v>354</v>
      </c>
      <c r="H33" s="33">
        <f>$D$33</f>
        <v>354</v>
      </c>
      <c r="I33" s="33">
        <f>$D$33</f>
        <v>354</v>
      </c>
      <c r="J33" s="3"/>
      <c r="K33" s="14"/>
    </row>
    <row r="34" spans="1:11" ht="13.5" thickBot="1">
      <c r="A34" s="52"/>
      <c r="B34" s="53"/>
      <c r="C34" s="53"/>
      <c r="D34" s="36"/>
      <c r="E34" s="36"/>
      <c r="F34" s="36"/>
      <c r="G34" s="36"/>
      <c r="H34" s="36"/>
      <c r="I34" s="36"/>
      <c r="J34" s="3"/>
      <c r="K34" s="14"/>
    </row>
    <row r="35" spans="1:11" ht="24.75" customHeight="1" thickBot="1">
      <c r="A35" s="258" t="s">
        <v>28</v>
      </c>
      <c r="B35" s="259"/>
      <c r="C35" s="260"/>
      <c r="D35" s="35">
        <f aca="true" t="shared" si="4" ref="D35:I35">D31+D33</f>
        <v>7529.343465364146</v>
      </c>
      <c r="E35" s="35">
        <f t="shared" si="4"/>
        <v>6377.15621511933</v>
      </c>
      <c r="F35" s="35">
        <f t="shared" si="4"/>
        <v>5609.031381622789</v>
      </c>
      <c r="G35" s="35">
        <f t="shared" si="4"/>
        <v>5060.370786268117</v>
      </c>
      <c r="H35" s="35">
        <f t="shared" si="4"/>
        <v>4648.87533975211</v>
      </c>
      <c r="I35" s="35">
        <f t="shared" si="4"/>
        <v>4039.931097651902</v>
      </c>
      <c r="J35" s="3"/>
      <c r="K35" s="14"/>
    </row>
    <row r="36" spans="1:11" ht="13.5" thickBot="1">
      <c r="A36" s="50" t="s">
        <v>29</v>
      </c>
      <c r="B36" s="51"/>
      <c r="C36" s="5"/>
      <c r="D36" s="35">
        <f>'Pryse + Sensatiwiteitsanali'!B5</f>
        <v>5850</v>
      </c>
      <c r="E36" s="35">
        <f>$D$36</f>
        <v>5850</v>
      </c>
      <c r="F36" s="35">
        <f>$D$36</f>
        <v>5850</v>
      </c>
      <c r="G36" s="35">
        <f>$D$36</f>
        <v>5850</v>
      </c>
      <c r="H36" s="35">
        <f>$D$36</f>
        <v>5850</v>
      </c>
      <c r="I36" s="35">
        <f>$D$36</f>
        <v>5850</v>
      </c>
      <c r="J36" s="14"/>
      <c r="K36" s="3"/>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row r="94" ht="12.75"/>
    <row r="95" ht="12.75"/>
    <row r="96" ht="12.75"/>
  </sheetData>
  <sheetProtection/>
  <mergeCells count="10">
    <mergeCell ref="M7:O7"/>
    <mergeCell ref="A1:D1"/>
    <mergeCell ref="E1:G1"/>
    <mergeCell ref="A31:C31"/>
    <mergeCell ref="A35:C35"/>
    <mergeCell ref="A3:C3"/>
    <mergeCell ref="A8:C8"/>
    <mergeCell ref="A25:C25"/>
    <mergeCell ref="A27:C27"/>
    <mergeCell ref="A29:C29"/>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1" r:id="rId2"/>
  <headerFooter alignWithMargins="0">
    <oddHeader>&amp;C&amp;F</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39"/>
  <sheetViews>
    <sheetView zoomScale="85" zoomScaleNormal="85" zoomScalePageLayoutView="0" workbookViewId="0" topLeftCell="A1">
      <selection activeCell="A1" sqref="A1:D1"/>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52" t="s">
        <v>39</v>
      </c>
      <c r="B1" s="253"/>
      <c r="C1" s="253"/>
      <c r="D1" s="253"/>
      <c r="E1" s="254" t="s">
        <v>139</v>
      </c>
      <c r="F1" s="254"/>
      <c r="G1" s="254"/>
      <c r="H1" s="2"/>
      <c r="I1" s="15"/>
      <c r="J1" s="14"/>
    </row>
    <row r="2" spans="1:10" ht="16.5" thickBot="1">
      <c r="A2" s="16"/>
      <c r="B2" s="17"/>
      <c r="C2" s="18"/>
      <c r="D2" s="18"/>
      <c r="E2" s="10"/>
      <c r="F2" s="10"/>
      <c r="G2" s="10"/>
      <c r="H2" s="10"/>
      <c r="I2" s="4"/>
      <c r="J2" s="3"/>
    </row>
    <row r="3" spans="1:11" ht="26.25" customHeight="1" thickBot="1">
      <c r="A3" s="269" t="s">
        <v>3</v>
      </c>
      <c r="B3" s="256"/>
      <c r="C3" s="256"/>
      <c r="D3" s="30"/>
      <c r="E3" s="39">
        <f>'Pryse + Sensatiwiteitsanali'!B79</f>
        <v>6122</v>
      </c>
      <c r="F3" s="30" t="s">
        <v>0</v>
      </c>
      <c r="G3" s="19"/>
      <c r="H3" s="19"/>
      <c r="I3" s="5"/>
      <c r="K3" s="3"/>
    </row>
    <row r="4" spans="1:11" ht="13.5" thickBot="1">
      <c r="A4" s="58"/>
      <c r="B4" s="71"/>
      <c r="C4" s="71"/>
      <c r="D4" s="6"/>
      <c r="E4" s="9"/>
      <c r="F4" s="20"/>
      <c r="G4" s="7"/>
      <c r="H4" s="21"/>
      <c r="I4" s="21"/>
      <c r="J4" s="3"/>
      <c r="K4" s="14"/>
    </row>
    <row r="5" spans="1:11" ht="13.5" thickBot="1">
      <c r="A5" s="58" t="s">
        <v>4</v>
      </c>
      <c r="B5" s="71"/>
      <c r="C5" s="71"/>
      <c r="D5" s="45">
        <v>1.25</v>
      </c>
      <c r="E5" s="45">
        <v>1.5</v>
      </c>
      <c r="F5" s="45">
        <v>1.75</v>
      </c>
      <c r="G5" s="45">
        <v>2</v>
      </c>
      <c r="H5" s="45">
        <v>2.25</v>
      </c>
      <c r="I5" s="43">
        <v>0</v>
      </c>
      <c r="J5" s="3"/>
      <c r="K5" s="14"/>
    </row>
    <row r="6" spans="1:11" ht="13.5" thickBot="1">
      <c r="A6" s="59" t="s">
        <v>5</v>
      </c>
      <c r="B6" s="72"/>
      <c r="C6" s="73"/>
      <c r="D6" s="37">
        <f aca="true" t="shared" si="0" ref="D6:I6">$E$3*D5</f>
        <v>7652.5</v>
      </c>
      <c r="E6" s="37">
        <f t="shared" si="0"/>
        <v>9183</v>
      </c>
      <c r="F6" s="37">
        <f t="shared" si="0"/>
        <v>10713.5</v>
      </c>
      <c r="G6" s="37">
        <f t="shared" si="0"/>
        <v>12244</v>
      </c>
      <c r="H6" s="37">
        <f t="shared" si="0"/>
        <v>13774.5</v>
      </c>
      <c r="I6" s="37">
        <f t="shared" si="0"/>
        <v>0</v>
      </c>
      <c r="J6" s="3"/>
      <c r="K6" s="14"/>
    </row>
    <row r="7" spans="1:15" ht="15.75" thickBot="1">
      <c r="A7" s="61"/>
      <c r="B7" s="62"/>
      <c r="C7" s="62"/>
      <c r="D7" s="23"/>
      <c r="E7" s="23"/>
      <c r="F7" s="23"/>
      <c r="G7" s="23"/>
      <c r="H7" s="23"/>
      <c r="I7" s="23"/>
      <c r="J7" s="3"/>
      <c r="K7" s="14"/>
      <c r="M7" s="242" t="s">
        <v>81</v>
      </c>
      <c r="N7" s="242"/>
      <c r="O7" s="242"/>
    </row>
    <row r="8" spans="1:15" ht="25.5" customHeight="1" thickBot="1">
      <c r="A8" s="261" t="s">
        <v>6</v>
      </c>
      <c r="B8" s="262"/>
      <c r="C8" s="263"/>
      <c r="D8" s="24"/>
      <c r="E8" s="24"/>
      <c r="F8" s="24"/>
      <c r="G8" s="24"/>
      <c r="H8" s="24"/>
      <c r="I8" s="24"/>
      <c r="J8" s="3"/>
      <c r="K8" s="14"/>
      <c r="M8" s="143" t="s">
        <v>74</v>
      </c>
      <c r="N8" s="143" t="s">
        <v>75</v>
      </c>
      <c r="O8" s="143" t="s">
        <v>76</v>
      </c>
    </row>
    <row r="9" spans="1:15" ht="12" customHeight="1">
      <c r="A9" s="63" t="s">
        <v>7</v>
      </c>
      <c r="B9" s="64"/>
      <c r="C9" s="64"/>
      <c r="D9" s="157">
        <v>908.675</v>
      </c>
      <c r="E9" s="157">
        <v>908.675</v>
      </c>
      <c r="F9" s="157">
        <v>908.675</v>
      </c>
      <c r="G9" s="157">
        <v>908.675</v>
      </c>
      <c r="H9" s="157">
        <v>908.675</v>
      </c>
      <c r="I9" s="31">
        <v>0</v>
      </c>
      <c r="J9" s="3"/>
      <c r="K9" s="14"/>
      <c r="M9" s="144">
        <f>D5</f>
        <v>1.25</v>
      </c>
      <c r="N9" s="144">
        <f>D25</f>
        <v>6023.562944133887</v>
      </c>
      <c r="O9" s="144">
        <f>D27</f>
        <v>2656.68</v>
      </c>
    </row>
    <row r="10" spans="1:15" ht="12" customHeight="1">
      <c r="A10" s="60" t="s">
        <v>8</v>
      </c>
      <c r="B10" s="65"/>
      <c r="C10" s="65"/>
      <c r="D10" s="156">
        <v>759.125</v>
      </c>
      <c r="E10" s="156">
        <v>874.95</v>
      </c>
      <c r="F10" s="156">
        <v>990.7750000000001</v>
      </c>
      <c r="G10" s="156">
        <v>1106.6</v>
      </c>
      <c r="H10" s="156">
        <v>1222.4250000000002</v>
      </c>
      <c r="I10" s="32">
        <v>0</v>
      </c>
      <c r="J10" s="3"/>
      <c r="K10" s="14"/>
      <c r="M10" s="144">
        <f>E5</f>
        <v>1.5</v>
      </c>
      <c r="N10" s="144">
        <f>E25</f>
        <v>6351.485625676549</v>
      </c>
      <c r="O10" s="144">
        <f>E27</f>
        <v>2656.68</v>
      </c>
    </row>
    <row r="11" spans="1:15" ht="12" customHeight="1">
      <c r="A11" s="60" t="s">
        <v>9</v>
      </c>
      <c r="B11" s="65"/>
      <c r="C11" s="65"/>
      <c r="D11" s="156">
        <v>154.19565</v>
      </c>
      <c r="E11" s="156">
        <v>154.19565</v>
      </c>
      <c r="F11" s="156">
        <v>154.19565</v>
      </c>
      <c r="G11" s="156">
        <v>154.19565</v>
      </c>
      <c r="H11" s="156">
        <v>154.19565</v>
      </c>
      <c r="I11" s="32">
        <v>0</v>
      </c>
      <c r="J11" s="3"/>
      <c r="K11" s="14"/>
      <c r="M11" s="144">
        <f>F5</f>
        <v>1.75</v>
      </c>
      <c r="N11" s="144">
        <f>F25</f>
        <v>6679.4083072192125</v>
      </c>
      <c r="O11" s="144">
        <f>F27</f>
        <v>2656.68</v>
      </c>
    </row>
    <row r="12" spans="1:15" ht="12" customHeight="1">
      <c r="A12" s="60" t="s">
        <v>10</v>
      </c>
      <c r="B12" s="65"/>
      <c r="C12" s="65"/>
      <c r="D12" s="156">
        <v>885.3978450000001</v>
      </c>
      <c r="E12" s="156">
        <v>897.96297</v>
      </c>
      <c r="F12" s="156">
        <v>910.5280950000001</v>
      </c>
      <c r="G12" s="156">
        <v>923.09322</v>
      </c>
      <c r="H12" s="156">
        <v>935.658345</v>
      </c>
      <c r="I12" s="32">
        <v>0</v>
      </c>
      <c r="J12" s="3"/>
      <c r="K12" s="14"/>
      <c r="M12" s="144">
        <f>G5</f>
        <v>2</v>
      </c>
      <c r="N12" s="144">
        <f>G25</f>
        <v>7007.330988761874</v>
      </c>
      <c r="O12" s="144">
        <f>G27</f>
        <v>2656.68</v>
      </c>
    </row>
    <row r="13" spans="1:15" ht="12" customHeight="1">
      <c r="A13" s="60" t="s">
        <v>11</v>
      </c>
      <c r="B13" s="65"/>
      <c r="C13" s="65"/>
      <c r="D13" s="156">
        <v>716.3521764</v>
      </c>
      <c r="E13" s="156">
        <v>718.0578489000001</v>
      </c>
      <c r="F13" s="156">
        <v>719.7635214000001</v>
      </c>
      <c r="G13" s="156">
        <v>721.4691939</v>
      </c>
      <c r="H13" s="156">
        <v>723.1748664</v>
      </c>
      <c r="I13" s="32">
        <v>0</v>
      </c>
      <c r="J13" s="3"/>
      <c r="K13" s="14"/>
      <c r="M13" s="144">
        <f>H5</f>
        <v>2.25</v>
      </c>
      <c r="N13" s="144">
        <f>H25</f>
        <v>7335.253670304539</v>
      </c>
      <c r="O13" s="144">
        <f>H27</f>
        <v>2656.68</v>
      </c>
    </row>
    <row r="14" spans="1:15" ht="12" customHeight="1">
      <c r="A14" s="60" t="s">
        <v>12</v>
      </c>
      <c r="B14" s="65"/>
      <c r="C14" s="65"/>
      <c r="D14" s="156">
        <v>707.724</v>
      </c>
      <c r="E14" s="156">
        <v>707.724</v>
      </c>
      <c r="F14" s="156">
        <v>707.724</v>
      </c>
      <c r="G14" s="156">
        <v>707.724</v>
      </c>
      <c r="H14" s="156">
        <v>707.724</v>
      </c>
      <c r="I14" s="32">
        <v>0</v>
      </c>
      <c r="J14" s="3"/>
      <c r="K14" s="14"/>
      <c r="M14" s="144">
        <f>I5</f>
        <v>0</v>
      </c>
      <c r="N14" s="144">
        <f>I25</f>
        <v>0</v>
      </c>
      <c r="O14" s="144">
        <f>I27</f>
        <v>0</v>
      </c>
    </row>
    <row r="15" spans="1:11" ht="12" customHeight="1">
      <c r="A15" s="60" t="s">
        <v>13</v>
      </c>
      <c r="B15" s="65"/>
      <c r="C15" s="65"/>
      <c r="D15" s="156">
        <v>522.5113062400003</v>
      </c>
      <c r="E15" s="156">
        <v>522.5113062400003</v>
      </c>
      <c r="F15" s="156">
        <v>522.5113062400003</v>
      </c>
      <c r="G15" s="156">
        <v>522.5113062400003</v>
      </c>
      <c r="H15" s="156">
        <v>522.5113062400003</v>
      </c>
      <c r="I15" s="32">
        <v>0</v>
      </c>
      <c r="J15" s="3"/>
      <c r="K15" s="14"/>
    </row>
    <row r="16" spans="1:11" ht="12" customHeight="1">
      <c r="A16" s="60" t="s">
        <v>14</v>
      </c>
      <c r="B16" s="65"/>
      <c r="C16" s="65"/>
      <c r="D16" s="156">
        <v>150.80812500000002</v>
      </c>
      <c r="E16" s="156">
        <v>180.96974999999998</v>
      </c>
      <c r="F16" s="156">
        <v>211.13137500000002</v>
      </c>
      <c r="G16" s="156">
        <v>241.293</v>
      </c>
      <c r="H16" s="156">
        <v>271.45462499999996</v>
      </c>
      <c r="I16" s="32">
        <v>0</v>
      </c>
      <c r="J16" s="3"/>
      <c r="K16" s="14"/>
    </row>
    <row r="17" spans="1:11" ht="12" customHeight="1">
      <c r="A17" s="60" t="s">
        <v>15</v>
      </c>
      <c r="B17" s="65"/>
      <c r="C17" s="65"/>
      <c r="D17" s="156">
        <v>222.27358181024732</v>
      </c>
      <c r="E17" s="156">
        <v>234.37415246242125</v>
      </c>
      <c r="F17" s="156">
        <v>246.47472311459518</v>
      </c>
      <c r="G17" s="156">
        <v>258.57529376676905</v>
      </c>
      <c r="H17" s="156">
        <v>270.675864418943</v>
      </c>
      <c r="I17" s="32">
        <v>0</v>
      </c>
      <c r="J17" s="3"/>
      <c r="K17" s="14"/>
    </row>
    <row r="18" spans="1:11" ht="12" customHeight="1">
      <c r="A18" s="60" t="s">
        <v>16</v>
      </c>
      <c r="B18" s="65"/>
      <c r="C18" s="65"/>
      <c r="D18" s="156">
        <v>0</v>
      </c>
      <c r="E18" s="156">
        <v>0</v>
      </c>
      <c r="F18" s="156">
        <v>0</v>
      </c>
      <c r="G18" s="156">
        <v>0</v>
      </c>
      <c r="H18" s="156">
        <v>0</v>
      </c>
      <c r="I18" s="32">
        <v>0</v>
      </c>
      <c r="J18" s="3"/>
      <c r="K18" s="14"/>
    </row>
    <row r="19" spans="1:11" ht="12" customHeight="1">
      <c r="A19" s="60" t="s">
        <v>17</v>
      </c>
      <c r="B19" s="65"/>
      <c r="C19" s="65"/>
      <c r="D19" s="156">
        <v>696.0375</v>
      </c>
      <c r="E19" s="156">
        <v>835.245</v>
      </c>
      <c r="F19" s="156">
        <v>974.4525</v>
      </c>
      <c r="G19" s="156">
        <v>1113.6599999999999</v>
      </c>
      <c r="H19" s="156">
        <v>1252.8675</v>
      </c>
      <c r="I19" s="32">
        <v>0</v>
      </c>
      <c r="J19" s="3"/>
      <c r="K19" s="14"/>
    </row>
    <row r="20" spans="1:11" ht="12" customHeight="1">
      <c r="A20" s="60" t="s">
        <v>18</v>
      </c>
      <c r="B20" s="65"/>
      <c r="C20" s="65"/>
      <c r="D20" s="156">
        <v>0</v>
      </c>
      <c r="E20" s="156">
        <v>0</v>
      </c>
      <c r="F20" s="156">
        <v>0</v>
      </c>
      <c r="G20" s="156">
        <v>0</v>
      </c>
      <c r="H20" s="156">
        <v>0</v>
      </c>
      <c r="I20" s="32">
        <v>0</v>
      </c>
      <c r="J20" s="3"/>
      <c r="K20" s="14"/>
    </row>
    <row r="21" spans="1:11" ht="12" customHeight="1">
      <c r="A21" s="60" t="s">
        <v>19</v>
      </c>
      <c r="B21" s="65"/>
      <c r="C21" s="65"/>
      <c r="D21" s="156">
        <v>0</v>
      </c>
      <c r="E21" s="156">
        <v>0</v>
      </c>
      <c r="F21" s="156">
        <v>0</v>
      </c>
      <c r="G21" s="156">
        <v>0</v>
      </c>
      <c r="H21" s="156">
        <v>0</v>
      </c>
      <c r="I21" s="32">
        <v>0</v>
      </c>
      <c r="J21" s="3"/>
      <c r="K21" s="14"/>
    </row>
    <row r="22" spans="1:11" ht="12" customHeight="1">
      <c r="A22" s="60" t="s">
        <v>20</v>
      </c>
      <c r="B22" s="65"/>
      <c r="C22" s="65"/>
      <c r="D22" s="156">
        <v>0</v>
      </c>
      <c r="E22" s="156">
        <v>0</v>
      </c>
      <c r="F22" s="156">
        <v>0</v>
      </c>
      <c r="G22" s="156">
        <v>0</v>
      </c>
      <c r="H22" s="156">
        <v>0</v>
      </c>
      <c r="I22" s="32">
        <v>0</v>
      </c>
      <c r="J22" s="3"/>
      <c r="K22" s="14"/>
    </row>
    <row r="23" spans="1:11" ht="12.75">
      <c r="A23" s="60" t="s">
        <v>21</v>
      </c>
      <c r="B23" s="65"/>
      <c r="C23" s="65"/>
      <c r="D23" s="156">
        <v>0</v>
      </c>
      <c r="E23" s="156">
        <v>0</v>
      </c>
      <c r="F23" s="156">
        <v>0</v>
      </c>
      <c r="G23" s="156">
        <v>0</v>
      </c>
      <c r="H23" s="156">
        <v>0</v>
      </c>
      <c r="I23" s="32">
        <v>0</v>
      </c>
      <c r="J23" s="3"/>
      <c r="K23" s="14"/>
    </row>
    <row r="24" spans="1:11" ht="13.5" thickBot="1">
      <c r="A24" s="60" t="s">
        <v>22</v>
      </c>
      <c r="B24" s="65"/>
      <c r="C24" s="65"/>
      <c r="D24" s="156">
        <v>300.46275968363807</v>
      </c>
      <c r="E24" s="156">
        <v>316.81994807412707</v>
      </c>
      <c r="F24" s="156">
        <v>333.1771364646163</v>
      </c>
      <c r="G24" s="156">
        <v>349.53432485510535</v>
      </c>
      <c r="H24" s="156">
        <v>365.8915132455945</v>
      </c>
      <c r="I24" s="32">
        <v>0</v>
      </c>
      <c r="J24" s="3"/>
      <c r="K24" s="14"/>
    </row>
    <row r="25" spans="1:11" ht="27.75" customHeight="1" thickBot="1">
      <c r="A25" s="255" t="s">
        <v>23</v>
      </c>
      <c r="B25" s="264"/>
      <c r="C25" s="265"/>
      <c r="D25" s="33">
        <f>SUM(D9:D24)</f>
        <v>6023.562944133887</v>
      </c>
      <c r="E25" s="33">
        <f>SUM(E9:E24)</f>
        <v>6351.485625676549</v>
      </c>
      <c r="F25" s="33">
        <f>SUM(F9:F24)</f>
        <v>6679.4083072192125</v>
      </c>
      <c r="G25" s="33">
        <f>SUM(G9:G24)</f>
        <v>7007.330988761874</v>
      </c>
      <c r="H25" s="33">
        <f>SUM(H9:H24)</f>
        <v>7335.253670304539</v>
      </c>
      <c r="I25" s="33">
        <v>0</v>
      </c>
      <c r="J25" s="3"/>
      <c r="K25" s="14"/>
    </row>
    <row r="26" spans="1:11" ht="13.5" thickBot="1">
      <c r="A26" s="66"/>
      <c r="B26" s="67"/>
      <c r="C26" s="67"/>
      <c r="D26" s="34"/>
      <c r="E26" s="34"/>
      <c r="F26" s="34"/>
      <c r="G26" s="34"/>
      <c r="H26" s="34"/>
      <c r="I26" s="34"/>
      <c r="J26" s="3"/>
      <c r="K26" s="14"/>
    </row>
    <row r="27" spans="1:11" ht="13.5" thickBot="1">
      <c r="A27" s="266" t="s">
        <v>24</v>
      </c>
      <c r="B27" s="267"/>
      <c r="C27" s="268"/>
      <c r="D27" s="159">
        <v>2656.68</v>
      </c>
      <c r="E27" s="147">
        <f>D27</f>
        <v>2656.68</v>
      </c>
      <c r="F27" s="147">
        <f>E27</f>
        <v>2656.68</v>
      </c>
      <c r="G27" s="147">
        <f>F27</f>
        <v>2656.68</v>
      </c>
      <c r="H27" s="147">
        <f>G27</f>
        <v>2656.68</v>
      </c>
      <c r="I27" s="147"/>
      <c r="J27" s="27"/>
      <c r="K27" s="14"/>
    </row>
    <row r="28" spans="1:11" ht="13.5" thickBot="1">
      <c r="A28" s="66"/>
      <c r="B28" s="67"/>
      <c r="C28" s="67"/>
      <c r="D28" s="34"/>
      <c r="E28" s="34"/>
      <c r="F28" s="34"/>
      <c r="G28" s="34"/>
      <c r="H28" s="34"/>
      <c r="I28" s="34"/>
      <c r="J28" s="3"/>
      <c r="K28" s="14"/>
    </row>
    <row r="29" spans="1:11" ht="26.25" customHeight="1" thickBot="1">
      <c r="A29" s="255" t="s">
        <v>25</v>
      </c>
      <c r="B29" s="264"/>
      <c r="C29" s="265"/>
      <c r="D29" s="33">
        <f>D25+D27</f>
        <v>8680.242944133886</v>
      </c>
      <c r="E29" s="33">
        <f>E25+E27</f>
        <v>9008.16562567655</v>
      </c>
      <c r="F29" s="33">
        <f>F25+F27</f>
        <v>9336.088307219212</v>
      </c>
      <c r="G29" s="33">
        <f>G25+G27</f>
        <v>9664.010988761875</v>
      </c>
      <c r="H29" s="33">
        <f>H25+H27</f>
        <v>9991.93367030454</v>
      </c>
      <c r="I29" s="33">
        <v>0</v>
      </c>
      <c r="J29" s="3"/>
      <c r="K29" s="3"/>
    </row>
    <row r="30" spans="1:11" ht="13.5" thickBot="1">
      <c r="A30" s="61"/>
      <c r="B30" s="62"/>
      <c r="C30" s="62"/>
      <c r="D30" s="36"/>
      <c r="E30" s="36"/>
      <c r="F30" s="36"/>
      <c r="G30" s="36"/>
      <c r="H30" s="36"/>
      <c r="I30" s="36"/>
      <c r="J30" s="3"/>
      <c r="K30" s="3"/>
    </row>
    <row r="31" spans="1:11" ht="28.5" customHeight="1" thickBot="1">
      <c r="A31" s="255" t="s">
        <v>26</v>
      </c>
      <c r="B31" s="256"/>
      <c r="C31" s="257"/>
      <c r="D31" s="33">
        <f>D29/D5</f>
        <v>6944.194355307109</v>
      </c>
      <c r="E31" s="33">
        <f>E29/E5</f>
        <v>6005.443750451032</v>
      </c>
      <c r="F31" s="33">
        <f>F29/F5</f>
        <v>5334.907604125264</v>
      </c>
      <c r="G31" s="33">
        <f>G29/G5</f>
        <v>4832.005494380937</v>
      </c>
      <c r="H31" s="33">
        <f>H29/H5</f>
        <v>4440.8594090242395</v>
      </c>
      <c r="I31" s="33">
        <v>0</v>
      </c>
      <c r="J31" s="3"/>
      <c r="K31" s="3"/>
    </row>
    <row r="32" spans="1:11" ht="13.5" thickBot="1">
      <c r="A32" s="61"/>
      <c r="B32" s="62"/>
      <c r="C32" s="62"/>
      <c r="D32" s="36"/>
      <c r="E32" s="36"/>
      <c r="F32" s="36"/>
      <c r="G32" s="36"/>
      <c r="H32" s="36"/>
      <c r="I32" s="36"/>
      <c r="J32" s="3"/>
      <c r="K32" s="14"/>
    </row>
    <row r="33" spans="1:11" ht="13.5" thickBot="1">
      <c r="A33" s="59" t="s">
        <v>27</v>
      </c>
      <c r="B33" s="72"/>
      <c r="C33" s="72"/>
      <c r="D33" s="33">
        <f>'Pryse + Sensatiwiteitsanali'!D6</f>
        <v>128</v>
      </c>
      <c r="E33" s="33">
        <f>$D$33</f>
        <v>128</v>
      </c>
      <c r="F33" s="33">
        <f>$D$33</f>
        <v>128</v>
      </c>
      <c r="G33" s="33">
        <f>$D$33</f>
        <v>128</v>
      </c>
      <c r="H33" s="33">
        <f>$D$33</f>
        <v>128</v>
      </c>
      <c r="I33" s="33">
        <v>0</v>
      </c>
      <c r="J33" s="3"/>
      <c r="K33" s="14"/>
    </row>
    <row r="34" spans="1:11" ht="13.5" thickBot="1">
      <c r="A34" s="61"/>
      <c r="B34" s="62"/>
      <c r="C34" s="62"/>
      <c r="D34" s="36"/>
      <c r="E34" s="36"/>
      <c r="F34" s="36"/>
      <c r="G34" s="36"/>
      <c r="H34" s="36"/>
      <c r="I34" s="36"/>
      <c r="J34" s="3"/>
      <c r="K34" s="14"/>
    </row>
    <row r="35" spans="1:11" ht="26.25" customHeight="1" thickBot="1">
      <c r="A35" s="269" t="s">
        <v>28</v>
      </c>
      <c r="B35" s="256"/>
      <c r="C35" s="257"/>
      <c r="D35" s="35">
        <f>D31+D33</f>
        <v>7072.194355307109</v>
      </c>
      <c r="E35" s="35">
        <f>E31+E33</f>
        <v>6133.443750451032</v>
      </c>
      <c r="F35" s="35">
        <f>F31+F33</f>
        <v>5462.907604125264</v>
      </c>
      <c r="G35" s="35">
        <f>G31+G33</f>
        <v>4960.005494380937</v>
      </c>
      <c r="H35" s="35">
        <f>H31+H33</f>
        <v>4568.8594090242395</v>
      </c>
      <c r="I35" s="35">
        <v>0</v>
      </c>
      <c r="J35" s="3"/>
      <c r="K35" s="14"/>
    </row>
    <row r="36" spans="1:11" ht="13.5" thickBot="1">
      <c r="A36" s="68" t="s">
        <v>29</v>
      </c>
      <c r="B36" s="69"/>
      <c r="C36" s="70"/>
      <c r="D36" s="35">
        <f>'Pryse + Sensatiwiteitsanali'!B6</f>
        <v>6250</v>
      </c>
      <c r="E36" s="35">
        <f>$D$36</f>
        <v>6250</v>
      </c>
      <c r="F36" s="35">
        <f>$D$36</f>
        <v>6250</v>
      </c>
      <c r="G36" s="35">
        <f>$D$36</f>
        <v>6250</v>
      </c>
      <c r="H36" s="35">
        <f>$D$36</f>
        <v>6250</v>
      </c>
      <c r="I36" s="35">
        <v>0</v>
      </c>
      <c r="J36" s="14"/>
      <c r="K36" s="3"/>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row r="81" ht="12.75"/>
    <row r="82" ht="12.75"/>
    <row r="83" ht="12.75"/>
    <row r="84" ht="12.75"/>
    <row r="85" ht="12.75"/>
    <row r="86" ht="12.75"/>
  </sheetData>
  <sheetProtection/>
  <mergeCells count="10">
    <mergeCell ref="M7:O7"/>
    <mergeCell ref="A1:D1"/>
    <mergeCell ref="E1:G1"/>
    <mergeCell ref="A31:C31"/>
    <mergeCell ref="A35:C35"/>
    <mergeCell ref="A3:C3"/>
    <mergeCell ref="A8:C8"/>
    <mergeCell ref="A25:C25"/>
    <mergeCell ref="A27:C27"/>
    <mergeCell ref="A29:C29"/>
  </mergeCells>
  <printOptions/>
  <pageMargins left="0.7086614173228347" right="0.7086614173228347" top="0.7480314960629921" bottom="0.7480314960629921" header="0.31496062992125984" footer="0.31496062992125984"/>
  <pageSetup fitToHeight="0" fitToWidth="1" horizontalDpi="600" verticalDpi="600" orientation="portrait" scale="56" r:id="rId2"/>
  <headerFooter>
    <oddHeader>&amp;C&amp;F</oddHeader>
    <oddFooter>&amp;C&amp;A&amp;RPage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39"/>
  <sheetViews>
    <sheetView zoomScale="85" zoomScaleNormal="85" zoomScalePageLayoutView="0" workbookViewId="0" topLeftCell="A1">
      <selection activeCell="A1" sqref="A1:D1"/>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29.25" customHeight="1" thickBot="1">
      <c r="A1" s="252" t="s">
        <v>2</v>
      </c>
      <c r="B1" s="253"/>
      <c r="C1" s="253"/>
      <c r="D1" s="253"/>
      <c r="E1" s="254" t="s">
        <v>139</v>
      </c>
      <c r="F1" s="254"/>
      <c r="G1" s="254"/>
      <c r="H1" s="2"/>
      <c r="I1" s="15"/>
      <c r="J1" s="14"/>
    </row>
    <row r="2" spans="1:10" ht="16.5" thickBot="1">
      <c r="A2" s="16"/>
      <c r="B2" s="17"/>
      <c r="C2" s="18"/>
      <c r="D2" s="18"/>
      <c r="E2" s="10"/>
      <c r="F2" s="10"/>
      <c r="G2" s="10"/>
      <c r="H2" s="10"/>
      <c r="I2" s="4"/>
      <c r="J2" s="3"/>
    </row>
    <row r="3" spans="1:11" ht="27.75" customHeight="1" thickBot="1">
      <c r="A3" s="269" t="s">
        <v>3</v>
      </c>
      <c r="B3" s="256"/>
      <c r="C3" s="256"/>
      <c r="D3" s="30"/>
      <c r="E3" s="39">
        <f>'Pryse + Sensatiwiteitsanali'!B92</f>
        <v>3672</v>
      </c>
      <c r="F3" s="30" t="s">
        <v>0</v>
      </c>
      <c r="G3" s="19"/>
      <c r="H3" s="19"/>
      <c r="I3" s="5"/>
      <c r="K3" s="3"/>
    </row>
    <row r="4" spans="1:11" ht="13.5" thickBot="1">
      <c r="A4" s="58"/>
      <c r="B4" s="71"/>
      <c r="C4" s="71"/>
      <c r="D4" s="6"/>
      <c r="E4" s="9"/>
      <c r="F4" s="20"/>
      <c r="G4" s="7"/>
      <c r="H4" s="21"/>
      <c r="I4" s="21"/>
      <c r="J4" s="3"/>
      <c r="K4" s="14"/>
    </row>
    <row r="5" spans="1:11" ht="13.5" thickBot="1">
      <c r="A5" s="58" t="s">
        <v>4</v>
      </c>
      <c r="B5" s="71"/>
      <c r="C5" s="71"/>
      <c r="D5" s="40">
        <v>2</v>
      </c>
      <c r="E5" s="40">
        <v>2.5</v>
      </c>
      <c r="F5" s="40">
        <v>3</v>
      </c>
      <c r="G5" s="40">
        <v>3.5</v>
      </c>
      <c r="H5" s="40">
        <v>4</v>
      </c>
      <c r="I5" s="22"/>
      <c r="J5" s="3"/>
      <c r="K5" s="14"/>
    </row>
    <row r="6" spans="1:11" ht="13.5" thickBot="1">
      <c r="A6" s="59" t="s">
        <v>5</v>
      </c>
      <c r="B6" s="72"/>
      <c r="C6" s="73"/>
      <c r="D6" s="37">
        <f aca="true" t="shared" si="0" ref="D6:I6">$E$3*D5</f>
        <v>7344</v>
      </c>
      <c r="E6" s="37">
        <f t="shared" si="0"/>
        <v>9180</v>
      </c>
      <c r="F6" s="37">
        <f t="shared" si="0"/>
        <v>11016</v>
      </c>
      <c r="G6" s="37">
        <f t="shared" si="0"/>
        <v>12852</v>
      </c>
      <c r="H6" s="37">
        <f t="shared" si="0"/>
        <v>14688</v>
      </c>
      <c r="I6" s="37">
        <f t="shared" si="0"/>
        <v>0</v>
      </c>
      <c r="J6" s="3"/>
      <c r="K6" s="14"/>
    </row>
    <row r="7" spans="1:15" ht="15.75" thickBot="1">
      <c r="A7" s="61"/>
      <c r="B7" s="62"/>
      <c r="C7" s="62"/>
      <c r="D7" s="41"/>
      <c r="E7" s="23"/>
      <c r="F7" s="23"/>
      <c r="G7" s="23"/>
      <c r="H7" s="23"/>
      <c r="I7" s="23"/>
      <c r="J7" s="3"/>
      <c r="K7" s="14"/>
      <c r="M7" s="242" t="s">
        <v>82</v>
      </c>
      <c r="N7" s="242"/>
      <c r="O7" s="242"/>
    </row>
    <row r="8" spans="1:15" ht="15.75" thickBot="1">
      <c r="A8" s="261" t="s">
        <v>6</v>
      </c>
      <c r="B8" s="262"/>
      <c r="C8" s="263"/>
      <c r="D8" s="42"/>
      <c r="E8" s="24"/>
      <c r="F8" s="24"/>
      <c r="G8" s="24"/>
      <c r="H8" s="24"/>
      <c r="I8" s="24"/>
      <c r="J8" s="3"/>
      <c r="K8" s="14"/>
      <c r="M8" s="143" t="s">
        <v>74</v>
      </c>
      <c r="N8" s="143" t="s">
        <v>75</v>
      </c>
      <c r="O8" s="143" t="s">
        <v>76</v>
      </c>
    </row>
    <row r="9" spans="1:15" ht="12" customHeight="1">
      <c r="A9" s="63" t="s">
        <v>7</v>
      </c>
      <c r="B9" s="64"/>
      <c r="C9" s="64"/>
      <c r="D9" s="157">
        <v>360</v>
      </c>
      <c r="E9" s="157">
        <v>405</v>
      </c>
      <c r="F9" s="157">
        <v>450</v>
      </c>
      <c r="G9" s="157">
        <v>450</v>
      </c>
      <c r="H9" s="157">
        <v>495</v>
      </c>
      <c r="I9" s="31"/>
      <c r="J9" s="3"/>
      <c r="K9" s="14"/>
      <c r="M9" s="144">
        <f>D5</f>
        <v>2</v>
      </c>
      <c r="N9" s="144">
        <f>D25</f>
        <v>5474.468298589207</v>
      </c>
      <c r="O9" s="144">
        <f>D27</f>
        <v>2574.2000000000003</v>
      </c>
    </row>
    <row r="10" spans="1:15" ht="12" customHeight="1">
      <c r="A10" s="60" t="s">
        <v>8</v>
      </c>
      <c r="B10" s="65"/>
      <c r="C10" s="65"/>
      <c r="D10" s="156">
        <v>1344.4</v>
      </c>
      <c r="E10" s="156">
        <v>1680.5000000000002</v>
      </c>
      <c r="F10" s="156">
        <v>2016.6000000000001</v>
      </c>
      <c r="G10" s="156">
        <v>2352.7000000000003</v>
      </c>
      <c r="H10" s="156">
        <v>2688.8</v>
      </c>
      <c r="I10" s="32"/>
      <c r="J10" s="3"/>
      <c r="K10" s="14"/>
      <c r="M10" s="144">
        <f>E5</f>
        <v>2.5</v>
      </c>
      <c r="N10" s="144">
        <f>E25</f>
        <v>5803.090194137955</v>
      </c>
      <c r="O10" s="144">
        <f>E27</f>
        <v>2574.2000000000003</v>
      </c>
    </row>
    <row r="11" spans="1:15" ht="12" customHeight="1">
      <c r="A11" s="60" t="s">
        <v>9</v>
      </c>
      <c r="B11" s="65"/>
      <c r="C11" s="65"/>
      <c r="D11" s="156">
        <v>154.19565</v>
      </c>
      <c r="E11" s="156">
        <v>154.19565</v>
      </c>
      <c r="F11" s="156">
        <v>154.19565</v>
      </c>
      <c r="G11" s="156">
        <v>154.19565</v>
      </c>
      <c r="H11" s="156">
        <v>154.19565</v>
      </c>
      <c r="I11" s="32"/>
      <c r="J11" s="3"/>
      <c r="K11" s="14"/>
      <c r="M11" s="144">
        <f>F5</f>
        <v>3</v>
      </c>
      <c r="N11" s="144">
        <f>F25</f>
        <v>6399.686272936704</v>
      </c>
      <c r="O11" s="144">
        <f>F27</f>
        <v>2574.2000000000003</v>
      </c>
    </row>
    <row r="12" spans="1:15" ht="12" customHeight="1">
      <c r="A12" s="60" t="s">
        <v>10</v>
      </c>
      <c r="B12" s="65"/>
      <c r="C12" s="65"/>
      <c r="D12" s="156">
        <v>908.36192</v>
      </c>
      <c r="E12" s="156">
        <v>799.3035199999999</v>
      </c>
      <c r="F12" s="156">
        <v>944.8524199999999</v>
      </c>
      <c r="G12" s="156">
        <v>963.0976699999999</v>
      </c>
      <c r="H12" s="156">
        <v>981.3429199999999</v>
      </c>
      <c r="I12" s="32"/>
      <c r="J12" s="3"/>
      <c r="K12" s="14"/>
      <c r="M12" s="144">
        <f>G5</f>
        <v>3.5</v>
      </c>
      <c r="N12" s="144">
        <f>G25</f>
        <v>6814.932760110456</v>
      </c>
      <c r="O12" s="144">
        <f>G27</f>
        <v>2574.2000000000003</v>
      </c>
    </row>
    <row r="13" spans="1:15" ht="12" customHeight="1">
      <c r="A13" s="60" t="s">
        <v>11</v>
      </c>
      <c r="B13" s="65"/>
      <c r="C13" s="65"/>
      <c r="D13" s="156">
        <v>726.8672772900001</v>
      </c>
      <c r="E13" s="156">
        <v>730.6197567900001</v>
      </c>
      <c r="F13" s="156">
        <v>734.37223629</v>
      </c>
      <c r="G13" s="156">
        <v>738.12471579</v>
      </c>
      <c r="H13" s="156">
        <v>741.8771952900001</v>
      </c>
      <c r="I13" s="32"/>
      <c r="J13" s="3"/>
      <c r="K13" s="14"/>
      <c r="M13" s="144">
        <f>H5</f>
        <v>4</v>
      </c>
      <c r="N13" s="144">
        <f>H25</f>
        <v>7277.5417472842055</v>
      </c>
      <c r="O13" s="144">
        <f>H27</f>
        <v>2574.2000000000003</v>
      </c>
    </row>
    <row r="14" spans="1:15" ht="12" customHeight="1">
      <c r="A14" s="60" t="s">
        <v>12</v>
      </c>
      <c r="B14" s="65"/>
      <c r="C14" s="65"/>
      <c r="D14" s="156">
        <v>786.2269184000002</v>
      </c>
      <c r="E14" s="156">
        <v>786.2269184000002</v>
      </c>
      <c r="F14" s="156">
        <v>786.2269184000002</v>
      </c>
      <c r="G14" s="156">
        <v>786.2269184000002</v>
      </c>
      <c r="H14" s="156">
        <v>786.2269184000002</v>
      </c>
      <c r="I14" s="32"/>
      <c r="J14" s="3"/>
      <c r="K14" s="14"/>
      <c r="M14" s="144">
        <f>I5</f>
        <v>0</v>
      </c>
      <c r="N14" s="144">
        <f>I25</f>
        <v>0</v>
      </c>
      <c r="O14" s="144">
        <f>I27</f>
        <v>0</v>
      </c>
    </row>
    <row r="15" spans="1:11" ht="12" customHeight="1">
      <c r="A15" s="60" t="s">
        <v>13</v>
      </c>
      <c r="B15" s="65"/>
      <c r="C15" s="65"/>
      <c r="D15" s="156">
        <v>583.6002923520002</v>
      </c>
      <c r="E15" s="156">
        <v>583.6002923520002</v>
      </c>
      <c r="F15" s="156">
        <v>583.6002923520002</v>
      </c>
      <c r="G15" s="156">
        <v>583.6002923520002</v>
      </c>
      <c r="H15" s="156">
        <v>583.6002923520002</v>
      </c>
      <c r="I15" s="32"/>
      <c r="J15" s="3"/>
      <c r="K15" s="14"/>
    </row>
    <row r="16" spans="1:11" ht="12" customHeight="1">
      <c r="A16" s="60" t="s">
        <v>14</v>
      </c>
      <c r="B16" s="65"/>
      <c r="C16" s="65"/>
      <c r="D16" s="156">
        <v>145.743</v>
      </c>
      <c r="E16" s="156">
        <v>182.17875</v>
      </c>
      <c r="F16" s="156">
        <v>218.6145</v>
      </c>
      <c r="G16" s="156">
        <v>255.05025000000003</v>
      </c>
      <c r="H16" s="156">
        <v>291.486</v>
      </c>
      <c r="I16" s="32"/>
      <c r="J16" s="3"/>
      <c r="K16" s="14"/>
    </row>
    <row r="17" spans="1:11" ht="12" customHeight="1">
      <c r="A17" s="60" t="s">
        <v>15</v>
      </c>
      <c r="B17" s="65"/>
      <c r="C17" s="65"/>
      <c r="D17" s="156">
        <v>0</v>
      </c>
      <c r="E17" s="156">
        <v>0</v>
      </c>
      <c r="F17" s="156">
        <v>0</v>
      </c>
      <c r="G17" s="156">
        <v>0</v>
      </c>
      <c r="H17" s="156">
        <v>0</v>
      </c>
      <c r="I17" s="32"/>
      <c r="J17" s="3"/>
      <c r="K17" s="14"/>
    </row>
    <row r="18" spans="1:11" ht="12" customHeight="1">
      <c r="A18" s="60" t="s">
        <v>16</v>
      </c>
      <c r="B18" s="65"/>
      <c r="C18" s="65"/>
      <c r="D18" s="156">
        <v>0</v>
      </c>
      <c r="E18" s="156">
        <v>0</v>
      </c>
      <c r="F18" s="156">
        <v>0</v>
      </c>
      <c r="G18" s="156">
        <v>0</v>
      </c>
      <c r="H18" s="156">
        <v>0</v>
      </c>
      <c r="I18" s="32"/>
      <c r="J18" s="3"/>
      <c r="K18" s="14"/>
    </row>
    <row r="19" spans="1:11" ht="12" customHeight="1">
      <c r="A19" s="60" t="s">
        <v>17</v>
      </c>
      <c r="B19" s="65"/>
      <c r="C19" s="65"/>
      <c r="D19" s="156">
        <v>0</v>
      </c>
      <c r="E19" s="156">
        <v>0</v>
      </c>
      <c r="F19" s="156">
        <v>0</v>
      </c>
      <c r="G19" s="156">
        <v>0</v>
      </c>
      <c r="H19" s="156">
        <v>0</v>
      </c>
      <c r="I19" s="32"/>
      <c r="J19" s="3"/>
      <c r="K19" s="14"/>
    </row>
    <row r="20" spans="1:11" ht="12" customHeight="1">
      <c r="A20" s="60" t="s">
        <v>18</v>
      </c>
      <c r="B20" s="65"/>
      <c r="C20" s="65"/>
      <c r="D20" s="156">
        <v>0</v>
      </c>
      <c r="E20" s="156">
        <v>0</v>
      </c>
      <c r="F20" s="156">
        <v>0</v>
      </c>
      <c r="G20" s="156">
        <v>0</v>
      </c>
      <c r="H20" s="156">
        <v>0</v>
      </c>
      <c r="I20" s="32"/>
      <c r="J20" s="3"/>
      <c r="K20" s="14"/>
    </row>
    <row r="21" spans="1:11" ht="12" customHeight="1">
      <c r="A21" s="60" t="s">
        <v>19</v>
      </c>
      <c r="B21" s="65"/>
      <c r="C21" s="65"/>
      <c r="D21" s="156">
        <v>192</v>
      </c>
      <c r="E21" s="156">
        <v>192</v>
      </c>
      <c r="F21" s="156">
        <v>192</v>
      </c>
      <c r="G21" s="156">
        <v>192</v>
      </c>
      <c r="H21" s="156">
        <v>192</v>
      </c>
      <c r="I21" s="32"/>
      <c r="J21" s="3"/>
      <c r="K21" s="14"/>
    </row>
    <row r="22" spans="1:11" ht="12" customHeight="1">
      <c r="A22" s="60" t="s">
        <v>20</v>
      </c>
      <c r="B22" s="65"/>
      <c r="C22" s="65"/>
      <c r="D22" s="156">
        <v>0</v>
      </c>
      <c r="E22" s="156">
        <v>0</v>
      </c>
      <c r="F22" s="156">
        <v>0</v>
      </c>
      <c r="G22" s="156">
        <v>0</v>
      </c>
      <c r="H22" s="156">
        <v>0</v>
      </c>
      <c r="I22" s="32"/>
      <c r="J22" s="3"/>
      <c r="K22" s="14"/>
    </row>
    <row r="23" spans="1:11" ht="12.75">
      <c r="A23" s="60" t="s">
        <v>21</v>
      </c>
      <c r="B23" s="65"/>
      <c r="C23" s="65"/>
      <c r="D23" s="156">
        <v>0</v>
      </c>
      <c r="E23" s="156">
        <v>0</v>
      </c>
      <c r="F23" s="156">
        <v>0</v>
      </c>
      <c r="G23" s="156">
        <v>0</v>
      </c>
      <c r="H23" s="156">
        <v>0</v>
      </c>
      <c r="I23" s="32"/>
      <c r="J23" s="3"/>
      <c r="K23" s="14"/>
    </row>
    <row r="24" spans="1:11" ht="13.5" thickBot="1">
      <c r="A24" s="60" t="s">
        <v>22</v>
      </c>
      <c r="B24" s="65"/>
      <c r="C24" s="65"/>
      <c r="D24" s="156">
        <v>273.073240547205</v>
      </c>
      <c r="E24" s="156">
        <v>289.46530659595504</v>
      </c>
      <c r="F24" s="156">
        <v>319.224255894705</v>
      </c>
      <c r="G24" s="156">
        <v>339.93726356845497</v>
      </c>
      <c r="H24" s="156">
        <v>363.01277124220496</v>
      </c>
      <c r="I24" s="32"/>
      <c r="J24" s="3"/>
      <c r="K24" s="14"/>
    </row>
    <row r="25" spans="1:11" ht="29.25" customHeight="1" thickBot="1">
      <c r="A25" s="255" t="s">
        <v>23</v>
      </c>
      <c r="B25" s="264"/>
      <c r="C25" s="265"/>
      <c r="D25" s="33">
        <f>SUM(D9:D24)</f>
        <v>5474.468298589207</v>
      </c>
      <c r="E25" s="33">
        <f>SUM(E9:E24)</f>
        <v>5803.090194137955</v>
      </c>
      <c r="F25" s="33">
        <f>SUM(F9:F24)</f>
        <v>6399.686272936704</v>
      </c>
      <c r="G25" s="33">
        <f>SUM(G9:G24)</f>
        <v>6814.932760110456</v>
      </c>
      <c r="H25" s="33">
        <f>SUM(H9:H24)</f>
        <v>7277.5417472842055</v>
      </c>
      <c r="I25" s="8"/>
      <c r="J25" s="3"/>
      <c r="K25" s="14"/>
    </row>
    <row r="26" spans="1:11" ht="13.5" thickBot="1">
      <c r="A26" s="66"/>
      <c r="B26" s="67"/>
      <c r="C26" s="67"/>
      <c r="D26" s="34"/>
      <c r="E26" s="25"/>
      <c r="F26" s="25"/>
      <c r="G26" s="25"/>
      <c r="H26" s="25"/>
      <c r="I26" s="25"/>
      <c r="J26" s="3"/>
      <c r="K26" s="14"/>
    </row>
    <row r="27" spans="1:11" ht="13.5" thickBot="1">
      <c r="A27" s="266" t="s">
        <v>24</v>
      </c>
      <c r="B27" s="267"/>
      <c r="C27" s="268"/>
      <c r="D27" s="159">
        <v>2574.2000000000003</v>
      </c>
      <c r="E27" s="147">
        <f>D27</f>
        <v>2574.2000000000003</v>
      </c>
      <c r="F27" s="147">
        <f>E27</f>
        <v>2574.2000000000003</v>
      </c>
      <c r="G27" s="147">
        <f>F27</f>
        <v>2574.2000000000003</v>
      </c>
      <c r="H27" s="147">
        <f>G27</f>
        <v>2574.2000000000003</v>
      </c>
      <c r="I27" s="28"/>
      <c r="J27" s="27"/>
      <c r="K27" s="14"/>
    </row>
    <row r="28" spans="1:11" ht="13.5" thickBot="1">
      <c r="A28" s="66"/>
      <c r="B28" s="67"/>
      <c r="C28" s="67"/>
      <c r="D28" s="34"/>
      <c r="E28" s="25"/>
      <c r="F28" s="25"/>
      <c r="G28" s="25"/>
      <c r="H28" s="25"/>
      <c r="I28" s="25"/>
      <c r="J28" s="3"/>
      <c r="K28" s="14"/>
    </row>
    <row r="29" spans="1:11" ht="25.5" customHeight="1" thickBot="1">
      <c r="A29" s="255" t="s">
        <v>25</v>
      </c>
      <c r="B29" s="264"/>
      <c r="C29" s="265"/>
      <c r="D29" s="33">
        <f>D25+D27</f>
        <v>8048.668298589208</v>
      </c>
      <c r="E29" s="33">
        <f>E25+E27</f>
        <v>8377.290194137955</v>
      </c>
      <c r="F29" s="33">
        <f>F25+F27</f>
        <v>8973.886272936705</v>
      </c>
      <c r="G29" s="33">
        <f>G25+G27</f>
        <v>9389.132760110457</v>
      </c>
      <c r="H29" s="33">
        <f>H25+H27</f>
        <v>9851.741747284206</v>
      </c>
      <c r="I29" s="33"/>
      <c r="J29" s="3"/>
      <c r="K29" s="3"/>
    </row>
    <row r="30" spans="1:11" ht="12" customHeight="1" thickBot="1">
      <c r="A30" s="61"/>
      <c r="B30" s="62"/>
      <c r="C30" s="62"/>
      <c r="D30" s="36"/>
      <c r="E30" s="36"/>
      <c r="F30" s="36"/>
      <c r="G30" s="36"/>
      <c r="H30" s="36"/>
      <c r="I30" s="36"/>
      <c r="J30" s="3"/>
      <c r="K30" s="3"/>
    </row>
    <row r="31" spans="1:11" ht="24.75" customHeight="1" thickBot="1">
      <c r="A31" s="255" t="s">
        <v>26</v>
      </c>
      <c r="B31" s="256"/>
      <c r="C31" s="257"/>
      <c r="D31" s="33">
        <f>D29/D5</f>
        <v>4024.334149294604</v>
      </c>
      <c r="E31" s="33">
        <f>E29/E5</f>
        <v>3350.916077655182</v>
      </c>
      <c r="F31" s="33">
        <f>F29/F5</f>
        <v>2991.295424312235</v>
      </c>
      <c r="G31" s="33">
        <f>G29/G5</f>
        <v>2682.609360031559</v>
      </c>
      <c r="H31" s="33">
        <f>H29/H5</f>
        <v>2462.9354368210516</v>
      </c>
      <c r="I31" s="33"/>
      <c r="J31" s="3"/>
      <c r="K31" s="3"/>
    </row>
    <row r="32" spans="1:11" ht="13.5" thickBot="1">
      <c r="A32" s="61"/>
      <c r="B32" s="62"/>
      <c r="C32" s="62"/>
      <c r="D32" s="36"/>
      <c r="E32" s="11"/>
      <c r="F32" s="11"/>
      <c r="G32" s="11"/>
      <c r="H32" s="11"/>
      <c r="I32" s="11"/>
      <c r="J32" s="3"/>
      <c r="K32" s="14"/>
    </row>
    <row r="33" spans="1:11" ht="14.25" customHeight="1" thickBot="1">
      <c r="A33" s="59" t="s">
        <v>27</v>
      </c>
      <c r="B33" s="72"/>
      <c r="C33" s="72"/>
      <c r="D33" s="33">
        <f>'Pryse + Sensatiwiteitsanali'!D7</f>
        <v>128</v>
      </c>
      <c r="E33" s="33">
        <f>$D$33</f>
        <v>128</v>
      </c>
      <c r="F33" s="33">
        <f>$D$33</f>
        <v>128</v>
      </c>
      <c r="G33" s="33">
        <f>$D$33</f>
        <v>128</v>
      </c>
      <c r="H33" s="33">
        <f>$D$33</f>
        <v>128</v>
      </c>
      <c r="I33" s="33"/>
      <c r="J33" s="3"/>
      <c r="K33" s="14"/>
    </row>
    <row r="34" spans="1:11" ht="13.5" thickBot="1">
      <c r="A34" s="61"/>
      <c r="B34" s="62"/>
      <c r="C34" s="62"/>
      <c r="D34" s="36"/>
      <c r="E34" s="36"/>
      <c r="F34" s="36"/>
      <c r="G34" s="36"/>
      <c r="H34" s="36"/>
      <c r="I34" s="36"/>
      <c r="J34" s="3"/>
      <c r="K34" s="14"/>
    </row>
    <row r="35" spans="1:11" ht="24.75" customHeight="1" thickBot="1">
      <c r="A35" s="269" t="s">
        <v>28</v>
      </c>
      <c r="B35" s="256"/>
      <c r="C35" s="257"/>
      <c r="D35" s="35">
        <f>D31+D33</f>
        <v>4152.334149294604</v>
      </c>
      <c r="E35" s="35">
        <f>E31+E33</f>
        <v>3478.916077655182</v>
      </c>
      <c r="F35" s="35">
        <f>F31+F33</f>
        <v>3119.295424312235</v>
      </c>
      <c r="G35" s="35">
        <f>G31+G33</f>
        <v>2810.609360031559</v>
      </c>
      <c r="H35" s="35">
        <f>H31+H33</f>
        <v>2590.9354368210516</v>
      </c>
      <c r="I35" s="35"/>
      <c r="J35" s="3"/>
      <c r="K35" s="14"/>
    </row>
    <row r="36" spans="1:11" ht="13.5" thickBot="1">
      <c r="A36" s="68" t="s">
        <v>29</v>
      </c>
      <c r="B36" s="69"/>
      <c r="C36" s="70"/>
      <c r="D36" s="35">
        <f>'Pryse + Sensatiwiteitsanali'!B7</f>
        <v>3800</v>
      </c>
      <c r="E36" s="35">
        <f>$D$36</f>
        <v>3800</v>
      </c>
      <c r="F36" s="35">
        <f>$D$36</f>
        <v>3800</v>
      </c>
      <c r="G36" s="35">
        <f>$D$36</f>
        <v>3800</v>
      </c>
      <c r="H36" s="35">
        <f>$D$36</f>
        <v>3800</v>
      </c>
      <c r="I36" s="26"/>
      <c r="J36" s="14"/>
      <c r="K36" s="3"/>
    </row>
    <row r="37" spans="1:10" ht="15">
      <c r="A37" s="75" t="s">
        <v>34</v>
      </c>
      <c r="B37" s="76"/>
      <c r="C37" s="76"/>
      <c r="D37" s="76"/>
      <c r="E37" s="76"/>
      <c r="F37" s="76"/>
      <c r="G37" s="76"/>
      <c r="H37" s="77"/>
      <c r="I37" s="74"/>
      <c r="J37" s="74"/>
    </row>
    <row r="38" spans="1:10" ht="15">
      <c r="A38" s="78" t="s">
        <v>35</v>
      </c>
      <c r="B38" s="79"/>
      <c r="C38" s="79"/>
      <c r="D38" s="79"/>
      <c r="E38" s="79"/>
      <c r="F38" s="79"/>
      <c r="G38" s="79"/>
      <c r="H38" s="80"/>
      <c r="I38" s="74"/>
      <c r="J38" s="74"/>
    </row>
    <row r="39" spans="1:10" ht="15.75" thickBot="1">
      <c r="A39" s="81" t="s">
        <v>36</v>
      </c>
      <c r="B39" s="82"/>
      <c r="C39" s="82"/>
      <c r="D39" s="82"/>
      <c r="E39" s="82"/>
      <c r="F39" s="82"/>
      <c r="G39" s="82"/>
      <c r="H39" s="83"/>
      <c r="I39" s="74"/>
      <c r="J39" s="74"/>
    </row>
  </sheetData>
  <sheetProtection/>
  <mergeCells count="10">
    <mergeCell ref="M7:O7"/>
    <mergeCell ref="A1:D1"/>
    <mergeCell ref="E1:G1"/>
    <mergeCell ref="A31:C31"/>
    <mergeCell ref="A35:C35"/>
    <mergeCell ref="A3:C3"/>
    <mergeCell ref="A8:C8"/>
    <mergeCell ref="A25:C25"/>
    <mergeCell ref="A27:C27"/>
    <mergeCell ref="A29:C29"/>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47"/>
  <sheetViews>
    <sheetView zoomScale="85" zoomScaleNormal="85" zoomScalePageLayoutView="0" workbookViewId="0" topLeftCell="A1">
      <selection activeCell="A1" sqref="A1:D1"/>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4.421875" style="1" customWidth="1"/>
    <col min="11" max="26" width="12.7109375" style="1" customWidth="1"/>
    <col min="27" max="16384" width="9.140625" style="1" customWidth="1"/>
  </cols>
  <sheetData>
    <row r="1" spans="1:10" s="3" customFormat="1" ht="30.75" customHeight="1" thickBot="1">
      <c r="A1" s="252" t="s">
        <v>38</v>
      </c>
      <c r="B1" s="253"/>
      <c r="C1" s="253"/>
      <c r="D1" s="253"/>
      <c r="E1" s="254" t="s">
        <v>139</v>
      </c>
      <c r="F1" s="254"/>
      <c r="G1" s="254"/>
      <c r="H1" s="2"/>
      <c r="I1" s="15"/>
      <c r="J1" s="14"/>
    </row>
    <row r="2" spans="1:10" ht="16.5" thickBot="1">
      <c r="A2" s="16"/>
      <c r="B2" s="17"/>
      <c r="C2" s="18"/>
      <c r="D2" s="18"/>
      <c r="E2" s="4"/>
      <c r="F2" s="10"/>
      <c r="G2" s="10"/>
      <c r="H2" s="10"/>
      <c r="I2" s="4"/>
      <c r="J2" s="3"/>
    </row>
    <row r="3" spans="1:11" s="128" customFormat="1" ht="39.75" customHeight="1" thickBot="1">
      <c r="A3" s="124" t="s">
        <v>57</v>
      </c>
      <c r="B3" s="70"/>
      <c r="C3" s="70"/>
      <c r="D3" s="125" t="s">
        <v>58</v>
      </c>
      <c r="E3" s="126" t="s">
        <v>59</v>
      </c>
      <c r="F3" s="70"/>
      <c r="G3" s="70"/>
      <c r="H3" s="70"/>
      <c r="I3" s="70"/>
      <c r="J3" s="127"/>
      <c r="K3" s="127"/>
    </row>
    <row r="4" spans="1:11" s="128" customFormat="1" ht="12.75">
      <c r="A4" s="129" t="s">
        <v>136</v>
      </c>
      <c r="B4" s="130"/>
      <c r="C4" s="130"/>
      <c r="D4" s="131">
        <f>'Pryse + Sensatiwiteitsanali'!B8</f>
        <v>13000</v>
      </c>
      <c r="E4" s="132">
        <v>0.2</v>
      </c>
      <c r="F4" s="131"/>
      <c r="G4" s="131"/>
      <c r="H4" s="131"/>
      <c r="I4" s="133"/>
      <c r="J4" s="127"/>
      <c r="K4" s="127"/>
    </row>
    <row r="5" spans="1:11" s="128" customFormat="1" ht="12.75">
      <c r="A5" s="129" t="s">
        <v>137</v>
      </c>
      <c r="B5" s="130"/>
      <c r="C5" s="130"/>
      <c r="D5" s="131">
        <f>'Pryse + Sensatiwiteitsanali'!B9</f>
        <v>10000</v>
      </c>
      <c r="E5" s="132">
        <v>0.35</v>
      </c>
      <c r="F5" s="131"/>
      <c r="G5" s="131"/>
      <c r="H5" s="131"/>
      <c r="I5" s="133"/>
      <c r="J5" s="127"/>
      <c r="K5" s="127"/>
    </row>
    <row r="6" spans="1:11" s="128" customFormat="1" ht="12.75">
      <c r="A6" s="134" t="s">
        <v>60</v>
      </c>
      <c r="B6" s="130"/>
      <c r="C6" s="130"/>
      <c r="D6" s="131">
        <f>'Pryse + Sensatiwiteitsanali'!B10</f>
        <v>8000</v>
      </c>
      <c r="E6" s="132">
        <v>0.3</v>
      </c>
      <c r="F6" s="131"/>
      <c r="G6" s="131"/>
      <c r="H6" s="131"/>
      <c r="I6" s="133"/>
      <c r="J6" s="127"/>
      <c r="K6" s="127"/>
    </row>
    <row r="7" spans="1:11" s="128" customFormat="1" ht="12.75">
      <c r="A7" s="134" t="s">
        <v>61</v>
      </c>
      <c r="B7" s="130"/>
      <c r="C7" s="130"/>
      <c r="D7" s="131">
        <f>'Pryse + Sensatiwiteitsanali'!B11</f>
        <v>3000</v>
      </c>
      <c r="E7" s="132">
        <v>0.1</v>
      </c>
      <c r="F7" s="131"/>
      <c r="G7" s="131"/>
      <c r="H7" s="131"/>
      <c r="I7" s="133"/>
      <c r="J7" s="127"/>
      <c r="K7" s="127"/>
    </row>
    <row r="8" spans="1:11" s="128" customFormat="1" ht="12.75">
      <c r="A8" s="134" t="s">
        <v>62</v>
      </c>
      <c r="B8" s="130"/>
      <c r="C8" s="130"/>
      <c r="D8" s="131">
        <f>'Pryse + Sensatiwiteitsanali'!B12</f>
        <v>1500</v>
      </c>
      <c r="E8" s="132">
        <v>0.05</v>
      </c>
      <c r="F8" s="131"/>
      <c r="G8" s="131"/>
      <c r="H8" s="131"/>
      <c r="I8" s="133"/>
      <c r="J8" s="127"/>
      <c r="K8" s="127"/>
    </row>
    <row r="9" spans="1:11" s="128" customFormat="1" ht="13.5" thickBot="1">
      <c r="A9" s="135" t="s">
        <v>63</v>
      </c>
      <c r="B9" s="136"/>
      <c r="C9" s="136"/>
      <c r="D9" s="131">
        <f>'Pryse + Sensatiwiteitsanali'!B13</f>
        <v>0</v>
      </c>
      <c r="E9" s="138"/>
      <c r="F9" s="137"/>
      <c r="G9" s="137"/>
      <c r="H9" s="137"/>
      <c r="I9" s="139"/>
      <c r="J9" s="127"/>
      <c r="K9" s="127"/>
    </row>
    <row r="10" spans="1:11" s="128" customFormat="1" ht="15" customHeight="1" thickBot="1">
      <c r="A10" s="258" t="s">
        <v>64</v>
      </c>
      <c r="B10" s="272"/>
      <c r="C10" s="272"/>
      <c r="D10" s="140">
        <f>(D4*E4)+(D5*E5)+(D6*E6)+(D7*E7)+(D8*E8)</f>
        <v>8875</v>
      </c>
      <c r="E10" s="141" t="s">
        <v>0</v>
      </c>
      <c r="F10" s="141"/>
      <c r="G10" s="142"/>
      <c r="H10" s="142"/>
      <c r="I10" s="70"/>
      <c r="K10" s="127"/>
    </row>
    <row r="11" spans="1:11" ht="13.5" thickBot="1">
      <c r="A11" s="58"/>
      <c r="B11" s="71"/>
      <c r="C11" s="71"/>
      <c r="D11" s="230"/>
      <c r="E11" s="231"/>
      <c r="F11" s="20"/>
      <c r="G11" s="7"/>
      <c r="H11" s="21"/>
      <c r="I11" s="21"/>
      <c r="J11" s="3"/>
      <c r="K11" s="3"/>
    </row>
    <row r="12" spans="1:11" ht="13.5" thickBot="1">
      <c r="A12" s="58" t="s">
        <v>4</v>
      </c>
      <c r="B12" s="71"/>
      <c r="C12" s="71"/>
      <c r="D12" s="43">
        <v>1.5</v>
      </c>
      <c r="E12" s="43">
        <v>0</v>
      </c>
      <c r="F12" s="43">
        <v>0</v>
      </c>
      <c r="G12" s="43">
        <v>0</v>
      </c>
      <c r="H12" s="43">
        <v>0</v>
      </c>
      <c r="I12" s="43">
        <v>0</v>
      </c>
      <c r="J12" s="3"/>
      <c r="K12" s="3"/>
    </row>
    <row r="13" spans="1:11" ht="13.5" thickBot="1">
      <c r="A13" s="59" t="s">
        <v>5</v>
      </c>
      <c r="B13" s="72"/>
      <c r="C13" s="73"/>
      <c r="D13" s="37">
        <f>(D10*D12)+(D9*D12)</f>
        <v>13312.5</v>
      </c>
      <c r="E13" s="37">
        <v>0</v>
      </c>
      <c r="F13" s="37">
        <v>0</v>
      </c>
      <c r="G13" s="37">
        <v>0</v>
      </c>
      <c r="H13" s="37">
        <v>0</v>
      </c>
      <c r="I13" s="37">
        <v>0</v>
      </c>
      <c r="J13" s="3"/>
      <c r="K13" s="3"/>
    </row>
    <row r="14" spans="1:11" ht="13.5" thickBot="1">
      <c r="A14" s="61"/>
      <c r="B14" s="62"/>
      <c r="C14" s="62"/>
      <c r="D14" s="23"/>
      <c r="E14" s="23"/>
      <c r="F14" s="23"/>
      <c r="G14" s="23"/>
      <c r="H14" s="23"/>
      <c r="I14" s="23"/>
      <c r="J14" s="3"/>
      <c r="K14" s="3"/>
    </row>
    <row r="15" spans="1:11" ht="28.5" customHeight="1" thickBot="1">
      <c r="A15" s="261" t="s">
        <v>6</v>
      </c>
      <c r="B15" s="262"/>
      <c r="C15" s="263"/>
      <c r="D15" s="24"/>
      <c r="E15" s="24"/>
      <c r="F15" s="24"/>
      <c r="G15" s="24"/>
      <c r="H15" s="24"/>
      <c r="I15" s="24"/>
      <c r="J15" s="3"/>
      <c r="K15" s="3"/>
    </row>
    <row r="16" spans="1:11" ht="12.75">
      <c r="A16" s="63" t="s">
        <v>7</v>
      </c>
      <c r="B16" s="64"/>
      <c r="C16" s="64"/>
      <c r="D16" s="157">
        <v>1400</v>
      </c>
      <c r="E16" s="31">
        <v>0</v>
      </c>
      <c r="F16" s="31">
        <v>0</v>
      </c>
      <c r="G16" s="31">
        <v>0</v>
      </c>
      <c r="H16" s="31">
        <v>0</v>
      </c>
      <c r="I16" s="31">
        <v>0</v>
      </c>
      <c r="J16" s="3"/>
      <c r="K16" s="3"/>
    </row>
    <row r="17" spans="1:11" ht="12.75">
      <c r="A17" s="60" t="s">
        <v>8</v>
      </c>
      <c r="B17" s="65"/>
      <c r="C17" s="65"/>
      <c r="D17" s="156">
        <v>976.9000000000001</v>
      </c>
      <c r="E17" s="32">
        <v>0</v>
      </c>
      <c r="F17" s="32">
        <v>0</v>
      </c>
      <c r="G17" s="32">
        <v>0</v>
      </c>
      <c r="H17" s="32">
        <v>0</v>
      </c>
      <c r="I17" s="32">
        <v>0</v>
      </c>
      <c r="J17" s="3"/>
      <c r="K17" s="3"/>
    </row>
    <row r="18" spans="1:11" ht="12.75">
      <c r="A18" s="60" t="s">
        <v>9</v>
      </c>
      <c r="B18" s="65"/>
      <c r="C18" s="65"/>
      <c r="D18" s="156">
        <v>154.19565</v>
      </c>
      <c r="E18" s="32">
        <v>0</v>
      </c>
      <c r="F18" s="32">
        <v>0</v>
      </c>
      <c r="G18" s="32">
        <v>0</v>
      </c>
      <c r="H18" s="32">
        <v>0</v>
      </c>
      <c r="I18" s="32">
        <v>0</v>
      </c>
      <c r="J18" s="3"/>
      <c r="K18" s="3"/>
    </row>
    <row r="19" spans="1:11" ht="12.75">
      <c r="A19" s="60" t="s">
        <v>10</v>
      </c>
      <c r="B19" s="65"/>
      <c r="C19" s="65"/>
      <c r="D19" s="156">
        <v>1023.5963900000002</v>
      </c>
      <c r="E19" s="32">
        <v>0</v>
      </c>
      <c r="F19" s="32">
        <v>0</v>
      </c>
      <c r="G19" s="32">
        <v>0</v>
      </c>
      <c r="H19" s="32">
        <v>0</v>
      </c>
      <c r="I19" s="32">
        <v>0</v>
      </c>
      <c r="J19" s="3"/>
      <c r="K19" s="3"/>
    </row>
    <row r="20" spans="1:11" ht="12.75">
      <c r="A20" s="60" t="s">
        <v>11</v>
      </c>
      <c r="B20" s="65"/>
      <c r="C20" s="65"/>
      <c r="D20" s="156">
        <v>856.5263771672065</v>
      </c>
      <c r="E20" s="32">
        <v>0</v>
      </c>
      <c r="F20" s="32">
        <v>0</v>
      </c>
      <c r="G20" s="32">
        <v>0</v>
      </c>
      <c r="H20" s="32">
        <v>0</v>
      </c>
      <c r="I20" s="32">
        <v>0</v>
      </c>
      <c r="J20" s="3"/>
      <c r="K20" s="3"/>
    </row>
    <row r="21" spans="1:11" ht="12.75">
      <c r="A21" s="60" t="s">
        <v>12</v>
      </c>
      <c r="B21" s="65"/>
      <c r="C21" s="65"/>
      <c r="D21" s="156">
        <v>841.7304153600004</v>
      </c>
      <c r="E21" s="32">
        <v>0</v>
      </c>
      <c r="F21" s="32">
        <v>0</v>
      </c>
      <c r="G21" s="32">
        <v>0</v>
      </c>
      <c r="H21" s="32">
        <v>0</v>
      </c>
      <c r="I21" s="32">
        <v>0</v>
      </c>
      <c r="J21" s="3"/>
      <c r="K21" s="3"/>
    </row>
    <row r="22" spans="1:11" ht="12.75">
      <c r="A22" s="60" t="s">
        <v>13</v>
      </c>
      <c r="B22" s="65"/>
      <c r="C22" s="65"/>
      <c r="D22" s="156">
        <v>750.6263072000002</v>
      </c>
      <c r="E22" s="32">
        <v>0</v>
      </c>
      <c r="F22" s="32">
        <v>0</v>
      </c>
      <c r="G22" s="32">
        <v>0</v>
      </c>
      <c r="H22" s="32">
        <v>0</v>
      </c>
      <c r="I22" s="32">
        <v>0</v>
      </c>
      <c r="J22" s="3"/>
      <c r="K22" s="3"/>
    </row>
    <row r="23" spans="1:11" ht="12.75">
      <c r="A23" s="60" t="s">
        <v>14</v>
      </c>
      <c r="B23" s="65"/>
      <c r="C23" s="65"/>
      <c r="D23" s="156">
        <v>0</v>
      </c>
      <c r="E23" s="32">
        <v>0</v>
      </c>
      <c r="F23" s="32">
        <v>0</v>
      </c>
      <c r="G23" s="32">
        <v>0</v>
      </c>
      <c r="H23" s="32">
        <v>0</v>
      </c>
      <c r="I23" s="32">
        <v>0</v>
      </c>
      <c r="J23" s="3"/>
      <c r="K23" s="3"/>
    </row>
    <row r="24" spans="1:11" ht="12.75">
      <c r="A24" s="60" t="s">
        <v>15</v>
      </c>
      <c r="B24" s="65"/>
      <c r="C24" s="65"/>
      <c r="D24" s="156">
        <v>0</v>
      </c>
      <c r="E24" s="32">
        <v>0</v>
      </c>
      <c r="F24" s="32">
        <v>0</v>
      </c>
      <c r="G24" s="32">
        <v>0</v>
      </c>
      <c r="H24" s="32">
        <v>0</v>
      </c>
      <c r="I24" s="32">
        <v>0</v>
      </c>
      <c r="J24" s="3"/>
      <c r="K24" s="3"/>
    </row>
    <row r="25" spans="1:11" ht="12.75">
      <c r="A25" s="60" t="s">
        <v>16</v>
      </c>
      <c r="B25" s="65"/>
      <c r="C25" s="65"/>
      <c r="D25" s="156">
        <v>0</v>
      </c>
      <c r="E25" s="32">
        <v>0</v>
      </c>
      <c r="F25" s="32">
        <v>0</v>
      </c>
      <c r="G25" s="32">
        <v>0</v>
      </c>
      <c r="H25" s="32">
        <v>0</v>
      </c>
      <c r="I25" s="32">
        <v>0</v>
      </c>
      <c r="J25" s="3"/>
      <c r="K25" s="3"/>
    </row>
    <row r="26" spans="1:11" ht="12.75">
      <c r="A26" s="60" t="s">
        <v>17</v>
      </c>
      <c r="B26" s="65"/>
      <c r="C26" s="65"/>
      <c r="D26" s="156">
        <v>0</v>
      </c>
      <c r="E26" s="32">
        <v>0</v>
      </c>
      <c r="F26" s="32">
        <v>0</v>
      </c>
      <c r="G26" s="32">
        <v>0</v>
      </c>
      <c r="H26" s="32">
        <v>0</v>
      </c>
      <c r="I26" s="32">
        <v>0</v>
      </c>
      <c r="J26" s="3"/>
      <c r="K26" s="3"/>
    </row>
    <row r="27" spans="1:11" ht="12.75">
      <c r="A27" s="60" t="s">
        <v>18</v>
      </c>
      <c r="B27" s="65"/>
      <c r="C27" s="65"/>
      <c r="D27" s="156">
        <v>0</v>
      </c>
      <c r="E27" s="32">
        <v>0</v>
      </c>
      <c r="F27" s="32">
        <v>0</v>
      </c>
      <c r="G27" s="32">
        <v>0</v>
      </c>
      <c r="H27" s="32">
        <v>0</v>
      </c>
      <c r="I27" s="32">
        <v>0</v>
      </c>
      <c r="J27" s="3"/>
      <c r="K27" s="3"/>
    </row>
    <row r="28" spans="1:11" ht="12.75">
      <c r="A28" s="60" t="s">
        <v>19</v>
      </c>
      <c r="B28" s="65"/>
      <c r="C28" s="65"/>
      <c r="D28" s="156">
        <v>900</v>
      </c>
      <c r="E28" s="32">
        <v>0</v>
      </c>
      <c r="F28" s="32">
        <v>0</v>
      </c>
      <c r="G28" s="32">
        <v>0</v>
      </c>
      <c r="H28" s="32">
        <v>0</v>
      </c>
      <c r="I28" s="32">
        <v>0</v>
      </c>
      <c r="J28" s="3"/>
      <c r="K28" s="3"/>
    </row>
    <row r="29" spans="1:11" ht="12.75">
      <c r="A29" s="60" t="s">
        <v>20</v>
      </c>
      <c r="B29" s="65"/>
      <c r="C29" s="65"/>
      <c r="D29" s="156">
        <v>0</v>
      </c>
      <c r="E29" s="32">
        <v>0</v>
      </c>
      <c r="F29" s="32">
        <v>0</v>
      </c>
      <c r="G29" s="32">
        <v>0</v>
      </c>
      <c r="H29" s="32">
        <v>0</v>
      </c>
      <c r="I29" s="32">
        <v>0</v>
      </c>
      <c r="J29" s="3"/>
      <c r="K29" s="3"/>
    </row>
    <row r="30" spans="1:11" ht="12.75">
      <c r="A30" s="60" t="s">
        <v>21</v>
      </c>
      <c r="B30" s="65"/>
      <c r="C30" s="65"/>
      <c r="D30" s="156">
        <v>300</v>
      </c>
      <c r="E30" s="32">
        <v>0</v>
      </c>
      <c r="F30" s="32">
        <v>0</v>
      </c>
      <c r="G30" s="32">
        <v>0</v>
      </c>
      <c r="H30" s="32">
        <v>0</v>
      </c>
      <c r="I30" s="32">
        <v>0</v>
      </c>
      <c r="J30" s="3"/>
      <c r="K30" s="3"/>
    </row>
    <row r="31" spans="1:11" ht="13.5" thickBot="1">
      <c r="A31" s="60" t="s">
        <v>22</v>
      </c>
      <c r="B31" s="65"/>
      <c r="C31" s="65"/>
      <c r="D31" s="156">
        <v>362.4376948356783</v>
      </c>
      <c r="E31" s="32">
        <v>0</v>
      </c>
      <c r="F31" s="32">
        <v>0</v>
      </c>
      <c r="G31" s="32">
        <v>0</v>
      </c>
      <c r="H31" s="32">
        <v>0</v>
      </c>
      <c r="I31" s="32">
        <v>0</v>
      </c>
      <c r="J31" s="3"/>
      <c r="K31" s="3"/>
    </row>
    <row r="32" spans="1:11" ht="27.75" customHeight="1" thickBot="1">
      <c r="A32" s="255" t="s">
        <v>23</v>
      </c>
      <c r="B32" s="264"/>
      <c r="C32" s="265"/>
      <c r="D32" s="33">
        <f>SUM(D16:D31)</f>
        <v>7566.012834562886</v>
      </c>
      <c r="E32" s="44"/>
      <c r="F32" s="33">
        <v>0</v>
      </c>
      <c r="G32" s="33">
        <v>0</v>
      </c>
      <c r="H32" s="33">
        <v>0</v>
      </c>
      <c r="I32" s="33">
        <v>0</v>
      </c>
      <c r="J32" s="3"/>
      <c r="K32" s="3"/>
    </row>
    <row r="33" spans="1:11" ht="13.5" thickBot="1">
      <c r="A33" s="66"/>
      <c r="B33" s="67"/>
      <c r="C33" s="67"/>
      <c r="D33" s="34"/>
      <c r="E33" s="34"/>
      <c r="F33" s="34"/>
      <c r="G33" s="34"/>
      <c r="H33" s="34"/>
      <c r="I33" s="34"/>
      <c r="J33" s="3"/>
      <c r="K33" s="3"/>
    </row>
    <row r="34" spans="1:11" ht="13.5" customHeight="1" thickBot="1">
      <c r="A34" s="266" t="s">
        <v>24</v>
      </c>
      <c r="B34" s="267"/>
      <c r="C34" s="268"/>
      <c r="D34" s="159">
        <v>2784.3500000000004</v>
      </c>
      <c r="E34" s="33">
        <v>0</v>
      </c>
      <c r="F34" s="33">
        <v>0</v>
      </c>
      <c r="G34" s="33">
        <v>0</v>
      </c>
      <c r="H34" s="33">
        <v>0</v>
      </c>
      <c r="I34" s="33">
        <v>0</v>
      </c>
      <c r="J34" s="27"/>
      <c r="K34" s="3"/>
    </row>
    <row r="35" spans="1:11" ht="13.5" thickBot="1">
      <c r="A35" s="66"/>
      <c r="B35" s="67"/>
      <c r="C35" s="67"/>
      <c r="D35" s="34"/>
      <c r="E35" s="34"/>
      <c r="F35" s="34"/>
      <c r="G35" s="34"/>
      <c r="H35" s="34"/>
      <c r="I35" s="34"/>
      <c r="J35" s="3"/>
      <c r="K35" s="3"/>
    </row>
    <row r="36" spans="1:11" ht="26.25" customHeight="1" thickBot="1">
      <c r="A36" s="255" t="s">
        <v>25</v>
      </c>
      <c r="B36" s="264"/>
      <c r="C36" s="265"/>
      <c r="D36" s="33">
        <f>D32+D34</f>
        <v>10350.362834562886</v>
      </c>
      <c r="E36" s="33">
        <v>0</v>
      </c>
      <c r="F36" s="33">
        <v>0</v>
      </c>
      <c r="G36" s="33">
        <v>0</v>
      </c>
      <c r="H36" s="33">
        <v>0</v>
      </c>
      <c r="I36" s="33">
        <v>0</v>
      </c>
      <c r="J36" s="3"/>
      <c r="K36" s="3"/>
    </row>
    <row r="37" spans="1:11" ht="13.5" thickBot="1">
      <c r="A37" s="61"/>
      <c r="B37" s="62"/>
      <c r="C37" s="62"/>
      <c r="D37" s="36"/>
      <c r="E37" s="36"/>
      <c r="F37" s="36"/>
      <c r="G37" s="36"/>
      <c r="H37" s="36"/>
      <c r="I37" s="36"/>
      <c r="J37" s="3"/>
      <c r="K37" s="3"/>
    </row>
    <row r="38" spans="1:11" ht="27.75" customHeight="1" thickBot="1">
      <c r="A38" s="255" t="s">
        <v>26</v>
      </c>
      <c r="B38" s="264"/>
      <c r="C38" s="265"/>
      <c r="D38" s="33">
        <f>D36/D12</f>
        <v>6900.241889708591</v>
      </c>
      <c r="E38" s="33">
        <v>0</v>
      </c>
      <c r="F38" s="33">
        <v>0</v>
      </c>
      <c r="G38" s="33">
        <v>0</v>
      </c>
      <c r="H38" s="33">
        <v>0</v>
      </c>
      <c r="I38" s="33">
        <v>0</v>
      </c>
      <c r="J38" s="3"/>
      <c r="K38" s="3"/>
    </row>
    <row r="39" spans="1:11" ht="13.5" thickBot="1">
      <c r="A39" s="61"/>
      <c r="B39" s="62"/>
      <c r="C39" s="62"/>
      <c r="D39" s="36"/>
      <c r="E39" s="36"/>
      <c r="F39" s="36"/>
      <c r="G39" s="36"/>
      <c r="H39" s="36"/>
      <c r="I39" s="36"/>
      <c r="J39" s="3"/>
      <c r="K39" s="3"/>
    </row>
    <row r="40" spans="1:11" ht="13.5" thickBot="1">
      <c r="A40" s="59" t="s">
        <v>27</v>
      </c>
      <c r="B40" s="72"/>
      <c r="C40" s="72"/>
      <c r="D40" s="33">
        <v>63</v>
      </c>
      <c r="E40" s="33">
        <v>0</v>
      </c>
      <c r="F40" s="33">
        <v>0</v>
      </c>
      <c r="G40" s="33">
        <v>0</v>
      </c>
      <c r="H40" s="33">
        <v>0</v>
      </c>
      <c r="I40" s="33">
        <v>0</v>
      </c>
      <c r="J40" s="3"/>
      <c r="K40" s="3"/>
    </row>
    <row r="41" spans="1:11" ht="13.5" thickBot="1">
      <c r="A41" s="61"/>
      <c r="B41" s="62"/>
      <c r="C41" s="62"/>
      <c r="D41" s="36"/>
      <c r="E41" s="36"/>
      <c r="F41" s="36"/>
      <c r="G41" s="36"/>
      <c r="H41" s="36"/>
      <c r="I41" s="36"/>
      <c r="J41" s="3"/>
      <c r="K41" s="3"/>
    </row>
    <row r="42" spans="1:11" ht="13.5" customHeight="1" thickBot="1">
      <c r="A42" s="269" t="s">
        <v>30</v>
      </c>
      <c r="B42" s="270"/>
      <c r="C42" s="271"/>
      <c r="D42" s="35">
        <f>D38+D40</f>
        <v>6963.241889708591</v>
      </c>
      <c r="E42" s="35">
        <v>0</v>
      </c>
      <c r="F42" s="35">
        <v>0</v>
      </c>
      <c r="G42" s="35">
        <v>0</v>
      </c>
      <c r="H42" s="35">
        <v>0</v>
      </c>
      <c r="I42" s="35">
        <v>0</v>
      </c>
      <c r="J42" s="3"/>
      <c r="K42" s="3"/>
    </row>
    <row r="43" spans="1:11" ht="13.5" thickBot="1">
      <c r="A43" s="68" t="s">
        <v>31</v>
      </c>
      <c r="B43" s="69"/>
      <c r="C43" s="70"/>
      <c r="D43" s="35">
        <f>'Pryse + Sensatiwiteitsanali'!B8</f>
        <v>13000</v>
      </c>
      <c r="E43" s="35">
        <v>0</v>
      </c>
      <c r="F43" s="35">
        <v>0</v>
      </c>
      <c r="G43" s="35">
        <v>0</v>
      </c>
      <c r="H43" s="35">
        <v>0</v>
      </c>
      <c r="I43" s="35">
        <v>0</v>
      </c>
      <c r="J43" s="14"/>
      <c r="K43" s="3"/>
    </row>
    <row r="44" spans="1:10" ht="13.5" thickBot="1">
      <c r="A44" s="68" t="s">
        <v>32</v>
      </c>
      <c r="B44" s="69"/>
      <c r="C44" s="70"/>
      <c r="D44" s="35">
        <f>D10</f>
        <v>8875</v>
      </c>
      <c r="E44" s="35"/>
      <c r="F44" s="35"/>
      <c r="G44" s="35"/>
      <c r="H44" s="35"/>
      <c r="I44" s="35"/>
      <c r="J44" s="3"/>
    </row>
    <row r="45" spans="1:10" ht="15">
      <c r="A45" s="75" t="s">
        <v>34</v>
      </c>
      <c r="B45" s="76"/>
      <c r="C45" s="76"/>
      <c r="D45" s="76"/>
      <c r="E45" s="76"/>
      <c r="F45" s="76"/>
      <c r="G45" s="76"/>
      <c r="H45" s="77"/>
      <c r="I45" s="74"/>
      <c r="J45" s="74"/>
    </row>
    <row r="46" spans="1:10" ht="15">
      <c r="A46" s="78" t="s">
        <v>35</v>
      </c>
      <c r="B46" s="79"/>
      <c r="C46" s="79"/>
      <c r="D46" s="79"/>
      <c r="E46" s="79"/>
      <c r="F46" s="79"/>
      <c r="G46" s="79"/>
      <c r="H46" s="80"/>
      <c r="I46" s="74"/>
      <c r="J46" s="74"/>
    </row>
    <row r="47" spans="1:10" ht="15.75" thickBot="1">
      <c r="A47" s="81" t="s">
        <v>36</v>
      </c>
      <c r="B47" s="82"/>
      <c r="C47" s="82"/>
      <c r="D47" s="82"/>
      <c r="E47" s="82"/>
      <c r="F47" s="82"/>
      <c r="G47" s="82"/>
      <c r="H47" s="83"/>
      <c r="I47" s="74"/>
      <c r="J47" s="74"/>
    </row>
  </sheetData>
  <sheetProtection/>
  <mergeCells count="9">
    <mergeCell ref="A1:D1"/>
    <mergeCell ref="E1:G1"/>
    <mergeCell ref="A38:C38"/>
    <mergeCell ref="A42:C42"/>
    <mergeCell ref="A15:C15"/>
    <mergeCell ref="A32:C32"/>
    <mergeCell ref="A34:C34"/>
    <mergeCell ref="A36:C36"/>
    <mergeCell ref="A10:C10"/>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60" r:id="rId2"/>
  <headerFooter>
    <oddHeader>&amp;C&amp;F</oddHeader>
    <oddFooter>&amp;C&amp;A&amp;RPage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70" zoomScaleNormal="70" zoomScalePageLayoutView="0" workbookViewId="0" topLeftCell="A1">
      <selection activeCell="A1" sqref="A1:D1"/>
    </sheetView>
  </sheetViews>
  <sheetFormatPr defaultColWidth="9.140625" defaultRowHeight="12.75"/>
  <cols>
    <col min="1" max="1" width="42.8515625" style="1" customWidth="1"/>
    <col min="2" max="2" width="15.7109375" style="1" bestFit="1" customWidth="1"/>
    <col min="3" max="4" width="14.421875" style="1" customWidth="1"/>
    <col min="5" max="5" width="16.28125" style="1" customWidth="1"/>
    <col min="6" max="9" width="14.28125" style="1" customWidth="1"/>
    <col min="10" max="10" width="14.421875" style="1" customWidth="1"/>
    <col min="11" max="11" width="12.7109375" style="1" customWidth="1"/>
    <col min="12" max="26" width="12.7109375" style="1" hidden="1" customWidth="1"/>
    <col min="27" max="27" width="0" style="1" hidden="1" customWidth="1"/>
    <col min="28" max="16384" width="9.140625" style="1" customWidth="1"/>
  </cols>
  <sheetData>
    <row r="1" spans="1:11" ht="32.25" customHeight="1" thickBot="1">
      <c r="A1" s="252" t="s">
        <v>40</v>
      </c>
      <c r="B1" s="253"/>
      <c r="C1" s="253"/>
      <c r="D1" s="253"/>
      <c r="E1" s="254" t="s">
        <v>139</v>
      </c>
      <c r="F1" s="254"/>
      <c r="G1" s="254"/>
      <c r="H1" s="2"/>
      <c r="I1" s="15"/>
      <c r="J1" s="14"/>
      <c r="K1" s="14"/>
    </row>
    <row r="2" spans="1:11" ht="16.5" thickBot="1">
      <c r="A2" s="16"/>
      <c r="B2" s="17"/>
      <c r="C2" s="18"/>
      <c r="D2" s="18"/>
      <c r="E2" s="10"/>
      <c r="F2" s="10"/>
      <c r="G2" s="10"/>
      <c r="H2" s="10"/>
      <c r="I2" s="4"/>
      <c r="J2" s="3"/>
      <c r="K2" s="14"/>
    </row>
    <row r="3" spans="1:11" ht="39.75" customHeight="1" thickBot="1">
      <c r="A3" s="269" t="s">
        <v>3</v>
      </c>
      <c r="B3" s="256"/>
      <c r="C3" s="256"/>
      <c r="D3" s="30"/>
      <c r="E3" s="39">
        <f>'Pryse + Sensatiwiteitsanali'!B26</f>
        <v>2404</v>
      </c>
      <c r="F3" s="30" t="s">
        <v>0</v>
      </c>
      <c r="G3" s="19"/>
      <c r="H3" s="19"/>
      <c r="I3" s="5"/>
      <c r="K3" s="14"/>
    </row>
    <row r="4" spans="1:11" ht="13.5" thickBot="1">
      <c r="A4" s="58"/>
      <c r="B4" s="71"/>
      <c r="C4" s="71"/>
      <c r="D4" s="6"/>
      <c r="E4" s="9"/>
      <c r="F4" s="20"/>
      <c r="G4" s="7"/>
      <c r="H4" s="21"/>
      <c r="I4" s="21"/>
      <c r="J4" s="3"/>
      <c r="K4" s="14"/>
    </row>
    <row r="5" spans="1:11" ht="13.5" thickBot="1">
      <c r="A5" s="58" t="s">
        <v>4</v>
      </c>
      <c r="B5" s="71"/>
      <c r="C5" s="71"/>
      <c r="D5" s="43">
        <v>8</v>
      </c>
      <c r="E5" s="43">
        <v>10</v>
      </c>
      <c r="F5" s="43">
        <v>12</v>
      </c>
      <c r="G5" s="43">
        <v>14</v>
      </c>
      <c r="H5" s="43">
        <v>16</v>
      </c>
      <c r="I5" s="43">
        <v>18</v>
      </c>
      <c r="J5" s="3"/>
      <c r="K5" s="14"/>
    </row>
    <row r="6" spans="1:11" ht="13.5" thickBot="1">
      <c r="A6" s="59" t="s">
        <v>5</v>
      </c>
      <c r="B6" s="72"/>
      <c r="C6" s="73"/>
      <c r="D6" s="37">
        <f aca="true" t="shared" si="0" ref="D6:I6">$E$3*D5</f>
        <v>19232</v>
      </c>
      <c r="E6" s="37">
        <f t="shared" si="0"/>
        <v>24040</v>
      </c>
      <c r="F6" s="37">
        <f t="shared" si="0"/>
        <v>28848</v>
      </c>
      <c r="G6" s="37">
        <f t="shared" si="0"/>
        <v>33656</v>
      </c>
      <c r="H6" s="37">
        <f t="shared" si="0"/>
        <v>38464</v>
      </c>
      <c r="I6" s="37">
        <f t="shared" si="0"/>
        <v>43272</v>
      </c>
      <c r="J6" s="3"/>
      <c r="K6" s="14"/>
    </row>
    <row r="7" spans="1:11" ht="13.5" thickBot="1">
      <c r="A7" s="61"/>
      <c r="B7" s="62"/>
      <c r="C7" s="62"/>
      <c r="D7" s="41"/>
      <c r="E7" s="41"/>
      <c r="F7" s="41"/>
      <c r="G7" s="41"/>
      <c r="H7" s="41"/>
      <c r="I7" s="41"/>
      <c r="J7" s="3"/>
      <c r="K7" s="14"/>
    </row>
    <row r="8" spans="1:11" ht="27.75" customHeight="1" thickBot="1">
      <c r="A8" s="261" t="s">
        <v>6</v>
      </c>
      <c r="B8" s="262"/>
      <c r="C8" s="263"/>
      <c r="D8" s="42"/>
      <c r="E8" s="42"/>
      <c r="F8" s="42"/>
      <c r="G8" s="42"/>
      <c r="H8" s="42"/>
      <c r="I8" s="42"/>
      <c r="J8" s="3"/>
      <c r="K8" s="14"/>
    </row>
    <row r="9" spans="1:11" ht="12.75">
      <c r="A9" s="63" t="s">
        <v>7</v>
      </c>
      <c r="B9" s="64"/>
      <c r="C9" s="64"/>
      <c r="D9" s="157">
        <v>2912.9375</v>
      </c>
      <c r="E9" s="157">
        <v>3442.5625</v>
      </c>
      <c r="F9" s="157">
        <v>3972.1875</v>
      </c>
      <c r="G9" s="157">
        <v>4237</v>
      </c>
      <c r="H9" s="157">
        <v>4237</v>
      </c>
      <c r="I9" s="157">
        <v>4237</v>
      </c>
      <c r="J9" s="3"/>
      <c r="K9" s="14"/>
    </row>
    <row r="10" spans="1:11" ht="12.75">
      <c r="A10" s="60" t="s">
        <v>8</v>
      </c>
      <c r="B10" s="65"/>
      <c r="C10" s="65"/>
      <c r="D10" s="156">
        <v>4661.52</v>
      </c>
      <c r="E10" s="156">
        <v>5651.900000000001</v>
      </c>
      <c r="F10" s="156">
        <v>6642.280000000001</v>
      </c>
      <c r="G10" s="156">
        <v>7632.660000000001</v>
      </c>
      <c r="H10" s="156">
        <v>8623.04</v>
      </c>
      <c r="I10" s="156">
        <v>9613.420000000002</v>
      </c>
      <c r="J10" s="3"/>
      <c r="K10" s="14"/>
    </row>
    <row r="11" spans="1:11" ht="12.75">
      <c r="A11" s="60" t="s">
        <v>9</v>
      </c>
      <c r="B11" s="65"/>
      <c r="C11" s="65"/>
      <c r="D11" s="156">
        <v>154.19565</v>
      </c>
      <c r="E11" s="156">
        <v>154.19565</v>
      </c>
      <c r="F11" s="156">
        <v>154.19565</v>
      </c>
      <c r="G11" s="156">
        <v>154.19565</v>
      </c>
      <c r="H11" s="156">
        <v>154.19565</v>
      </c>
      <c r="I11" s="156">
        <v>154.19565</v>
      </c>
      <c r="J11" s="3"/>
      <c r="K11" s="14"/>
    </row>
    <row r="12" spans="1:11" ht="12.75">
      <c r="A12" s="60" t="s">
        <v>10</v>
      </c>
      <c r="B12" s="65"/>
      <c r="C12" s="65"/>
      <c r="D12" s="156">
        <v>1006.67722</v>
      </c>
      <c r="E12" s="156">
        <v>1059.0032199999998</v>
      </c>
      <c r="F12" s="156">
        <v>1111.3292199999999</v>
      </c>
      <c r="G12" s="156">
        <v>1163.6552199999999</v>
      </c>
      <c r="H12" s="156">
        <v>1215.9812200000001</v>
      </c>
      <c r="I12" s="156">
        <v>1268.30722</v>
      </c>
      <c r="J12" s="3"/>
      <c r="K12" s="14"/>
    </row>
    <row r="13" spans="1:11" ht="12.75">
      <c r="A13" s="60" t="s">
        <v>11</v>
      </c>
      <c r="B13" s="65"/>
      <c r="C13" s="65"/>
      <c r="D13" s="156">
        <v>648.73857279</v>
      </c>
      <c r="E13" s="156">
        <v>664.24849079</v>
      </c>
      <c r="F13" s="156">
        <v>679.7584087900001</v>
      </c>
      <c r="G13" s="156">
        <v>695.2683267900001</v>
      </c>
      <c r="H13" s="156">
        <v>710.7782447900001</v>
      </c>
      <c r="I13" s="156">
        <v>726.2881627900001</v>
      </c>
      <c r="J13" s="3"/>
      <c r="K13" s="14"/>
    </row>
    <row r="14" spans="1:11" ht="12.75">
      <c r="A14" s="60" t="s">
        <v>12</v>
      </c>
      <c r="B14" s="65"/>
      <c r="C14" s="65"/>
      <c r="D14" s="156">
        <v>914.9928775680003</v>
      </c>
      <c r="E14" s="156">
        <v>914.9928775680003</v>
      </c>
      <c r="F14" s="156">
        <v>914.9928775680003</v>
      </c>
      <c r="G14" s="156">
        <v>914.9928775680003</v>
      </c>
      <c r="H14" s="156">
        <v>914.9928775680003</v>
      </c>
      <c r="I14" s="156">
        <v>914.9928775680003</v>
      </c>
      <c r="J14" s="3"/>
      <c r="K14" s="14"/>
    </row>
    <row r="15" spans="1:11" ht="12.75">
      <c r="A15" s="60" t="s">
        <v>13</v>
      </c>
      <c r="B15" s="65"/>
      <c r="C15" s="65"/>
      <c r="D15" s="156">
        <v>741.6235200000001</v>
      </c>
      <c r="E15" s="156">
        <v>741.6235200000001</v>
      </c>
      <c r="F15" s="156">
        <v>741.6235200000001</v>
      </c>
      <c r="G15" s="156">
        <v>741.6235200000001</v>
      </c>
      <c r="H15" s="156">
        <v>741.6235200000001</v>
      </c>
      <c r="I15" s="156">
        <v>741.6235200000001</v>
      </c>
      <c r="J15" s="3"/>
      <c r="K15" s="14"/>
    </row>
    <row r="16" spans="1:11" ht="12.75">
      <c r="A16" s="60" t="s">
        <v>14</v>
      </c>
      <c r="B16" s="65"/>
      <c r="C16" s="65"/>
      <c r="D16" s="156">
        <v>0</v>
      </c>
      <c r="E16" s="156">
        <v>0</v>
      </c>
      <c r="F16" s="156">
        <v>0</v>
      </c>
      <c r="G16" s="156">
        <v>0</v>
      </c>
      <c r="H16" s="156">
        <v>0</v>
      </c>
      <c r="I16" s="156">
        <v>0</v>
      </c>
      <c r="J16" s="3"/>
      <c r="K16" s="14"/>
    </row>
    <row r="17" spans="1:11" ht="12.75">
      <c r="A17" s="60" t="s">
        <v>33</v>
      </c>
      <c r="B17" s="65"/>
      <c r="C17" s="65"/>
      <c r="D17" s="156">
        <v>7042.925</v>
      </c>
      <c r="E17" s="156">
        <v>7042.925</v>
      </c>
      <c r="F17" s="156">
        <v>7042.925</v>
      </c>
      <c r="G17" s="156">
        <v>7042.925</v>
      </c>
      <c r="H17" s="156">
        <v>7042.925</v>
      </c>
      <c r="I17" s="156">
        <v>7042.925</v>
      </c>
      <c r="J17" s="3"/>
      <c r="K17" s="14"/>
    </row>
    <row r="18" spans="1:11" ht="12.75">
      <c r="A18" s="60" t="s">
        <v>15</v>
      </c>
      <c r="B18" s="65"/>
      <c r="C18" s="65"/>
      <c r="D18" s="156">
        <v>1565.1309767352745</v>
      </c>
      <c r="E18" s="156">
        <v>1708.4052627585695</v>
      </c>
      <c r="F18" s="156">
        <v>1851.6795487818638</v>
      </c>
      <c r="G18" s="156">
        <v>1972.9228447885196</v>
      </c>
      <c r="H18" s="156">
        <v>2072.1351507785357</v>
      </c>
      <c r="I18" s="156">
        <v>2171.3474567685525</v>
      </c>
      <c r="J18" s="3"/>
      <c r="K18" s="14"/>
    </row>
    <row r="19" spans="1:11" ht="12.75">
      <c r="A19" s="60" t="s">
        <v>16</v>
      </c>
      <c r="B19" s="65"/>
      <c r="C19" s="65"/>
      <c r="D19" s="156">
        <v>0</v>
      </c>
      <c r="E19" s="156">
        <v>0</v>
      </c>
      <c r="F19" s="156">
        <v>0</v>
      </c>
      <c r="G19" s="156">
        <v>0</v>
      </c>
      <c r="H19" s="156">
        <v>0</v>
      </c>
      <c r="I19" s="156">
        <v>0</v>
      </c>
      <c r="J19" s="3"/>
      <c r="K19" s="14"/>
    </row>
    <row r="20" spans="1:11" ht="12.75">
      <c r="A20" s="60" t="s">
        <v>17</v>
      </c>
      <c r="B20" s="65"/>
      <c r="C20" s="65"/>
      <c r="D20" s="156">
        <v>537.264</v>
      </c>
      <c r="E20" s="156">
        <v>671.58</v>
      </c>
      <c r="F20" s="156">
        <v>805.8960000000001</v>
      </c>
      <c r="G20" s="156">
        <v>940.212</v>
      </c>
      <c r="H20" s="156">
        <v>1074.528</v>
      </c>
      <c r="I20" s="156">
        <v>1208.844</v>
      </c>
      <c r="J20" s="3"/>
      <c r="K20" s="14"/>
    </row>
    <row r="21" spans="1:11" ht="12.75">
      <c r="A21" s="60" t="s">
        <v>18</v>
      </c>
      <c r="B21" s="65"/>
      <c r="C21" s="65"/>
      <c r="D21" s="156">
        <v>0</v>
      </c>
      <c r="E21" s="156">
        <v>0</v>
      </c>
      <c r="F21" s="156">
        <v>0</v>
      </c>
      <c r="G21" s="156">
        <v>0</v>
      </c>
      <c r="H21" s="156">
        <v>0</v>
      </c>
      <c r="I21" s="156">
        <v>0</v>
      </c>
      <c r="J21" s="3"/>
      <c r="K21" s="14"/>
    </row>
    <row r="22" spans="1:11" s="13" customFormat="1" ht="12.75">
      <c r="A22" s="60" t="s">
        <v>19</v>
      </c>
      <c r="B22" s="65"/>
      <c r="C22" s="65"/>
      <c r="D22" s="156">
        <v>192</v>
      </c>
      <c r="E22" s="156">
        <v>192</v>
      </c>
      <c r="F22" s="156">
        <v>192</v>
      </c>
      <c r="G22" s="156">
        <v>192</v>
      </c>
      <c r="H22" s="156">
        <v>192</v>
      </c>
      <c r="I22" s="156">
        <v>192</v>
      </c>
      <c r="J22" s="3"/>
      <c r="K22" s="12"/>
    </row>
    <row r="23" spans="1:11" s="13" customFormat="1" ht="12.75">
      <c r="A23" s="60" t="s">
        <v>20</v>
      </c>
      <c r="B23" s="65"/>
      <c r="C23" s="65"/>
      <c r="D23" s="156">
        <v>0</v>
      </c>
      <c r="E23" s="156">
        <v>0</v>
      </c>
      <c r="F23" s="156">
        <v>0</v>
      </c>
      <c r="G23" s="156">
        <v>0</v>
      </c>
      <c r="H23" s="156">
        <v>0</v>
      </c>
      <c r="I23" s="156">
        <v>0</v>
      </c>
      <c r="J23" s="3"/>
      <c r="K23" s="12"/>
    </row>
    <row r="24" spans="1:11" s="13" customFormat="1" ht="12.75">
      <c r="A24" s="60" t="s">
        <v>21</v>
      </c>
      <c r="B24" s="65"/>
      <c r="C24" s="65"/>
      <c r="D24" s="156">
        <v>0</v>
      </c>
      <c r="E24" s="156">
        <v>0</v>
      </c>
      <c r="F24" s="156">
        <v>0</v>
      </c>
      <c r="G24" s="156">
        <v>0</v>
      </c>
      <c r="H24" s="156">
        <v>0</v>
      </c>
      <c r="I24" s="156">
        <v>0</v>
      </c>
      <c r="J24" s="3"/>
      <c r="K24" s="12"/>
    </row>
    <row r="25" spans="1:11" s="13" customFormat="1" ht="13.5" thickBot="1">
      <c r="A25" s="60" t="s">
        <v>22</v>
      </c>
      <c r="B25" s="65"/>
      <c r="C25" s="65"/>
      <c r="D25" s="156">
        <v>1069.845279147397</v>
      </c>
      <c r="E25" s="156">
        <v>1167.78041735862</v>
      </c>
      <c r="F25" s="156">
        <v>1265.715555569843</v>
      </c>
      <c r="G25" s="156">
        <v>1348.5914105551922</v>
      </c>
      <c r="H25" s="156">
        <v>1416.4079823146683</v>
      </c>
      <c r="I25" s="156">
        <v>1484.2245540741444</v>
      </c>
      <c r="J25" s="3"/>
      <c r="K25" s="12"/>
    </row>
    <row r="26" spans="1:11" s="13" customFormat="1" ht="26.25" customHeight="1" thickBot="1">
      <c r="A26" s="255" t="s">
        <v>23</v>
      </c>
      <c r="B26" s="264"/>
      <c r="C26" s="265"/>
      <c r="D26" s="33">
        <f aca="true" t="shared" si="1" ref="D26:I26">SUM(D9:D25)</f>
        <v>21447.85059624067</v>
      </c>
      <c r="E26" s="33">
        <f t="shared" si="1"/>
        <v>23411.21693847519</v>
      </c>
      <c r="F26" s="33">
        <f t="shared" si="1"/>
        <v>25374.583280709707</v>
      </c>
      <c r="G26" s="33">
        <f t="shared" si="1"/>
        <v>27036.04684970171</v>
      </c>
      <c r="H26" s="33">
        <f t="shared" si="1"/>
        <v>28395.607645451204</v>
      </c>
      <c r="I26" s="33">
        <f t="shared" si="1"/>
        <v>29755.1684412007</v>
      </c>
      <c r="J26" s="3"/>
      <c r="K26" s="12"/>
    </row>
    <row r="27" spans="1:11" s="13" customFormat="1" ht="13.5" thickBot="1">
      <c r="A27" s="66"/>
      <c r="B27" s="67"/>
      <c r="C27" s="67"/>
      <c r="D27" s="34"/>
      <c r="E27" s="34"/>
      <c r="F27" s="34"/>
      <c r="G27" s="34"/>
      <c r="H27" s="34"/>
      <c r="I27" s="34"/>
      <c r="J27" s="3"/>
      <c r="K27" s="12"/>
    </row>
    <row r="28" spans="1:11" ht="13.5" thickBot="1">
      <c r="A28" s="266" t="s">
        <v>24</v>
      </c>
      <c r="B28" s="267"/>
      <c r="C28" s="268"/>
      <c r="D28" s="159">
        <v>4787.500000000001</v>
      </c>
      <c r="E28" s="147">
        <f>D28</f>
        <v>4787.500000000001</v>
      </c>
      <c r="F28" s="147">
        <f>E28</f>
        <v>4787.500000000001</v>
      </c>
      <c r="G28" s="147">
        <f>F28</f>
        <v>4787.500000000001</v>
      </c>
      <c r="H28" s="147">
        <f>G28</f>
        <v>4787.500000000001</v>
      </c>
      <c r="I28" s="147">
        <f>H28</f>
        <v>4787.500000000001</v>
      </c>
      <c r="J28" s="27"/>
      <c r="K28" s="3"/>
    </row>
    <row r="29" spans="1:11" ht="13.5" thickBot="1">
      <c r="A29" s="66"/>
      <c r="B29" s="67"/>
      <c r="C29" s="67"/>
      <c r="D29" s="34"/>
      <c r="E29" s="34"/>
      <c r="F29" s="34"/>
      <c r="G29" s="34"/>
      <c r="H29" s="34"/>
      <c r="I29" s="34"/>
      <c r="J29" s="3"/>
      <c r="K29" s="14"/>
    </row>
    <row r="30" spans="1:11" ht="26.25" customHeight="1" thickBot="1">
      <c r="A30" s="255" t="s">
        <v>25</v>
      </c>
      <c r="B30" s="264"/>
      <c r="C30" s="265"/>
      <c r="D30" s="33">
        <f aca="true" t="shared" si="2" ref="D30:I30">D26+D28</f>
        <v>26235.35059624067</v>
      </c>
      <c r="E30" s="33">
        <f t="shared" si="2"/>
        <v>28198.71693847519</v>
      </c>
      <c r="F30" s="33">
        <f t="shared" si="2"/>
        <v>30162.083280709707</v>
      </c>
      <c r="G30" s="33">
        <f t="shared" si="2"/>
        <v>31823.54684970171</v>
      </c>
      <c r="H30" s="33">
        <f t="shared" si="2"/>
        <v>33183.10764545121</v>
      </c>
      <c r="I30" s="33">
        <f t="shared" si="2"/>
        <v>34542.6684412007</v>
      </c>
      <c r="J30" s="3"/>
      <c r="K30" s="14"/>
    </row>
    <row r="31" spans="1:11" ht="13.5" thickBot="1">
      <c r="A31" s="61"/>
      <c r="B31" s="62"/>
      <c r="C31" s="62"/>
      <c r="D31" s="36"/>
      <c r="E31" s="36"/>
      <c r="F31" s="36"/>
      <c r="G31" s="36"/>
      <c r="H31" s="36"/>
      <c r="I31" s="36"/>
      <c r="J31" s="3"/>
      <c r="K31" s="14"/>
    </row>
    <row r="32" spans="1:11" ht="26.25" customHeight="1" thickBot="1">
      <c r="A32" s="255" t="s">
        <v>26</v>
      </c>
      <c r="B32" s="256"/>
      <c r="C32" s="257"/>
      <c r="D32" s="33">
        <f aca="true" t="shared" si="3" ref="D32:I32">D30/D5</f>
        <v>3279.418824530084</v>
      </c>
      <c r="E32" s="33">
        <f t="shared" si="3"/>
        <v>2819.871693847519</v>
      </c>
      <c r="F32" s="33">
        <f t="shared" si="3"/>
        <v>2513.5069400591424</v>
      </c>
      <c r="G32" s="33">
        <f t="shared" si="3"/>
        <v>2273.110489264408</v>
      </c>
      <c r="H32" s="33">
        <f t="shared" si="3"/>
        <v>2073.9442278407005</v>
      </c>
      <c r="I32" s="33">
        <f t="shared" si="3"/>
        <v>1919.0371356222613</v>
      </c>
      <c r="J32" s="3"/>
      <c r="K32" s="14"/>
    </row>
    <row r="33" spans="1:11" ht="13.5" thickBot="1">
      <c r="A33" s="61"/>
      <c r="B33" s="62"/>
      <c r="C33" s="62"/>
      <c r="D33" s="36"/>
      <c r="E33" s="36"/>
      <c r="F33" s="36"/>
      <c r="G33" s="36"/>
      <c r="H33" s="36"/>
      <c r="I33" s="36"/>
      <c r="J33" s="3"/>
      <c r="K33" s="14"/>
    </row>
    <row r="34" spans="1:11" ht="13.5" thickBot="1">
      <c r="A34" s="59" t="s">
        <v>27</v>
      </c>
      <c r="B34" s="72"/>
      <c r="C34" s="72"/>
      <c r="D34" s="33">
        <f>'Pryse + Sensatiwiteitsanali'!D4</f>
        <v>296</v>
      </c>
      <c r="E34" s="33">
        <f>$D$34</f>
        <v>296</v>
      </c>
      <c r="F34" s="33">
        <f>$D$34</f>
        <v>296</v>
      </c>
      <c r="G34" s="33">
        <f>$D$34</f>
        <v>296</v>
      </c>
      <c r="H34" s="33">
        <f>$D$34</f>
        <v>296</v>
      </c>
      <c r="I34" s="33">
        <f>$D$34</f>
        <v>296</v>
      </c>
      <c r="J34" s="3"/>
      <c r="K34" s="3"/>
    </row>
    <row r="35" spans="1:11" ht="13.5" thickBot="1">
      <c r="A35" s="61"/>
      <c r="B35" s="62"/>
      <c r="C35" s="62"/>
      <c r="D35" s="36"/>
      <c r="E35" s="36"/>
      <c r="F35" s="36"/>
      <c r="G35" s="36"/>
      <c r="H35" s="36"/>
      <c r="I35" s="36"/>
      <c r="J35" s="3"/>
      <c r="K35" s="3"/>
    </row>
    <row r="36" spans="1:10" ht="23.25" customHeight="1" thickBot="1">
      <c r="A36" s="269" t="s">
        <v>28</v>
      </c>
      <c r="B36" s="256"/>
      <c r="C36" s="257"/>
      <c r="D36" s="35">
        <f aca="true" t="shared" si="4" ref="D36:I36">D32+D34</f>
        <v>3575.418824530084</v>
      </c>
      <c r="E36" s="35">
        <f t="shared" si="4"/>
        <v>3115.871693847519</v>
      </c>
      <c r="F36" s="35">
        <f t="shared" si="4"/>
        <v>2809.5069400591424</v>
      </c>
      <c r="G36" s="35">
        <f t="shared" si="4"/>
        <v>2569.110489264408</v>
      </c>
      <c r="H36" s="35">
        <f t="shared" si="4"/>
        <v>2369.9442278407005</v>
      </c>
      <c r="I36" s="35">
        <f t="shared" si="4"/>
        <v>2215.0371356222613</v>
      </c>
      <c r="J36" s="3"/>
    </row>
    <row r="37" spans="1:10" ht="13.5" thickBot="1">
      <c r="A37" s="68" t="s">
        <v>29</v>
      </c>
      <c r="B37" s="69"/>
      <c r="C37" s="70"/>
      <c r="D37" s="35">
        <f>'Pryse + Sensatiwiteitsanali'!B4</f>
        <v>2700</v>
      </c>
      <c r="E37" s="35">
        <f>$D$37</f>
        <v>2700</v>
      </c>
      <c r="F37" s="35">
        <v>3000</v>
      </c>
      <c r="G37" s="35">
        <v>3000</v>
      </c>
      <c r="H37" s="35">
        <v>3000</v>
      </c>
      <c r="I37" s="35">
        <v>3000</v>
      </c>
      <c r="J37" s="14"/>
    </row>
    <row r="38" spans="1:10" ht="15">
      <c r="A38" s="75" t="s">
        <v>34</v>
      </c>
      <c r="B38" s="76"/>
      <c r="C38" s="76"/>
      <c r="D38" s="76"/>
      <c r="E38" s="76"/>
      <c r="F38" s="76"/>
      <c r="G38" s="76"/>
      <c r="H38" s="77"/>
      <c r="I38" s="74"/>
      <c r="J38" s="74"/>
    </row>
    <row r="39" spans="1:10" ht="15">
      <c r="A39" s="78" t="s">
        <v>35</v>
      </c>
      <c r="B39" s="79"/>
      <c r="C39" s="79"/>
      <c r="D39" s="79"/>
      <c r="E39" s="79"/>
      <c r="F39" s="79"/>
      <c r="G39" s="79"/>
      <c r="H39" s="80"/>
      <c r="I39" s="74"/>
      <c r="J39" s="74"/>
    </row>
    <row r="40" spans="1:10" ht="15.75" thickBot="1">
      <c r="A40" s="81" t="s">
        <v>36</v>
      </c>
      <c r="B40" s="82"/>
      <c r="C40" s="82"/>
      <c r="D40" s="82"/>
      <c r="E40" s="82"/>
      <c r="F40" s="82"/>
      <c r="G40" s="82"/>
      <c r="H40" s="83"/>
      <c r="I40" s="74"/>
      <c r="J40" s="74"/>
    </row>
    <row r="41" spans="1:8" ht="12.75">
      <c r="A41" s="243" t="s">
        <v>37</v>
      </c>
      <c r="B41" s="244"/>
      <c r="C41" s="244"/>
      <c r="D41" s="244"/>
      <c r="E41" s="244"/>
      <c r="F41" s="244"/>
      <c r="G41" s="244"/>
      <c r="H41" s="245"/>
    </row>
    <row r="42" spans="1:8" ht="12.75">
      <c r="A42" s="246"/>
      <c r="B42" s="247"/>
      <c r="C42" s="247"/>
      <c r="D42" s="247"/>
      <c r="E42" s="247"/>
      <c r="F42" s="247"/>
      <c r="G42" s="247"/>
      <c r="H42" s="248"/>
    </row>
    <row r="43" spans="1:8" ht="12.75">
      <c r="A43" s="246"/>
      <c r="B43" s="247"/>
      <c r="C43" s="247"/>
      <c r="D43" s="247"/>
      <c r="E43" s="247"/>
      <c r="F43" s="247"/>
      <c r="G43" s="247"/>
      <c r="H43" s="248"/>
    </row>
    <row r="44" spans="1:8" ht="13.5" thickBot="1">
      <c r="A44" s="249"/>
      <c r="B44" s="250"/>
      <c r="C44" s="250"/>
      <c r="D44" s="250"/>
      <c r="E44" s="250"/>
      <c r="F44" s="250"/>
      <c r="G44" s="250"/>
      <c r="H44" s="251"/>
    </row>
    <row r="71" ht="12.75"/>
    <row r="72" ht="12.75"/>
    <row r="73" ht="12.75"/>
    <row r="74" ht="12.75"/>
    <row r="75" ht="12.75"/>
  </sheetData>
  <sheetProtection/>
  <mergeCells count="10">
    <mergeCell ref="A41:H44"/>
    <mergeCell ref="A1:D1"/>
    <mergeCell ref="E1:G1"/>
    <mergeCell ref="A36:C36"/>
    <mergeCell ref="A3:C3"/>
    <mergeCell ref="A8:C8"/>
    <mergeCell ref="A26:C26"/>
    <mergeCell ref="A28:C28"/>
    <mergeCell ref="A30:C30"/>
    <mergeCell ref="A32:C32"/>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1" r:id="rId2"/>
  <headerFooter alignWithMargins="0">
    <oddHeader>&amp;C&amp;F</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2017-07-31T12:10:53Z</cp:lastPrinted>
  <dcterms:created xsi:type="dcterms:W3CDTF">2007-01-09T12:07:13Z</dcterms:created>
  <dcterms:modified xsi:type="dcterms:W3CDTF">2020-10-14T07:22:46Z</dcterms:modified>
  <cp:category/>
  <cp:version/>
  <cp:contentType/>
  <cp:contentStatus/>
</cp:coreProperties>
</file>