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5" windowWidth="11355" windowHeight="3270" tabRatio="883" activeTab="0"/>
  </bookViews>
  <sheets>
    <sheet name="Pryse + Sensatiwiteitsanali" sheetId="1" r:id="rId1"/>
    <sheet name="Koring besproei" sheetId="2" r:id="rId2"/>
    <sheet name="Gars besproei" sheetId="3" r:id="rId3"/>
    <sheet name="Crop Comparison" sheetId="4" r:id="rId4"/>
  </sheets>
  <externalReferences>
    <externalReference r:id="rId7"/>
    <externalReference r:id="rId8"/>
  </externalReferences>
  <definedNames>
    <definedName name="_xlfn.AGGREGATE" hidden="1">#NAME?</definedName>
    <definedName name="BTopbrengspeil" localSheetId="3">'[2]Gars besproei'!$M$9:$M$14</definedName>
    <definedName name="BTopbrengspeil">'Gars besproei'!$M$9:$M$14</definedName>
    <definedName name="_xlnm.Print_Area" localSheetId="2">'Gars besproei'!$A$1:$I$40</definedName>
    <definedName name="_xlnm.Print_Area" localSheetId="1">'Koring besproei'!$A$1:$I$42</definedName>
    <definedName name="RRHpbrengspeil">#REF!</definedName>
    <definedName name="RRLopbrengspeil" localSheetId="3">'[2]Koring besproei'!$M$9:$M$14</definedName>
    <definedName name="RRLopbrengspeil">'Koring besproei'!$M$9:$M$14</definedName>
    <definedName name="RRopbrengspeil">'Koring besproei'!$M$9:$M$14</definedName>
    <definedName name="RRopbrens">'[1]W-BT Mielies'!$K$9:$K$14</definedName>
    <definedName name="Sojaopbrengspeil">#REF!</definedName>
    <definedName name="Sonopbrengspeil">#REF!</definedName>
    <definedName name="Sorgopbrengspeil">#REF!</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<sst xmlns="http://schemas.openxmlformats.org/spreadsheetml/2006/main" count="171" uniqueCount="98">
  <si>
    <t>Rand/ton</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</si>
  <si>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</si>
  <si>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</si>
  <si>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</si>
  <si>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</si>
  <si>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</si>
  <si>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</si>
  <si>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</si>
  <si>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</si>
  <si>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</si>
  <si>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</si>
  <si>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</si>
  <si>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</si>
  <si>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</si>
  <si>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</si>
  <si>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</si>
  <si>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</si>
  <si>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</si>
  <si>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</si>
  <si>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</si>
  <si>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</si>
  <si>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</si>
  <si>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</si>
  <si>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</si>
  <si>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</si>
  <si>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</si>
  <si>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</si>
  <si>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</si>
  <si>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</si>
  <si>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</si>
  <si>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</si>
  <si>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Gewas</t>
  </si>
  <si>
    <t>SAFEX pryse (R/ton)</t>
  </si>
  <si>
    <t>Total deductions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</si>
  <si>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</si>
  <si>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</si>
  <si>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</si>
  <si>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</si>
  <si>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</si>
  <si>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</si>
  <si>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</si>
  <si>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</si>
  <si>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</si>
  <si>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</si>
  <si>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Datum opgedateer / Date updated</t>
  </si>
  <si>
    <t>Opbrengspeil</t>
  </si>
  <si>
    <t>Lopende koste</t>
  </si>
  <si>
    <t>Oorhoofse koste</t>
  </si>
  <si>
    <t>RRLMielies</t>
  </si>
  <si>
    <t>BTMielies</t>
  </si>
  <si>
    <t>Gars / Barley</t>
  </si>
  <si>
    <t>KORING: SENSATIWITIETSANALISE - TOTALE KOSTES ( DIREKTE KOSTE + VASTE KOSTE)</t>
  </si>
  <si>
    <t>GARS: SENSATIWITIETSANALISE - TOTALE KOSTES ( DIREKTE KOSTE + VASTE KOSTE)</t>
  </si>
  <si>
    <t>KORING: SENSATIWITIETSANALISE - DIREKTE KOSTE</t>
  </si>
  <si>
    <t>GARS: SENSATIWITIETSANALISE - DIREKTE KOSTE</t>
  </si>
  <si>
    <t>Prys/price  (R/ton)</t>
  </si>
  <si>
    <t>Limpopo</t>
  </si>
  <si>
    <t xml:space="preserve">Produsent prys raming vir besproeiing GARS                                                    Producer price framework for irrigation BARLEY </t>
  </si>
  <si>
    <t>Produsent prys raming vir besproeiing KORING                                                    Producer price framework for irrigation WHEAT</t>
  </si>
  <si>
    <t>Wheat besproei/irrigation</t>
  </si>
  <si>
    <t>Barley besproei/irrigation</t>
  </si>
  <si>
    <t>Besproeiingskoste / Irrigation cost</t>
  </si>
  <si>
    <t xml:space="preserve">Crop </t>
  </si>
  <si>
    <t>Wheat</t>
  </si>
  <si>
    <t>Barley</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</si>
  <si>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</si>
  <si>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</si>
  <si>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</si>
  <si>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</si>
  <si>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</si>
  <si>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</si>
  <si>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</si>
  <si>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</si>
  <si>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</si>
  <si>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</si>
  <si>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</si>
  <si>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GROSS MARGIN  (R/ton)</t>
  </si>
  <si>
    <t>5) NETT MARGIN  (R/ha)</t>
  </si>
  <si>
    <t>6) NETT MARGIN  (R/ton)</t>
  </si>
  <si>
    <r>
      <rPr>
        <b/>
        <sz val="11"/>
        <color indexed="8"/>
        <rFont val="Calibri"/>
        <family val="2"/>
      </rPr>
      <t>Disclaimer:</t>
    </r>
    <r>
      <rPr>
        <sz val="10"/>
        <rFont val="Calibri"/>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</si>
  <si>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</si>
  <si>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</si>
  <si>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</si>
  <si>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</si>
  <si>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 xml:space="preserve">2) VARIABLE &amp; FIXED EXPENDITURES </t>
  </si>
  <si>
    <t>Total variable &amp; fixed expenditure (R/ha)</t>
  </si>
  <si>
    <t>Total variable &amp; fixed expenditure (R/ton)</t>
  </si>
  <si>
    <t>3) NETT MARGIN</t>
  </si>
  <si>
    <t>Nett margin (R/ha)</t>
  </si>
  <si>
    <t>Net margin (R/ton)</t>
  </si>
  <si>
    <t>BREAK-EVEN &amp; PROFITABILITY</t>
  </si>
  <si>
    <t>Break-even yields (t/ha)</t>
  </si>
  <si>
    <t>Break-even Safex price (t/ha)</t>
  </si>
  <si>
    <t>Profitability (%)</t>
  </si>
  <si>
    <t>Koring / Wheat - Dec 19</t>
  </si>
  <si>
    <t>SAFEX Dec'19 prys/ price  (R/ton)</t>
  </si>
  <si>
    <t>PRODUKSIEJAAR   2019-20   PRODUCTION YEAR 2019-20</t>
  </si>
  <si>
    <t>INCOME &amp; COST BUDGETS - WINTER CROPS 2019</t>
  </si>
</sst>
</file>

<file path=xl/styles.xml><?xml version="1.0" encoding="utf-8"?>
<styleSheet xmlns="http://schemas.openxmlformats.org/spreadsheetml/2006/main">
  <numFmts count="6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00_);_(* \(#,##0.00\);_(* &quot;-&quot;??_);_(@_)"/>
    <numFmt numFmtId="179" formatCode="0.00_)"/>
    <numFmt numFmtId="180" formatCode="0_)"/>
    <numFmt numFmtId="181" formatCode="0.000"/>
    <numFmt numFmtId="182" formatCode="mm/dd/yy"/>
    <numFmt numFmtId="183" formatCode="_(* #,##0.000000000000000_);_(* \(#,##0.000000000000000\);_(* &quot;-&quot;???????????????_);_(@_)"/>
    <numFmt numFmtId="184" formatCode="0.0"/>
    <numFmt numFmtId="185" formatCode="0.000000"/>
    <numFmt numFmtId="186" formatCode="[$-436]dd\ mmmm\ yyyy;@"/>
    <numFmt numFmtId="187" formatCode="_ * #,##0.00_ ;_ * \-#,##0.00_ ;_ * &quot;-&quot;_ ;_ @_ "/>
    <numFmt numFmtId="188" formatCode="_ * #,##0.00000_ ;_ * \-#,##0.00000_ ;_ * &quot;-&quot;_ ;_ @_ "/>
    <numFmt numFmtId="189" formatCode="0.0%"/>
    <numFmt numFmtId="190" formatCode="0.0_)"/>
    <numFmt numFmtId="191" formatCode="_ * #,##0.0_ ;_ * \-#,##0.0_ ;_ * &quot;-&quot;?_ ;_ @_ "/>
    <numFmt numFmtId="192" formatCode="_ * #,##0.000_ ;_ * \-#,##0.000_ ;_ * &quot;-&quot;???_ ;_ @_ "/>
    <numFmt numFmtId="193" formatCode="0.0000_)"/>
    <numFmt numFmtId="194" formatCode="_(* #,##0.0000_);_(* \(#,##0.0000\);_(* &quot;-&quot;??_);_(@_)"/>
    <numFmt numFmtId="195" formatCode="_(* #,##0.0_);_(* \(#,##0.0\);_(* &quot;-&quot;??_);_(@_)"/>
    <numFmt numFmtId="196" formatCode="_(* #,##0_);_(* \(#,##0\);_(* &quot;-&quot;??_);_(@_)"/>
    <numFmt numFmtId="197" formatCode="_ * #,##0.000_ ;_ * \-#,##0.000_ ;_ * &quot;-&quot;??_ ;_ @_ "/>
    <numFmt numFmtId="198" formatCode="_ * #,##0_ ;_ * \-#,##0_ ;_ * &quot;-&quot;??_ ;_ @_ "/>
    <numFmt numFmtId="199" formatCode="_ * #,##0.00_ ;_ * \-#,##0.00_ ;_ * &quot;-&quot;?_ ;_ @_ "/>
    <numFmt numFmtId="200" formatCode="#,##0.0_ ;\-#,##0.0\ "/>
    <numFmt numFmtId="201" formatCode="#,##0.0"/>
    <numFmt numFmtId="202" formatCode="_ * #,##0.000000_ ;_ * \-#,##0.000000_ ;_ * &quot;-&quot;??_ ;_ @_ "/>
    <numFmt numFmtId="203" formatCode="_ * #,##0.0000000_ ;_ * \-#,##0.0000000_ ;_ * &quot;-&quot;??_ ;_ @_ "/>
    <numFmt numFmtId="204" formatCode="_ * #,##0.00000000_ ;_ * \-#,##0.00000000_ ;_ * &quot;-&quot;??_ ;_ @_ "/>
    <numFmt numFmtId="205" formatCode="0.000_)"/>
    <numFmt numFmtId="206" formatCode="_(&quot;$&quot;* #,##0.00_);_(&quot;$&quot;* \(#,##0.00\);_(&quot;$&quot;* &quot;-&quot;??_);_(@_)"/>
    <numFmt numFmtId="207" formatCode="0.0000000"/>
    <numFmt numFmtId="208" formatCode="0.00000000"/>
    <numFmt numFmtId="209" formatCode="0.00000"/>
    <numFmt numFmtId="210" formatCode="0.0000"/>
    <numFmt numFmtId="211" formatCode="&quot;R&quot;\ #,##0.00"/>
    <numFmt numFmtId="212" formatCode="&quot;R&quot;\ #,##0.000"/>
    <numFmt numFmtId="213" formatCode="&quot;R&quot;\ #,##0.0000"/>
    <numFmt numFmtId="214" formatCode="&quot;R&quot;\ #,##0.00000"/>
    <numFmt numFmtId="215" formatCode="&quot;R&quot;\ #,##0.0"/>
    <numFmt numFmtId="216" formatCode="&quot;R&quot;\ #,##0"/>
    <numFmt numFmtId="217" formatCode="_ * #,##0.0_ ;_ * \-#,##0.0_ ;_ * &quot;-&quot;??_ ;_ @_ "/>
    <numFmt numFmtId="218" formatCode="0.00;\-0.00;\-"/>
    <numFmt numFmtId="219" formatCode="#,##0.000"/>
    <numFmt numFmtId="220" formatCode="_ &quot;R&quot;\ * #,##0_ ;_ &quot;R&quot;\ * \-#,##0_ ;_ &quot;R&quot;\ * &quot;-&quot;??_ ;_ @_ "/>
    <numFmt numFmtId="221" formatCode="_ * #,##0.0000_ ;_ * \-#,##0.0000_ ;_ * &quot;-&quot;??_ ;_ @_ "/>
    <numFmt numFmtId="222" formatCode="_ [$R-1C09]\ * #,##0.00_ ;_ [$R-1C09]\ * \-#,##0.00_ ;_ [$R-1C09]\ * &quot;-&quot;??_ ;_ @_ "/>
  </numFmts>
  <fonts count="68">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1"/>
      <name val="Calibri"/>
      <family val="2"/>
    </font>
    <font>
      <sz val="11"/>
      <name val="Calibri"/>
      <family val="2"/>
    </font>
    <font>
      <sz val="10"/>
      <name val="Arial Black"/>
      <family val="2"/>
    </font>
    <font>
      <b/>
      <sz val="9"/>
      <name val="Tahoma"/>
      <family val="2"/>
    </font>
    <font>
      <sz val="9"/>
      <name val="Tahoma"/>
      <family val="2"/>
    </font>
    <font>
      <sz val="11"/>
      <color indexed="62"/>
      <name val="Calibri"/>
      <family val="2"/>
    </font>
    <font>
      <sz val="12"/>
      <name val="HLV"/>
      <family val="0"/>
    </font>
    <font>
      <b/>
      <sz val="15"/>
      <color indexed="8"/>
      <name val="Arial"/>
      <family val="2"/>
    </font>
    <font>
      <b/>
      <sz val="14"/>
      <color indexed="8"/>
      <name val="Arial"/>
      <family val="2"/>
    </font>
    <font>
      <sz val="12"/>
      <color indexed="8"/>
      <name val="HLV"/>
      <family val="0"/>
    </font>
    <font>
      <b/>
      <sz val="11"/>
      <color indexed="8"/>
      <name val="Calibri"/>
      <family val="2"/>
    </font>
    <font>
      <sz val="10"/>
      <name val="Calibri"/>
      <family val="2"/>
    </font>
    <font>
      <b/>
      <sz val="16"/>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8"/>
      <color indexed="17"/>
      <name val="Arial"/>
      <family val="2"/>
    </font>
    <font>
      <b/>
      <sz val="10"/>
      <color indexed="8"/>
      <name val="Arial"/>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B050"/>
      <name val="Arial"/>
      <family val="2"/>
    </font>
    <font>
      <b/>
      <sz val="10"/>
      <color rgb="FFFF0000"/>
      <name val="Arial"/>
      <family val="2"/>
    </font>
    <font>
      <b/>
      <sz val="10"/>
      <color theme="1"/>
      <name val="Arial"/>
      <family val="2"/>
    </font>
    <font>
      <b/>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top/>
      <bottom style="thin"/>
    </border>
    <border>
      <left style="medium"/>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style="medium"/>
      <right style="medium"/>
      <top>
        <color indexed="63"/>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top/>
      <bottom style="double"/>
    </border>
    <border>
      <left/>
      <right style="thin"/>
      <top/>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right style="thin"/>
      <top/>
      <bottom style="medium"/>
    </border>
    <border>
      <left/>
      <right/>
      <top style="double"/>
      <bottom style="double"/>
    </border>
    <border>
      <left/>
      <right style="thin"/>
      <top style="double"/>
      <bottom style="double"/>
    </border>
    <border>
      <left style="medium"/>
      <right style="medium"/>
      <top>
        <color indexed="63"/>
      </top>
      <bottom style="mediu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44"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2" fontId="18" fillId="0" borderId="0">
      <alignment horizontal="left" vertical="top"/>
      <protection/>
    </xf>
    <xf numFmtId="1" fontId="19" fillId="0" borderId="0">
      <alignment horizontal="left" vertical="top"/>
      <protection/>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6" fillId="31" borderId="6" applyNumberFormat="0" applyAlignment="0" applyProtection="0"/>
    <xf numFmtId="176" fontId="0" fillId="16" borderId="6" applyNumberFormat="0">
      <alignment vertical="center"/>
      <protection/>
    </xf>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58" fillId="0" borderId="0">
      <alignment/>
      <protection/>
    </xf>
    <xf numFmtId="0" fontId="0" fillId="0" borderId="0">
      <alignment/>
      <protection/>
    </xf>
    <xf numFmtId="0" fontId="9" fillId="0" borderId="0">
      <alignment/>
      <protection/>
    </xf>
    <xf numFmtId="0" fontId="58" fillId="0" borderId="0">
      <alignment/>
      <protection/>
    </xf>
    <xf numFmtId="0" fontId="17"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44"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44" fillId="0" borderId="0">
      <alignment/>
      <protection/>
    </xf>
    <xf numFmtId="0" fontId="8" fillId="0" borderId="0">
      <alignment/>
      <protection/>
    </xf>
    <xf numFmtId="0" fontId="8" fillId="0" borderId="0">
      <alignment/>
      <protection/>
    </xf>
    <xf numFmtId="0" fontId="44" fillId="0" borderId="0">
      <alignment/>
      <protection/>
    </xf>
    <xf numFmtId="0" fontId="0" fillId="0" borderId="0">
      <alignment/>
      <protection/>
    </xf>
    <xf numFmtId="0" fontId="5" fillId="0" borderId="0">
      <alignment/>
      <protection/>
    </xf>
    <xf numFmtId="0" fontId="8" fillId="0" borderId="0">
      <alignment/>
      <protection/>
    </xf>
    <xf numFmtId="0" fontId="8" fillId="0" borderId="0">
      <alignment/>
      <protection/>
    </xf>
    <xf numFmtId="0" fontId="9"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238">
    <xf numFmtId="0" fontId="0" fillId="0" borderId="0" xfId="0" applyAlignment="1">
      <alignment/>
    </xf>
    <xf numFmtId="0" fontId="0" fillId="0" borderId="0" xfId="0" applyFont="1" applyFill="1" applyAlignment="1" applyProtection="1">
      <alignment/>
      <protection hidden="1"/>
    </xf>
    <xf numFmtId="0" fontId="1" fillId="35" borderId="1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36" borderId="13" xfId="0" applyFont="1" applyFill="1" applyBorder="1" applyAlignment="1" applyProtection="1">
      <alignment/>
      <protection hidden="1"/>
    </xf>
    <xf numFmtId="0" fontId="1" fillId="0" borderId="11" xfId="0" applyFont="1" applyFill="1" applyBorder="1" applyAlignment="1" applyProtection="1">
      <alignment horizontal="centerContinuous"/>
      <protection hidden="1"/>
    </xf>
    <xf numFmtId="0" fontId="1" fillId="0" borderId="11" xfId="0" applyFont="1" applyFill="1" applyBorder="1" applyAlignment="1" applyProtection="1">
      <alignment horizontal="left"/>
      <protection hidden="1"/>
    </xf>
    <xf numFmtId="0" fontId="0" fillId="0" borderId="11"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0" fontId="0" fillId="0" borderId="0" xfId="0" applyFont="1" applyBorder="1" applyAlignment="1" applyProtection="1">
      <alignment/>
      <protection hidden="1"/>
    </xf>
    <xf numFmtId="0" fontId="1" fillId="35" borderId="13"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6" borderId="11" xfId="0" applyFont="1" applyFill="1" applyBorder="1" applyAlignment="1" applyProtection="1">
      <alignment/>
      <protection hidden="1"/>
    </xf>
    <xf numFmtId="0" fontId="2" fillId="0" borderId="11" xfId="0" applyFont="1" applyFill="1" applyBorder="1" applyAlignment="1" applyProtection="1">
      <alignment/>
      <protection hidden="1"/>
    </xf>
    <xf numFmtId="0" fontId="0" fillId="0" borderId="13" xfId="0" applyFont="1" applyFill="1" applyBorder="1" applyAlignment="1" applyProtection="1">
      <alignment/>
      <protection hidden="1"/>
    </xf>
    <xf numFmtId="180" fontId="1" fillId="37" borderId="16" xfId="0" applyNumberFormat="1" applyFont="1" applyFill="1" applyBorder="1" applyAlignment="1" applyProtection="1">
      <alignment horizontal="right"/>
      <protection hidden="1"/>
    </xf>
    <xf numFmtId="0" fontId="0" fillId="36" borderId="16" xfId="0" applyFont="1" applyFill="1" applyBorder="1" applyAlignment="1" applyProtection="1">
      <alignment/>
      <protection hidden="1"/>
    </xf>
    <xf numFmtId="178" fontId="1" fillId="0" borderId="0" xfId="0" applyNumberFormat="1" applyFont="1" applyBorder="1" applyAlignment="1" applyProtection="1">
      <alignment/>
      <protection hidden="1"/>
    </xf>
    <xf numFmtId="177" fontId="0" fillId="0" borderId="0" xfId="0" applyNumberFormat="1" applyFont="1" applyFill="1" applyAlignment="1" applyProtection="1">
      <alignment/>
      <protection hidden="1"/>
    </xf>
    <xf numFmtId="0" fontId="1" fillId="36" borderId="11" xfId="0" applyFont="1" applyFill="1" applyBorder="1" applyAlignment="1" applyProtection="1">
      <alignment/>
      <protection hidden="1"/>
    </xf>
    <xf numFmtId="177" fontId="1" fillId="38" borderId="16" xfId="0" applyNumberFormat="1" applyFont="1" applyFill="1" applyBorder="1" applyAlignment="1" applyProtection="1">
      <alignment/>
      <protection hidden="1"/>
    </xf>
    <xf numFmtId="177" fontId="1" fillId="37" borderId="17" xfId="0" applyNumberFormat="1" applyFont="1" applyFill="1" applyBorder="1" applyAlignment="1" applyProtection="1">
      <alignment/>
      <protection hidden="1"/>
    </xf>
    <xf numFmtId="177" fontId="1" fillId="36" borderId="16" xfId="0" applyNumberFormat="1" applyFont="1" applyFill="1" applyBorder="1" applyAlignment="1" applyProtection="1">
      <alignment/>
      <protection hidden="1"/>
    </xf>
    <xf numFmtId="177" fontId="1" fillId="0" borderId="17" xfId="0" applyNumberFormat="1" applyFont="1" applyFill="1" applyBorder="1" applyAlignment="1" applyProtection="1">
      <alignment/>
      <protection hidden="1"/>
    </xf>
    <xf numFmtId="177" fontId="1" fillId="38" borderId="16" xfId="0" applyNumberFormat="1" applyFont="1" applyFill="1" applyBorder="1" applyAlignment="1" applyProtection="1">
      <alignment horizontal="right"/>
      <protection hidden="1"/>
    </xf>
    <xf numFmtId="177" fontId="1" fillId="0" borderId="0" xfId="0" applyNumberFormat="1" applyFont="1" applyFill="1" applyBorder="1" applyAlignment="1" applyProtection="1">
      <alignment/>
      <protection hidden="1"/>
    </xf>
    <xf numFmtId="177" fontId="1" fillId="36" borderId="11" xfId="0" applyNumberFormat="1" applyFont="1" applyFill="1" applyBorder="1" applyAlignment="1" applyProtection="1">
      <alignment horizontal="left"/>
      <protection hidden="1"/>
    </xf>
    <xf numFmtId="191" fontId="1" fillId="0" borderId="0" xfId="0" applyNumberFormat="1" applyFont="1" applyFill="1" applyBorder="1" applyAlignment="1" applyProtection="1">
      <alignment/>
      <protection hidden="1"/>
    </xf>
    <xf numFmtId="177" fontId="1" fillId="0" borderId="0" xfId="0" applyNumberFormat="1" applyFont="1" applyFill="1" applyBorder="1" applyAlignment="1" applyProtection="1">
      <alignment horizontal="right"/>
      <protection hidden="1"/>
    </xf>
    <xf numFmtId="180" fontId="1" fillId="0" borderId="0" xfId="0" applyNumberFormat="1" applyFont="1" applyFill="1" applyBorder="1" applyAlignment="1" applyProtection="1">
      <alignment horizontal="right"/>
      <protection hidden="1"/>
    </xf>
    <xf numFmtId="0" fontId="1" fillId="36" borderId="18" xfId="0" applyFont="1" applyFill="1" applyBorder="1" applyAlignment="1" applyProtection="1">
      <alignment horizontal="left"/>
      <protection hidden="1"/>
    </xf>
    <xf numFmtId="0" fontId="1" fillId="36" borderId="11"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8" xfId="0" applyFont="1" applyFill="1" applyBorder="1" applyAlignment="1" applyProtection="1">
      <alignment horizontal="left"/>
      <protection hidden="1"/>
    </xf>
    <xf numFmtId="0" fontId="1" fillId="38" borderId="18" xfId="0" applyFont="1" applyFill="1" applyBorder="1" applyAlignment="1" applyProtection="1">
      <alignment horizontal="left"/>
      <protection hidden="1"/>
    </xf>
    <xf numFmtId="0" fontId="1" fillId="38" borderId="11" xfId="0" applyFont="1" applyFill="1" applyBorder="1" applyAlignment="1" applyProtection="1">
      <alignment horizontal="left"/>
      <protection hidden="1"/>
    </xf>
    <xf numFmtId="179" fontId="1" fillId="38" borderId="13" xfId="0" applyNumberFormat="1" applyFont="1" applyFill="1" applyBorder="1" applyAlignment="1" applyProtection="1">
      <alignment horizontal="left"/>
      <protection hidden="1"/>
    </xf>
    <xf numFmtId="0" fontId="1" fillId="0" borderId="18" xfId="76" applyFont="1" applyFill="1" applyBorder="1" applyAlignment="1" applyProtection="1">
      <alignment horizontal="left"/>
      <protection hidden="1"/>
    </xf>
    <xf numFmtId="0" fontId="1" fillId="38" borderId="18" xfId="76" applyFont="1" applyFill="1" applyBorder="1" applyAlignment="1" applyProtection="1">
      <alignment horizontal="left"/>
      <protection hidden="1"/>
    </xf>
    <xf numFmtId="0" fontId="1" fillId="0" borderId="20" xfId="76" applyFont="1" applyFill="1" applyBorder="1" applyAlignment="1" applyProtection="1">
      <alignment horizontal="left"/>
      <protection hidden="1"/>
    </xf>
    <xf numFmtId="0" fontId="1" fillId="0" borderId="19" xfId="76" applyFont="1" applyFill="1" applyBorder="1" applyAlignment="1" applyProtection="1">
      <alignment horizontal="left"/>
      <protection hidden="1"/>
    </xf>
    <xf numFmtId="0" fontId="1" fillId="0" borderId="0" xfId="76" applyFont="1" applyFill="1" applyBorder="1" applyAlignment="1" applyProtection="1">
      <alignment horizontal="left"/>
      <protection hidden="1"/>
    </xf>
    <xf numFmtId="0" fontId="1" fillId="0" borderId="21" xfId="76" applyFont="1" applyFill="1" applyBorder="1" applyAlignment="1" applyProtection="1">
      <alignment horizontal="left"/>
      <protection hidden="1"/>
    </xf>
    <xf numFmtId="0" fontId="1" fillId="0" borderId="22" xfId="76" applyFont="1" applyFill="1" applyBorder="1" applyAlignment="1" applyProtection="1">
      <alignment horizontal="left"/>
      <protection hidden="1"/>
    </xf>
    <xf numFmtId="0" fontId="1" fillId="0" borderId="23" xfId="76" applyFont="1" applyFill="1" applyBorder="1" applyAlignment="1" applyProtection="1">
      <alignment horizontal="left"/>
      <protection hidden="1"/>
    </xf>
    <xf numFmtId="0" fontId="1" fillId="37" borderId="19" xfId="76" applyFont="1" applyFill="1" applyBorder="1" applyAlignment="1" applyProtection="1">
      <alignment horizontal="left"/>
      <protection hidden="1"/>
    </xf>
    <xf numFmtId="0" fontId="1" fillId="37" borderId="0" xfId="76" applyFont="1" applyFill="1" applyBorder="1" applyAlignment="1" applyProtection="1">
      <alignment horizontal="left"/>
      <protection hidden="1"/>
    </xf>
    <xf numFmtId="0" fontId="0" fillId="0" borderId="0" xfId="76">
      <alignment/>
      <protection/>
    </xf>
    <xf numFmtId="0" fontId="11" fillId="37" borderId="24" xfId="76" applyNumberFormat="1" applyFont="1" applyFill="1" applyBorder="1" applyAlignment="1">
      <alignment vertical="center"/>
      <protection/>
    </xf>
    <xf numFmtId="0" fontId="0" fillId="37" borderId="25" xfId="76" applyNumberFormat="1" applyFont="1" applyFill="1" applyBorder="1" applyAlignment="1" applyProtection="1">
      <alignment/>
      <protection hidden="1"/>
    </xf>
    <xf numFmtId="0" fontId="0" fillId="37" borderId="26" xfId="76" applyNumberFormat="1" applyFont="1" applyFill="1" applyBorder="1" applyAlignment="1" applyProtection="1">
      <alignment/>
      <protection hidden="1"/>
    </xf>
    <xf numFmtId="0" fontId="12" fillId="37" borderId="19" xfId="76" applyNumberFormat="1" applyFont="1" applyFill="1" applyBorder="1" applyAlignment="1">
      <alignment vertical="center"/>
      <protection/>
    </xf>
    <xf numFmtId="0" fontId="0" fillId="37" borderId="0" xfId="76" applyNumberFormat="1" applyFont="1" applyFill="1" applyBorder="1" applyAlignment="1" applyProtection="1">
      <alignment/>
      <protection hidden="1"/>
    </xf>
    <xf numFmtId="0" fontId="0" fillId="37" borderId="27" xfId="76" applyNumberFormat="1" applyFont="1" applyFill="1" applyBorder="1" applyAlignment="1" applyProtection="1">
      <alignment/>
      <protection hidden="1"/>
    </xf>
    <xf numFmtId="0" fontId="12" fillId="37" borderId="15" xfId="76" applyNumberFormat="1" applyFont="1" applyFill="1" applyBorder="1" applyAlignment="1">
      <alignment vertical="center"/>
      <protection/>
    </xf>
    <xf numFmtId="0" fontId="0" fillId="37" borderId="14" xfId="76" applyNumberFormat="1" applyFont="1" applyFill="1" applyBorder="1" applyAlignment="1" applyProtection="1">
      <alignment/>
      <protection hidden="1"/>
    </xf>
    <xf numFmtId="0" fontId="0" fillId="37" borderId="12" xfId="76" applyNumberFormat="1" applyFont="1" applyFill="1" applyBorder="1" applyAlignment="1" applyProtection="1">
      <alignment/>
      <protection hidden="1"/>
    </xf>
    <xf numFmtId="0" fontId="63" fillId="0" borderId="0" xfId="106" applyFont="1">
      <alignment/>
      <protection/>
    </xf>
    <xf numFmtId="0" fontId="0" fillId="0" borderId="0" xfId="106">
      <alignment/>
      <protection/>
    </xf>
    <xf numFmtId="0" fontId="4" fillId="0" borderId="0" xfId="106" applyFont="1">
      <alignment/>
      <protection/>
    </xf>
    <xf numFmtId="0" fontId="61" fillId="16" borderId="28" xfId="80" applyFont="1" applyFill="1" applyBorder="1" applyAlignment="1">
      <alignment horizontal="center" wrapText="1"/>
      <protection/>
    </xf>
    <xf numFmtId="0" fontId="0" fillId="0" borderId="0" xfId="106" applyFill="1">
      <alignment/>
      <protection/>
    </xf>
    <xf numFmtId="0" fontId="4" fillId="0" borderId="0" xfId="106" applyFont="1" applyFill="1">
      <alignment/>
      <protection/>
    </xf>
    <xf numFmtId="0" fontId="4" fillId="0" borderId="18" xfId="106" applyFont="1" applyBorder="1">
      <alignment/>
      <protection/>
    </xf>
    <xf numFmtId="14" fontId="1" fillId="0" borderId="0" xfId="106" applyNumberFormat="1" applyFont="1" applyBorder="1">
      <alignment/>
      <protection/>
    </xf>
    <xf numFmtId="0" fontId="0" fillId="5" borderId="29" xfId="106" applyFont="1" applyFill="1" applyBorder="1" applyAlignment="1">
      <alignment horizontal="left" vertical="center"/>
      <protection/>
    </xf>
    <xf numFmtId="177" fontId="0" fillId="0" borderId="0" xfId="106" applyNumberFormat="1" applyBorder="1" applyAlignment="1">
      <alignment horizontal="center"/>
      <protection/>
    </xf>
    <xf numFmtId="0" fontId="0" fillId="0" borderId="18" xfId="106" applyFont="1" applyBorder="1" applyAlignment="1">
      <alignment horizontal="center" vertical="center" wrapText="1"/>
      <protection/>
    </xf>
    <xf numFmtId="0" fontId="0" fillId="0" borderId="11" xfId="106" applyFont="1" applyBorder="1" applyAlignment="1">
      <alignment horizontal="center" vertical="center" wrapText="1"/>
      <protection/>
    </xf>
    <xf numFmtId="0" fontId="64" fillId="37" borderId="16" xfId="106" applyFont="1" applyFill="1" applyBorder="1" applyAlignment="1">
      <alignment horizontal="center" vertical="center"/>
      <protection/>
    </xf>
    <xf numFmtId="0" fontId="65" fillId="37" borderId="16" xfId="106" applyFont="1" applyFill="1" applyBorder="1" applyAlignment="1">
      <alignment horizontal="center" vertical="center"/>
      <protection/>
    </xf>
    <xf numFmtId="0" fontId="64" fillId="37" borderId="11" xfId="106" applyFont="1" applyFill="1" applyBorder="1" applyAlignment="1">
      <alignment horizontal="center" vertical="center"/>
      <protection/>
    </xf>
    <xf numFmtId="0" fontId="0" fillId="5" borderId="20" xfId="106" applyFont="1" applyFill="1" applyBorder="1" applyAlignment="1">
      <alignment horizontal="left" vertical="center"/>
      <protection/>
    </xf>
    <xf numFmtId="0" fontId="1" fillId="37" borderId="16" xfId="106" applyFont="1" applyFill="1" applyBorder="1" applyAlignment="1">
      <alignment horizontal="center" vertical="center"/>
      <protection/>
    </xf>
    <xf numFmtId="216" fontId="64" fillId="37" borderId="16" xfId="106" applyNumberFormat="1" applyFont="1" applyFill="1" applyBorder="1" applyAlignment="1">
      <alignment horizontal="center" vertical="center"/>
      <protection/>
    </xf>
    <xf numFmtId="0" fontId="1" fillId="37" borderId="16" xfId="106" applyNumberFormat="1" applyFont="1" applyFill="1" applyBorder="1" applyAlignment="1">
      <alignment horizontal="center" vertical="center"/>
      <protection/>
    </xf>
    <xf numFmtId="0" fontId="64" fillId="37" borderId="16" xfId="106" applyNumberFormat="1" applyFont="1" applyFill="1" applyBorder="1" applyAlignment="1">
      <alignment horizontal="center" vertical="center"/>
      <protection/>
    </xf>
    <xf numFmtId="0" fontId="1" fillId="5" borderId="20" xfId="106" applyFont="1" applyFill="1" applyBorder="1" applyAlignment="1">
      <alignment horizontal="left" vertical="center"/>
      <protection/>
    </xf>
    <xf numFmtId="177" fontId="1" fillId="5" borderId="30" xfId="106" applyNumberFormat="1" applyFont="1" applyFill="1" applyBorder="1" applyAlignment="1">
      <alignment horizontal="center"/>
      <protection/>
    </xf>
    <xf numFmtId="177" fontId="1" fillId="0" borderId="0" xfId="106" applyNumberFormat="1" applyFont="1" applyBorder="1" applyAlignment="1">
      <alignment horizontal="center"/>
      <protection/>
    </xf>
    <xf numFmtId="0" fontId="1" fillId="0" borderId="31" xfId="106" applyNumberFormat="1" applyFont="1" applyBorder="1" applyAlignment="1">
      <alignment horizontal="center" vertical="center"/>
      <protection/>
    </xf>
    <xf numFmtId="216" fontId="64" fillId="0" borderId="31" xfId="106" applyNumberFormat="1" applyFont="1" applyBorder="1" applyAlignment="1">
      <alignment horizontal="center" vertical="center"/>
      <protection/>
    </xf>
    <xf numFmtId="0" fontId="64" fillId="0" borderId="31" xfId="106" applyNumberFormat="1" applyFont="1" applyBorder="1" applyAlignment="1">
      <alignment horizontal="center" vertical="center"/>
      <protection/>
    </xf>
    <xf numFmtId="0" fontId="0" fillId="0" borderId="20" xfId="106" applyFont="1" applyBorder="1" applyAlignment="1">
      <alignment horizontal="left" vertical="center"/>
      <protection/>
    </xf>
    <xf numFmtId="177" fontId="0" fillId="0" borderId="30" xfId="106" applyNumberFormat="1" applyBorder="1" applyAlignment="1">
      <alignment horizontal="center"/>
      <protection/>
    </xf>
    <xf numFmtId="184" fontId="1" fillId="0" borderId="18" xfId="106" applyNumberFormat="1" applyFont="1" applyBorder="1" applyAlignment="1">
      <alignment horizontal="center" vertical="center"/>
      <protection/>
    </xf>
    <xf numFmtId="1" fontId="1" fillId="39" borderId="32" xfId="106" applyNumberFormat="1" applyFont="1" applyFill="1" applyBorder="1" applyAlignment="1">
      <alignment horizontal="center" vertical="center"/>
      <protection/>
    </xf>
    <xf numFmtId="1" fontId="1" fillId="39" borderId="33" xfId="106" applyNumberFormat="1" applyFont="1" applyFill="1" applyBorder="1" applyAlignment="1">
      <alignment horizontal="center" vertical="center"/>
      <protection/>
    </xf>
    <xf numFmtId="1" fontId="1" fillId="40" borderId="33" xfId="106" applyNumberFormat="1" applyFont="1" applyFill="1" applyBorder="1" applyAlignment="1">
      <alignment horizontal="center" vertical="center"/>
      <protection/>
    </xf>
    <xf numFmtId="1" fontId="1" fillId="40" borderId="34" xfId="106" applyNumberFormat="1" applyFont="1" applyFill="1" applyBorder="1" applyAlignment="1">
      <alignment horizontal="center" vertical="center"/>
      <protection/>
    </xf>
    <xf numFmtId="0" fontId="0" fillId="12" borderId="20" xfId="106" applyFont="1" applyFill="1" applyBorder="1" applyAlignment="1">
      <alignment horizontal="left" vertical="center"/>
      <protection/>
    </xf>
    <xf numFmtId="1" fontId="1" fillId="39" borderId="35" xfId="106" applyNumberFormat="1" applyFont="1" applyFill="1" applyBorder="1" applyAlignment="1">
      <alignment horizontal="center" vertical="center"/>
      <protection/>
    </xf>
    <xf numFmtId="1" fontId="1" fillId="39" borderId="28" xfId="106" applyNumberFormat="1" applyFont="1" applyFill="1" applyBorder="1" applyAlignment="1">
      <alignment horizontal="center" vertical="center"/>
      <protection/>
    </xf>
    <xf numFmtId="1" fontId="1" fillId="40" borderId="28" xfId="106" applyNumberFormat="1" applyFont="1" applyFill="1" applyBorder="1" applyAlignment="1">
      <alignment horizontal="center" vertical="center"/>
      <protection/>
    </xf>
    <xf numFmtId="1" fontId="1" fillId="40" borderId="36" xfId="106" applyNumberFormat="1" applyFont="1" applyFill="1" applyBorder="1" applyAlignment="1">
      <alignment horizontal="center" vertical="center"/>
      <protection/>
    </xf>
    <xf numFmtId="184" fontId="64" fillId="0" borderId="18" xfId="106" applyNumberFormat="1" applyFont="1" applyBorder="1" applyAlignment="1">
      <alignment horizontal="center" vertical="center"/>
      <protection/>
    </xf>
    <xf numFmtId="0" fontId="0" fillId="7" borderId="20" xfId="106" applyFont="1" applyFill="1" applyBorder="1" applyAlignment="1">
      <alignment horizontal="left" vertical="center"/>
      <protection/>
    </xf>
    <xf numFmtId="216" fontId="0" fillId="7" borderId="30" xfId="106" applyNumberFormat="1" applyFill="1" applyBorder="1" applyAlignment="1">
      <alignment horizontal="center"/>
      <protection/>
    </xf>
    <xf numFmtId="0" fontId="0" fillId="7" borderId="20" xfId="106" applyFont="1" applyFill="1" applyBorder="1" applyAlignment="1">
      <alignment horizontal="left" vertical="center" wrapText="1"/>
      <protection/>
    </xf>
    <xf numFmtId="1" fontId="1" fillId="39" borderId="37" xfId="106" applyNumberFormat="1" applyFont="1" applyFill="1" applyBorder="1" applyAlignment="1">
      <alignment horizontal="center" vertical="center"/>
      <protection/>
    </xf>
    <xf numFmtId="1" fontId="1" fillId="39" borderId="38" xfId="106" applyNumberFormat="1" applyFont="1" applyFill="1" applyBorder="1" applyAlignment="1">
      <alignment horizontal="center" vertical="center"/>
      <protection/>
    </xf>
    <xf numFmtId="1" fontId="1" fillId="40" borderId="38" xfId="106" applyNumberFormat="1" applyFont="1" applyFill="1" applyBorder="1" applyAlignment="1">
      <alignment horizontal="center" vertical="center"/>
      <protection/>
    </xf>
    <xf numFmtId="1" fontId="1" fillId="40" borderId="39" xfId="106" applyNumberFormat="1" applyFont="1" applyFill="1" applyBorder="1" applyAlignment="1">
      <alignment horizontal="center" vertical="center"/>
      <protection/>
    </xf>
    <xf numFmtId="0" fontId="1" fillId="7" borderId="40" xfId="106" applyFont="1" applyFill="1" applyBorder="1" applyAlignment="1">
      <alignment horizontal="left" vertical="center" wrapText="1"/>
      <protection/>
    </xf>
    <xf numFmtId="177" fontId="1" fillId="7" borderId="41" xfId="106" applyNumberFormat="1" applyFont="1" applyFill="1" applyBorder="1" applyAlignment="1">
      <alignment horizontal="center"/>
      <protection/>
    </xf>
    <xf numFmtId="0" fontId="13" fillId="0" borderId="0" xfId="106" applyFont="1" applyBorder="1" applyAlignment="1">
      <alignment horizontal="center" vertical="center" textRotation="90" wrapText="1"/>
      <protection/>
    </xf>
    <xf numFmtId="184" fontId="13" fillId="0" borderId="0" xfId="106" applyNumberFormat="1" applyFont="1" applyBorder="1" applyAlignment="1">
      <alignment horizontal="center" vertical="center"/>
      <protection/>
    </xf>
    <xf numFmtId="1" fontId="13" fillId="0" borderId="0" xfId="106" applyNumberFormat="1" applyFont="1" applyFill="1" applyBorder="1" applyAlignment="1">
      <alignment horizontal="center" vertical="center"/>
      <protection/>
    </xf>
    <xf numFmtId="0" fontId="1" fillId="0" borderId="0" xfId="106" applyFont="1" applyFill="1" applyBorder="1" applyAlignment="1">
      <alignment horizontal="left" vertical="center" wrapText="1"/>
      <protection/>
    </xf>
    <xf numFmtId="177" fontId="1" fillId="0" borderId="0" xfId="106" applyNumberFormat="1" applyFont="1" applyFill="1" applyBorder="1" applyAlignment="1">
      <alignment horizontal="center"/>
      <protection/>
    </xf>
    <xf numFmtId="177" fontId="0" fillId="0" borderId="0" xfId="106" applyNumberFormat="1" applyFill="1" applyBorder="1" applyAlignment="1">
      <alignment horizontal="center"/>
      <protection/>
    </xf>
    <xf numFmtId="0" fontId="13" fillId="0" borderId="0" xfId="106" applyFont="1" applyFill="1" applyBorder="1" applyAlignment="1">
      <alignment horizontal="center" vertical="center" textRotation="90" wrapText="1"/>
      <protection/>
    </xf>
    <xf numFmtId="184" fontId="13" fillId="0" borderId="0" xfId="106" applyNumberFormat="1" applyFont="1" applyFill="1" applyBorder="1" applyAlignment="1">
      <alignment horizontal="center" vertical="center"/>
      <protection/>
    </xf>
    <xf numFmtId="0" fontId="61" fillId="16" borderId="28" xfId="0" applyFont="1" applyFill="1" applyBorder="1" applyAlignment="1">
      <alignment/>
    </xf>
    <xf numFmtId="0" fontId="61" fillId="0" borderId="28" xfId="0" applyFont="1" applyFill="1" applyBorder="1" applyAlignment="1">
      <alignment/>
    </xf>
    <xf numFmtId="0" fontId="61" fillId="0" borderId="0" xfId="0" applyFont="1" applyFill="1" applyBorder="1" applyAlignment="1">
      <alignment/>
    </xf>
    <xf numFmtId="216" fontId="61" fillId="0" borderId="0" xfId="0" applyNumberFormat="1" applyFont="1" applyFill="1" applyBorder="1" applyAlignment="1">
      <alignment horizontal="center"/>
    </xf>
    <xf numFmtId="14" fontId="1" fillId="0" borderId="16" xfId="106" applyNumberFormat="1" applyFont="1" applyBorder="1">
      <alignment/>
      <protection/>
    </xf>
    <xf numFmtId="0" fontId="0" fillId="0" borderId="0" xfId="80">
      <alignment/>
      <protection/>
    </xf>
    <xf numFmtId="15" fontId="0" fillId="0" borderId="0" xfId="80" applyNumberFormat="1">
      <alignment/>
      <protection/>
    </xf>
    <xf numFmtId="0" fontId="61" fillId="16" borderId="28" xfId="0" applyFont="1" applyFill="1" applyBorder="1" applyAlignment="1">
      <alignment horizontal="center" wrapText="1"/>
    </xf>
    <xf numFmtId="0" fontId="62" fillId="0" borderId="0" xfId="88" applyFont="1">
      <alignment/>
      <protection/>
    </xf>
    <xf numFmtId="177" fontId="62" fillId="0" borderId="0" xfId="88" applyNumberFormat="1" applyFont="1">
      <alignment/>
      <protection/>
    </xf>
    <xf numFmtId="177" fontId="0" fillId="5" borderId="42" xfId="107" applyNumberFormat="1" applyFill="1" applyBorder="1" applyAlignment="1">
      <alignment horizontal="center"/>
      <protection/>
    </xf>
    <xf numFmtId="216" fontId="66" fillId="0" borderId="28" xfId="0" applyNumberFormat="1" applyFont="1" applyFill="1" applyBorder="1" applyAlignment="1" applyProtection="1">
      <alignment horizontal="center"/>
      <protection locked="0"/>
    </xf>
    <xf numFmtId="0" fontId="0" fillId="0" borderId="0" xfId="106" applyProtection="1">
      <alignment/>
      <protection locked="0"/>
    </xf>
    <xf numFmtId="216" fontId="66" fillId="0" borderId="28" xfId="80" applyNumberFormat="1" applyFont="1" applyFill="1" applyBorder="1" applyAlignment="1" applyProtection="1">
      <alignment horizontal="center"/>
      <protection locked="0"/>
    </xf>
    <xf numFmtId="177" fontId="64" fillId="12" borderId="30" xfId="106" applyNumberFormat="1" applyFont="1" applyFill="1" applyBorder="1" applyAlignment="1" applyProtection="1">
      <alignment horizontal="center"/>
      <protection locked="0"/>
    </xf>
    <xf numFmtId="177" fontId="1" fillId="0" borderId="42" xfId="0" applyNumberFormat="1" applyFont="1" applyFill="1" applyBorder="1" applyAlignment="1" applyProtection="1">
      <alignment/>
      <protection hidden="1"/>
    </xf>
    <xf numFmtId="177" fontId="1" fillId="0" borderId="30" xfId="0" applyNumberFormat="1" applyFont="1" applyFill="1" applyBorder="1" applyAlignment="1" applyProtection="1">
      <alignment/>
      <protection hidden="1"/>
    </xf>
    <xf numFmtId="0" fontId="1" fillId="0" borderId="20" xfId="0" applyFont="1" applyFill="1" applyBorder="1" applyAlignment="1" applyProtection="1">
      <alignment horizontal="left"/>
      <protection hidden="1"/>
    </xf>
    <xf numFmtId="0" fontId="1" fillId="37" borderId="16" xfId="0" applyFont="1" applyFill="1" applyBorder="1" applyAlignment="1" applyProtection="1">
      <alignment/>
      <protection hidden="1"/>
    </xf>
    <xf numFmtId="179" fontId="1" fillId="37" borderId="16" xfId="0" applyNumberFormat="1" applyFont="1" applyFill="1" applyBorder="1" applyAlignment="1" applyProtection="1">
      <alignment/>
      <protection hidden="1"/>
    </xf>
    <xf numFmtId="0" fontId="61" fillId="41" borderId="43" xfId="76" applyFont="1" applyFill="1" applyBorder="1">
      <alignment/>
      <protection/>
    </xf>
    <xf numFmtId="0" fontId="22" fillId="41" borderId="44" xfId="76" applyFont="1" applyFill="1" applyBorder="1">
      <alignment/>
      <protection/>
    </xf>
    <xf numFmtId="0" fontId="22" fillId="41" borderId="45" xfId="76" applyFont="1" applyFill="1" applyBorder="1">
      <alignment/>
      <protection/>
    </xf>
    <xf numFmtId="0" fontId="22" fillId="0" borderId="0" xfId="76" applyFont="1" applyBorder="1">
      <alignment/>
      <protection/>
    </xf>
    <xf numFmtId="0" fontId="61" fillId="41" borderId="46" xfId="76" applyFont="1" applyFill="1" applyBorder="1">
      <alignment/>
      <protection/>
    </xf>
    <xf numFmtId="0" fontId="61" fillId="41" borderId="23" xfId="76" applyFont="1" applyFill="1" applyBorder="1">
      <alignment/>
      <protection/>
    </xf>
    <xf numFmtId="0" fontId="61" fillId="41" borderId="47" xfId="76" applyFont="1" applyFill="1" applyBorder="1">
      <alignment/>
      <protection/>
    </xf>
    <xf numFmtId="177" fontId="11" fillId="41" borderId="43" xfId="54" applyNumberFormat="1" applyFont="1" applyFill="1" applyBorder="1" applyAlignment="1">
      <alignment/>
    </xf>
    <xf numFmtId="0" fontId="61" fillId="41" borderId="44" xfId="76" applyFont="1" applyFill="1" applyBorder="1">
      <alignment/>
      <protection/>
    </xf>
    <xf numFmtId="0" fontId="61" fillId="41" borderId="45" xfId="76" applyFont="1" applyFill="1" applyBorder="1">
      <alignment/>
      <protection/>
    </xf>
    <xf numFmtId="177" fontId="12" fillId="41" borderId="48" xfId="54" applyNumberFormat="1" applyFont="1" applyFill="1" applyBorder="1" applyAlignment="1">
      <alignment/>
    </xf>
    <xf numFmtId="216" fontId="22" fillId="41" borderId="0" xfId="76" applyNumberFormat="1" applyFont="1" applyFill="1" applyBorder="1">
      <alignment/>
      <protection/>
    </xf>
    <xf numFmtId="216" fontId="22" fillId="41" borderId="49" xfId="76" applyNumberFormat="1" applyFont="1" applyFill="1" applyBorder="1">
      <alignment/>
      <protection/>
    </xf>
    <xf numFmtId="216" fontId="22" fillId="41" borderId="50" xfId="76" applyNumberFormat="1" applyFont="1" applyFill="1" applyBorder="1">
      <alignment/>
      <protection/>
    </xf>
    <xf numFmtId="216" fontId="22" fillId="41" borderId="51" xfId="76" applyNumberFormat="1" applyFont="1" applyFill="1" applyBorder="1">
      <alignment/>
      <protection/>
    </xf>
    <xf numFmtId="0" fontId="61" fillId="41" borderId="48" xfId="76" applyFont="1" applyFill="1" applyBorder="1">
      <alignment/>
      <protection/>
    </xf>
    <xf numFmtId="216" fontId="11" fillId="41" borderId="0" xfId="54" applyNumberFormat="1" applyFont="1" applyFill="1" applyBorder="1" applyAlignment="1">
      <alignment horizontal="center" vertical="center" wrapText="1"/>
    </xf>
    <xf numFmtId="216" fontId="11" fillId="41" borderId="49" xfId="54" applyNumberFormat="1" applyFont="1" applyFill="1" applyBorder="1" applyAlignment="1">
      <alignment horizontal="center" vertical="center" wrapText="1"/>
    </xf>
    <xf numFmtId="177" fontId="11" fillId="41" borderId="0" xfId="54" applyFont="1" applyFill="1" applyBorder="1" applyAlignment="1">
      <alignment horizontal="center" vertical="center" wrapText="1"/>
    </xf>
    <xf numFmtId="177" fontId="11" fillId="41" borderId="49" xfId="54" applyFont="1" applyFill="1" applyBorder="1" applyAlignment="1">
      <alignment horizontal="center" vertical="center" wrapText="1"/>
    </xf>
    <xf numFmtId="177" fontId="11" fillId="41" borderId="48" xfId="54" applyNumberFormat="1" applyFont="1" applyFill="1" applyBorder="1" applyAlignment="1">
      <alignment/>
    </xf>
    <xf numFmtId="177" fontId="22" fillId="41" borderId="48" xfId="54" applyNumberFormat="1" applyFont="1" applyFill="1" applyBorder="1" applyAlignment="1">
      <alignment/>
    </xf>
    <xf numFmtId="222" fontId="22" fillId="41" borderId="0" xfId="54" applyNumberFormat="1" applyFont="1" applyFill="1" applyBorder="1" applyAlignment="1">
      <alignment/>
    </xf>
    <xf numFmtId="222" fontId="22" fillId="41" borderId="49" xfId="54" applyNumberFormat="1" applyFont="1" applyFill="1" applyBorder="1" applyAlignment="1">
      <alignment/>
    </xf>
    <xf numFmtId="222" fontId="22" fillId="41" borderId="50" xfId="54" applyNumberFormat="1" applyFont="1" applyFill="1" applyBorder="1" applyAlignment="1">
      <alignment/>
    </xf>
    <xf numFmtId="222" fontId="22" fillId="41" borderId="51" xfId="54" applyNumberFormat="1" applyFont="1" applyFill="1" applyBorder="1" applyAlignment="1">
      <alignment/>
    </xf>
    <xf numFmtId="222" fontId="11" fillId="41" borderId="0" xfId="54" applyNumberFormat="1" applyFont="1" applyFill="1" applyBorder="1" applyAlignment="1">
      <alignment/>
    </xf>
    <xf numFmtId="222" fontId="11" fillId="41" borderId="49" xfId="54" applyNumberFormat="1" applyFont="1" applyFill="1" applyBorder="1" applyAlignment="1">
      <alignment/>
    </xf>
    <xf numFmtId="222" fontId="11" fillId="41" borderId="50" xfId="54" applyNumberFormat="1" applyFont="1" applyFill="1" applyBorder="1" applyAlignment="1">
      <alignment/>
    </xf>
    <xf numFmtId="222" fontId="11" fillId="41" borderId="51" xfId="54" applyNumberFormat="1" applyFont="1" applyFill="1" applyBorder="1" applyAlignment="1">
      <alignment/>
    </xf>
    <xf numFmtId="222" fontId="22" fillId="0" borderId="0" xfId="76" applyNumberFormat="1" applyFont="1" applyBorder="1">
      <alignment/>
      <protection/>
    </xf>
    <xf numFmtId="222" fontId="11" fillId="41" borderId="52" xfId="54" applyNumberFormat="1" applyFont="1" applyFill="1" applyBorder="1" applyAlignment="1">
      <alignment/>
    </xf>
    <xf numFmtId="222" fontId="11" fillId="41" borderId="53" xfId="54" applyNumberFormat="1" applyFont="1" applyFill="1" applyBorder="1" applyAlignment="1">
      <alignment/>
    </xf>
    <xf numFmtId="177" fontId="11" fillId="41" borderId="48" xfId="54" applyFont="1" applyFill="1" applyBorder="1" applyAlignment="1">
      <alignment/>
    </xf>
    <xf numFmtId="216" fontId="61" fillId="41" borderId="44" xfId="76" applyNumberFormat="1" applyFont="1" applyFill="1" applyBorder="1">
      <alignment/>
      <protection/>
    </xf>
    <xf numFmtId="216" fontId="61" fillId="41" borderId="45" xfId="76" applyNumberFormat="1" applyFont="1" applyFill="1" applyBorder="1">
      <alignment/>
      <protection/>
    </xf>
    <xf numFmtId="0" fontId="61" fillId="41" borderId="54" xfId="76" applyFont="1" applyFill="1" applyBorder="1">
      <alignment/>
      <protection/>
    </xf>
    <xf numFmtId="216" fontId="61" fillId="41" borderId="55" xfId="76" applyNumberFormat="1" applyFont="1" applyFill="1" applyBorder="1">
      <alignment/>
      <protection/>
    </xf>
    <xf numFmtId="216" fontId="61" fillId="41" borderId="56" xfId="76" applyNumberFormat="1" applyFont="1" applyFill="1" applyBorder="1">
      <alignment/>
      <protection/>
    </xf>
    <xf numFmtId="216" fontId="61" fillId="41" borderId="0" xfId="76" applyNumberFormat="1" applyFont="1" applyFill="1" applyBorder="1">
      <alignment/>
      <protection/>
    </xf>
    <xf numFmtId="216" fontId="61" fillId="41" borderId="49" xfId="76" applyNumberFormat="1" applyFont="1" applyFill="1" applyBorder="1">
      <alignment/>
      <protection/>
    </xf>
    <xf numFmtId="0" fontId="22" fillId="42" borderId="0" xfId="76" applyFont="1" applyFill="1" applyBorder="1" applyAlignment="1">
      <alignment vertical="center" wrapText="1"/>
      <protection/>
    </xf>
    <xf numFmtId="0" fontId="22" fillId="42" borderId="0" xfId="76" applyFont="1" applyFill="1" applyBorder="1" applyAlignment="1">
      <alignment wrapText="1"/>
      <protection/>
    </xf>
    <xf numFmtId="0" fontId="22" fillId="42" borderId="0" xfId="76" applyFont="1" applyFill="1" applyBorder="1">
      <alignment/>
      <protection/>
    </xf>
    <xf numFmtId="0" fontId="61" fillId="42" borderId="43" xfId="76" applyFont="1" applyFill="1" applyBorder="1">
      <alignment/>
      <protection/>
    </xf>
    <xf numFmtId="0" fontId="22" fillId="42" borderId="44" xfId="76" applyFont="1" applyFill="1" applyBorder="1">
      <alignment/>
      <protection/>
    </xf>
    <xf numFmtId="0" fontId="22" fillId="42" borderId="45" xfId="76" applyFont="1" applyFill="1" applyBorder="1">
      <alignment/>
      <protection/>
    </xf>
    <xf numFmtId="0" fontId="61" fillId="42" borderId="48" xfId="76" applyFont="1" applyFill="1" applyBorder="1">
      <alignment/>
      <protection/>
    </xf>
    <xf numFmtId="0" fontId="61" fillId="42" borderId="14" xfId="76" applyFont="1" applyFill="1" applyBorder="1" applyAlignment="1">
      <alignment horizontal="center"/>
      <protection/>
    </xf>
    <xf numFmtId="0" fontId="61" fillId="42" borderId="57" xfId="76" applyFont="1" applyFill="1" applyBorder="1" applyAlignment="1">
      <alignment horizontal="center"/>
      <protection/>
    </xf>
    <xf numFmtId="177" fontId="12" fillId="42" borderId="48" xfId="54" applyNumberFormat="1" applyFont="1" applyFill="1" applyBorder="1" applyAlignment="1">
      <alignment horizontal="left"/>
    </xf>
    <xf numFmtId="222" fontId="22" fillId="42" borderId="0" xfId="76" applyNumberFormat="1" applyFont="1" applyFill="1" applyBorder="1">
      <alignment/>
      <protection/>
    </xf>
    <xf numFmtId="222" fontId="22" fillId="42" borderId="49" xfId="76" applyNumberFormat="1" applyFont="1" applyFill="1" applyBorder="1">
      <alignment/>
      <protection/>
    </xf>
    <xf numFmtId="0" fontId="22" fillId="42" borderId="48" xfId="76" applyFont="1" applyFill="1" applyBorder="1">
      <alignment/>
      <protection/>
    </xf>
    <xf numFmtId="177" fontId="22" fillId="42" borderId="0" xfId="76" applyNumberFormat="1" applyFont="1" applyFill="1" applyBorder="1">
      <alignment/>
      <protection/>
    </xf>
    <xf numFmtId="177" fontId="22" fillId="42" borderId="49" xfId="76" applyNumberFormat="1" applyFont="1" applyFill="1" applyBorder="1">
      <alignment/>
      <protection/>
    </xf>
    <xf numFmtId="177" fontId="11" fillId="43" borderId="48" xfId="54" applyNumberFormat="1" applyFont="1" applyFill="1" applyBorder="1" applyAlignment="1">
      <alignment/>
    </xf>
    <xf numFmtId="177" fontId="22" fillId="43" borderId="0" xfId="76" applyNumberFormat="1" applyFont="1" applyFill="1" applyBorder="1">
      <alignment/>
      <protection/>
    </xf>
    <xf numFmtId="177" fontId="22" fillId="43" borderId="49" xfId="76" applyNumberFormat="1" applyFont="1" applyFill="1" applyBorder="1">
      <alignment/>
      <protection/>
    </xf>
    <xf numFmtId="0" fontId="61" fillId="43" borderId="48" xfId="76" applyFont="1" applyFill="1" applyBorder="1">
      <alignment/>
      <protection/>
    </xf>
    <xf numFmtId="222" fontId="22" fillId="43" borderId="0" xfId="76" applyNumberFormat="1" applyFont="1" applyFill="1" applyBorder="1">
      <alignment/>
      <protection/>
    </xf>
    <xf numFmtId="222" fontId="22" fillId="43" borderId="49" xfId="76" applyNumberFormat="1" applyFont="1" applyFill="1" applyBorder="1">
      <alignment/>
      <protection/>
    </xf>
    <xf numFmtId="2" fontId="22" fillId="42" borderId="50" xfId="76" applyNumberFormat="1" applyFont="1" applyFill="1" applyBorder="1">
      <alignment/>
      <protection/>
    </xf>
    <xf numFmtId="2" fontId="22" fillId="42" borderId="51" xfId="76" applyNumberFormat="1" applyFont="1" applyFill="1" applyBorder="1">
      <alignment/>
      <protection/>
    </xf>
    <xf numFmtId="2" fontId="22" fillId="42" borderId="58" xfId="76" applyNumberFormat="1" applyFont="1" applyFill="1" applyBorder="1">
      <alignment/>
      <protection/>
    </xf>
    <xf numFmtId="2" fontId="22" fillId="42" borderId="59" xfId="76" applyNumberFormat="1" applyFont="1" applyFill="1" applyBorder="1">
      <alignment/>
      <protection/>
    </xf>
    <xf numFmtId="0" fontId="61" fillId="42" borderId="54" xfId="76" applyFont="1" applyFill="1" applyBorder="1">
      <alignment/>
      <protection/>
    </xf>
    <xf numFmtId="9" fontId="61" fillId="42" borderId="55" xfId="119" applyFont="1" applyFill="1" applyBorder="1" applyAlignment="1">
      <alignment horizontal="right"/>
    </xf>
    <xf numFmtId="9" fontId="61" fillId="42" borderId="56" xfId="119" applyFont="1" applyFill="1" applyBorder="1" applyAlignment="1">
      <alignment horizontal="right"/>
    </xf>
    <xf numFmtId="177" fontId="22" fillId="41" borderId="0" xfId="54" applyFont="1" applyFill="1" applyBorder="1" applyAlignment="1">
      <alignment horizontal="center" vertical="center" wrapText="1"/>
    </xf>
    <xf numFmtId="177" fontId="22" fillId="41" borderId="49" xfId="54" applyFont="1" applyFill="1" applyBorder="1" applyAlignment="1">
      <alignment horizontal="center" vertical="center" wrapText="1"/>
    </xf>
    <xf numFmtId="0" fontId="1" fillId="0" borderId="31" xfId="106" applyFont="1" applyBorder="1" applyAlignment="1">
      <alignment horizontal="center" vertical="center" textRotation="90" wrapText="1"/>
      <protection/>
    </xf>
    <xf numFmtId="0" fontId="1" fillId="0" borderId="17" xfId="106" applyFont="1" applyBorder="1" applyAlignment="1">
      <alignment horizontal="center" vertical="center" textRotation="90" wrapText="1"/>
      <protection/>
    </xf>
    <xf numFmtId="0" fontId="1" fillId="0" borderId="60" xfId="106" applyFont="1" applyBorder="1" applyAlignment="1">
      <alignment horizontal="center" vertical="center" textRotation="90" wrapText="1"/>
      <protection/>
    </xf>
    <xf numFmtId="0" fontId="1" fillId="0" borderId="18" xfId="106" applyFont="1" applyBorder="1" applyAlignment="1">
      <alignment horizontal="center" vertical="center"/>
      <protection/>
    </xf>
    <xf numFmtId="0" fontId="1" fillId="0" borderId="11" xfId="106" applyFont="1" applyBorder="1" applyAlignment="1">
      <alignment horizontal="center" vertical="center"/>
      <protection/>
    </xf>
    <xf numFmtId="0" fontId="1" fillId="0" borderId="13" xfId="106" applyFont="1" applyBorder="1" applyAlignment="1">
      <alignment horizontal="center" vertical="center"/>
      <protection/>
    </xf>
    <xf numFmtId="0" fontId="1" fillId="0" borderId="18" xfId="106" applyFont="1" applyBorder="1" applyAlignment="1">
      <alignment vertical="center" wrapText="1"/>
      <protection/>
    </xf>
    <xf numFmtId="0" fontId="1" fillId="0" borderId="13" xfId="106" applyFont="1" applyBorder="1" applyAlignment="1">
      <alignment vertical="center" wrapText="1"/>
      <protection/>
    </xf>
    <xf numFmtId="0" fontId="1" fillId="44" borderId="14" xfId="0" applyFont="1" applyFill="1" applyBorder="1" applyAlignment="1" applyProtection="1">
      <alignment horizontal="center" wrapText="1"/>
      <protection hidden="1"/>
    </xf>
    <xf numFmtId="0" fontId="1" fillId="38" borderId="18" xfId="76" applyFont="1" applyFill="1" applyBorder="1" applyAlignment="1" applyProtection="1">
      <alignment horizontal="left" wrapText="1"/>
      <protection hidden="1"/>
    </xf>
    <xf numFmtId="0" fontId="1" fillId="38" borderId="11" xfId="76" applyFont="1" applyFill="1" applyBorder="1" applyAlignment="1" applyProtection="1">
      <alignment horizontal="left" wrapText="1"/>
      <protection hidden="1"/>
    </xf>
    <xf numFmtId="0" fontId="1" fillId="38" borderId="13" xfId="76" applyFont="1" applyFill="1" applyBorder="1" applyAlignment="1" applyProtection="1">
      <alignment horizontal="left" wrapText="1"/>
      <protection hidden="1"/>
    </xf>
    <xf numFmtId="0" fontId="62" fillId="0" borderId="0" xfId="88" applyFont="1" applyAlignment="1">
      <alignment horizontal="center"/>
      <protection/>
    </xf>
    <xf numFmtId="0" fontId="6" fillId="35" borderId="18" xfId="76" applyFont="1" applyFill="1" applyBorder="1" applyAlignment="1" applyProtection="1">
      <alignment horizontal="left" wrapText="1"/>
      <protection hidden="1"/>
    </xf>
    <xf numFmtId="0" fontId="0" fillId="0" borderId="11" xfId="76" applyBorder="1" applyAlignment="1">
      <alignment wrapText="1"/>
      <protection/>
    </xf>
    <xf numFmtId="0" fontId="6" fillId="35" borderId="11" xfId="76" applyFont="1" applyFill="1" applyBorder="1" applyAlignment="1" applyProtection="1">
      <alignment wrapText="1"/>
      <protection hidden="1"/>
    </xf>
    <xf numFmtId="0" fontId="0" fillId="0" borderId="11" xfId="76" applyBorder="1" applyAlignment="1">
      <alignment horizontal="left" wrapText="1"/>
      <protection/>
    </xf>
    <xf numFmtId="0" fontId="0" fillId="0" borderId="13" xfId="76" applyBorder="1" applyAlignment="1">
      <alignment horizontal="left" wrapText="1"/>
      <protection/>
    </xf>
    <xf numFmtId="0" fontId="1" fillId="36" borderId="18" xfId="0" applyFont="1" applyFill="1" applyBorder="1" applyAlignment="1" applyProtection="1">
      <alignment horizontal="left" wrapText="1"/>
      <protection hidden="1"/>
    </xf>
    <xf numFmtId="0" fontId="0" fillId="0" borderId="11" xfId="0" applyBorder="1" applyAlignment="1">
      <alignment horizontal="left" wrapText="1"/>
    </xf>
    <xf numFmtId="0" fontId="0" fillId="0" borderId="13" xfId="0" applyBorder="1" applyAlignment="1">
      <alignment horizontal="left" wrapText="1"/>
    </xf>
    <xf numFmtId="0" fontId="1" fillId="36" borderId="18" xfId="76" applyFont="1" applyFill="1" applyBorder="1" applyAlignment="1" applyProtection="1">
      <alignment horizontal="left" wrapText="1" readingOrder="1"/>
      <protection hidden="1"/>
    </xf>
    <xf numFmtId="0" fontId="1" fillId="36" borderId="11" xfId="76" applyFont="1" applyFill="1" applyBorder="1" applyAlignment="1" applyProtection="1">
      <alignment horizontal="left" wrapText="1" readingOrder="1"/>
      <protection hidden="1"/>
    </xf>
    <xf numFmtId="0" fontId="1" fillId="36" borderId="13" xfId="76" applyFont="1" applyFill="1" applyBorder="1" applyAlignment="1" applyProtection="1">
      <alignment horizontal="left" wrapText="1" readingOrder="1"/>
      <protection hidden="1"/>
    </xf>
    <xf numFmtId="178" fontId="1" fillId="38" borderId="18" xfId="76" applyNumberFormat="1" applyFont="1" applyFill="1" applyBorder="1" applyAlignment="1" applyProtection="1">
      <alignment horizontal="left" wrapText="1"/>
      <protection hidden="1"/>
    </xf>
    <xf numFmtId="178" fontId="1" fillId="38" borderId="11" xfId="76" applyNumberFormat="1" applyFont="1" applyFill="1" applyBorder="1" applyAlignment="1" applyProtection="1">
      <alignment horizontal="left" wrapText="1"/>
      <protection hidden="1"/>
    </xf>
    <xf numFmtId="178" fontId="1" fillId="38" borderId="13" xfId="76" applyNumberFormat="1" applyFont="1" applyFill="1" applyBorder="1" applyAlignment="1" applyProtection="1">
      <alignment horizontal="left" wrapText="1"/>
      <protection hidden="1"/>
    </xf>
    <xf numFmtId="0" fontId="22" fillId="41" borderId="46" xfId="76" applyFont="1" applyFill="1" applyBorder="1" applyAlignment="1">
      <alignment vertical="center" wrapText="1"/>
      <protection/>
    </xf>
    <xf numFmtId="0" fontId="22" fillId="41" borderId="23" xfId="76" applyFont="1" applyFill="1" applyBorder="1" applyAlignment="1">
      <alignment vertical="center" wrapText="1"/>
      <protection/>
    </xf>
    <xf numFmtId="0" fontId="22" fillId="41" borderId="47" xfId="76" applyFont="1" applyFill="1" applyBorder="1" applyAlignment="1">
      <alignment wrapText="1"/>
      <protection/>
    </xf>
  </cellXfs>
  <cellStyles count="1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3" xfId="49"/>
    <cellStyle name="Comma 4" xfId="50"/>
    <cellStyle name="Comma 5" xfId="51"/>
    <cellStyle name="Comma 6" xfId="52"/>
    <cellStyle name="Comma 6 2" xfId="53"/>
    <cellStyle name="Comma 6 3" xfId="54"/>
    <cellStyle name="Currency" xfId="55"/>
    <cellStyle name="Currency [0]" xfId="56"/>
    <cellStyle name="Currency 2" xfId="57"/>
    <cellStyle name="Explanatory Text" xfId="58"/>
    <cellStyle name="Followed Hyperlink" xfId="59"/>
    <cellStyle name="Good" xfId="60"/>
    <cellStyle name="HEAD-1" xfId="61"/>
    <cellStyle name="Head-2" xfId="62"/>
    <cellStyle name="Heading 1" xfId="63"/>
    <cellStyle name="Heading 2" xfId="64"/>
    <cellStyle name="Heading 3" xfId="65"/>
    <cellStyle name="Heading 4" xfId="66"/>
    <cellStyle name="Hyperlink" xfId="67"/>
    <cellStyle name="Hyperlink 2" xfId="68"/>
    <cellStyle name="Hyperlink 2 2" xfId="69"/>
    <cellStyle name="Hyperlink 3" xfId="70"/>
    <cellStyle name="Input" xfId="71"/>
    <cellStyle name="Input 2" xfId="72"/>
    <cellStyle name="Input Cell" xfId="73"/>
    <cellStyle name="Linked Cell" xfId="74"/>
    <cellStyle name="Neutral" xfId="75"/>
    <cellStyle name="Normal 2" xfId="76"/>
    <cellStyle name="Normal 2 2" xfId="77"/>
    <cellStyle name="Normal 2 2 2" xfId="78"/>
    <cellStyle name="Normal 2 2 2 2" xfId="79"/>
    <cellStyle name="Normal 2 2 3" xfId="80"/>
    <cellStyle name="Normal 2 2 4" xfId="81"/>
    <cellStyle name="Normal 2 3" xfId="82"/>
    <cellStyle name="Normal 2 3 2" xfId="83"/>
    <cellStyle name="Normal 2 4" xfId="84"/>
    <cellStyle name="Normal 2 5" xfId="85"/>
    <cellStyle name="Normal 3" xfId="86"/>
    <cellStyle name="Normal 3 2" xfId="87"/>
    <cellStyle name="Normal 3 2 2" xfId="88"/>
    <cellStyle name="Normal 3 2 3" xfId="89"/>
    <cellStyle name="Normal 3 2 4" xfId="90"/>
    <cellStyle name="Normal 3 2 4 2" xfId="91"/>
    <cellStyle name="Normal 3 3" xfId="92"/>
    <cellStyle name="Normal 3 3 2" xfId="93"/>
    <cellStyle name="Normal 3 4" xfId="94"/>
    <cellStyle name="Normal 3 5" xfId="95"/>
    <cellStyle name="Normal 4" xfId="96"/>
    <cellStyle name="Normal 4 2" xfId="97"/>
    <cellStyle name="Normal 4 2 2" xfId="98"/>
    <cellStyle name="Normal 4 2 3" xfId="99"/>
    <cellStyle name="Normal 4 3" xfId="100"/>
    <cellStyle name="Normal 4 4" xfId="101"/>
    <cellStyle name="Normal 5" xfId="102"/>
    <cellStyle name="Normal 5 2" xfId="103"/>
    <cellStyle name="Normal 5 3" xfId="104"/>
    <cellStyle name="Normal 5 4" xfId="105"/>
    <cellStyle name="Normal 6" xfId="106"/>
    <cellStyle name="Normal 6 3" xfId="107"/>
    <cellStyle name="Normal 7" xfId="108"/>
    <cellStyle name="Note" xfId="109"/>
    <cellStyle name="Output" xfId="110"/>
    <cellStyle name="Percent" xfId="111"/>
    <cellStyle name="Percent 2" xfId="112"/>
    <cellStyle name="Percent 2 2" xfId="113"/>
    <cellStyle name="Percent 2 3" xfId="114"/>
    <cellStyle name="Percent 2 3 2" xfId="115"/>
    <cellStyle name="Percent 2 3 3" xfId="116"/>
    <cellStyle name="Percent 2 3 4" xfId="117"/>
    <cellStyle name="Percent 2 4" xfId="118"/>
    <cellStyle name="Percent 2 5" xfId="119"/>
    <cellStyle name="Percent 3" xfId="120"/>
    <cellStyle name="Percent 3 2" xfId="121"/>
    <cellStyle name="Percent 4" xfId="122"/>
    <cellStyle name="Percent 4 2" xfId="123"/>
    <cellStyle name="Percent 4 3" xfId="124"/>
    <cellStyle name="Percent 5" xfId="125"/>
    <cellStyle name="Percent 5 2" xfId="126"/>
    <cellStyle name="Percent 5 2 2" xfId="127"/>
    <cellStyle name="Percent 5 2 3" xfId="128"/>
    <cellStyle name="Percent 5 3" xfId="129"/>
    <cellStyle name="Percent 5 3 2" xfId="130"/>
    <cellStyle name="Percent 6" xfId="131"/>
    <cellStyle name="Percent 6 2" xfId="132"/>
    <cellStyle name="Percent 6 3" xfId="133"/>
    <cellStyle name="Percent 7" xfId="134"/>
    <cellStyle name="Percent 7 2" xfId="135"/>
    <cellStyle name="Percent 7 3" xfId="136"/>
    <cellStyle name="Percent 7 4" xfId="137"/>
    <cellStyle name="Percent 8" xfId="138"/>
    <cellStyle name="Percent 9" xfId="139"/>
    <cellStyle name="StyleName1" xfId="140"/>
    <cellStyle name="StyleName2" xfId="141"/>
    <cellStyle name="StyleName3" xfId="142"/>
    <cellStyle name="StyleName4" xfId="143"/>
    <cellStyle name="StyleName5" xfId="144"/>
    <cellStyle name="StyleName6" xfId="145"/>
    <cellStyle name="StyleName7" xfId="146"/>
    <cellStyle name="StyleName8" xfId="147"/>
    <cellStyle name="Title" xfId="148"/>
    <cellStyle name="Total" xfId="149"/>
    <cellStyle name="Warning Text" xfId="150"/>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3975"/>
          <c:y val="0"/>
          <c:w val="0.9665"/>
          <c:h val="0.869"/>
        </c:manualLayout>
      </c:layout>
      <c:bar3DChart>
        <c:barDir val="col"/>
        <c:grouping val="clustered"/>
        <c:varyColors val="0"/>
        <c:ser>
          <c:idx val="0"/>
          <c:order val="0"/>
          <c:tx>
            <c:strRef>
              <c:f>'Crop Comparison'!$B$34:$C$34</c:f>
              <c:strCache>
                <c:ptCount val="1"/>
                <c:pt idx="0">
                  <c:v>R 11 572 R 5 086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3175">
                <a:noFill/>
              </a:ln>
            </c:spPr>
          </c:dPt>
          <c:dPt>
            <c:idx val="2"/>
            <c:invertIfNegative val="0"/>
            <c:spPr>
              <a:solidFill>
                <a:srgbClr val="00B050"/>
              </a:solidFill>
              <a:ln w="3175">
                <a:noFill/>
              </a:ln>
            </c:spPr>
          </c:dPt>
          <c:dPt>
            <c:idx val="4"/>
            <c:invertIfNegative val="0"/>
            <c:spPr>
              <a:solidFill>
                <a:srgbClr val="FFC000"/>
              </a:solidFill>
              <a:ln w="3175">
                <a:noFill/>
              </a:ln>
            </c:spPr>
          </c:dPt>
          <c:dPt>
            <c:idx val="5"/>
            <c:invertIfNegative val="0"/>
            <c:spPr>
              <a:solidFill>
                <a:srgbClr val="FFC000"/>
              </a:solidFill>
              <a:ln w="3175">
                <a:noFill/>
              </a:ln>
            </c:spPr>
          </c:dP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2DCDB"/>
                </a:solid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'Crop Comparison'!$B$2:$C$2</c:f>
              <c:strCache/>
            </c:strRef>
          </c:cat>
          <c:val>
            <c:numRef>
              <c:f>'Crop Comparison'!$B$34:$C$34</c:f>
              <c:numCache/>
            </c:numRef>
          </c:val>
          <c:shape val="box"/>
        </c:ser>
        <c:shape val="box"/>
        <c:axId val="58482213"/>
        <c:axId val="56577870"/>
      </c:bar3DChart>
      <c:catAx>
        <c:axId val="58482213"/>
        <c:scaling>
          <c:orientation val="minMax"/>
        </c:scaling>
        <c:axPos val="b"/>
        <c:delete val="0"/>
        <c:numFmt formatCode="General" sourceLinked="1"/>
        <c:majorTickMark val="out"/>
        <c:minorTickMark val="none"/>
        <c:tickLblPos val="nextTo"/>
        <c:spPr>
          <a:ln w="3175">
            <a:solidFill>
              <a:srgbClr val="808080"/>
            </a:solidFill>
          </a:ln>
        </c:spPr>
        <c:txPr>
          <a:bodyPr vert="horz" rot="-1800000"/>
          <a:lstStyle/>
          <a:p>
            <a:pPr>
              <a:defRPr lang="en-US" cap="none" sz="1200" b="1" i="0" u="none" baseline="0">
                <a:solidFill>
                  <a:srgbClr val="000000"/>
                </a:solidFill>
              </a:defRPr>
            </a:pPr>
          </a:p>
        </c:txPr>
        <c:crossAx val="56577870"/>
        <c:crosses val="autoZero"/>
        <c:auto val="1"/>
        <c:lblOffset val="100"/>
        <c:tickLblSkip val="1"/>
        <c:noMultiLvlLbl val="0"/>
      </c:catAx>
      <c:valAx>
        <c:axId val="56577870"/>
        <c:scaling>
          <c:orientation val="minMax"/>
        </c:scaling>
        <c:axPos val="l"/>
        <c:title>
          <c:tx>
            <c:rich>
              <a:bodyPr vert="horz" rot="-5400000" anchor="ctr"/>
              <a:lstStyle/>
              <a:p>
                <a:pPr algn="ctr">
                  <a:defRPr/>
                </a:pPr>
                <a:r>
                  <a:rPr lang="en-US" cap="none" sz="1200" b="1" i="0" u="none" baseline="0">
                    <a:solidFill>
                      <a:srgbClr val="000000"/>
                    </a:solidFill>
                  </a:rPr>
                  <a:t>Bruto Marge (R/ha)</a:t>
                </a:r>
              </a:p>
            </c:rich>
          </c:tx>
          <c:layout>
            <c:manualLayout>
              <c:xMode val="factor"/>
              <c:yMode val="factor"/>
              <c:x val="-0.113"/>
              <c:y val="0.050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5848221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57150</xdr:rowOff>
    </xdr:from>
    <xdr:to>
      <xdr:col>8</xdr:col>
      <xdr:colOff>647700</xdr:colOff>
      <xdr:row>2</xdr:row>
      <xdr:rowOff>85725</xdr:rowOff>
    </xdr:to>
    <xdr:pic>
      <xdr:nvPicPr>
        <xdr:cNvPr id="1" name="Picture 3" descr="Graan SA - nuwe logo.jpg"/>
        <xdr:cNvPicPr preferRelativeResize="1">
          <a:picLocks noChangeAspect="1"/>
        </xdr:cNvPicPr>
      </xdr:nvPicPr>
      <xdr:blipFill>
        <a:blip r:embed="rId1"/>
        <a:stretch>
          <a:fillRect/>
        </a:stretch>
      </xdr:blipFill>
      <xdr:spPr>
        <a:xfrm>
          <a:off x="9810750" y="57150"/>
          <a:ext cx="5619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152400</xdr:rowOff>
    </xdr:from>
    <xdr:to>
      <xdr:col>8</xdr:col>
      <xdr:colOff>647700</xdr:colOff>
      <xdr:row>2</xdr:row>
      <xdr:rowOff>219075</xdr:rowOff>
    </xdr:to>
    <xdr:pic>
      <xdr:nvPicPr>
        <xdr:cNvPr id="1" name="Picture 4" descr="Graan SA - nuwe logo.jpg"/>
        <xdr:cNvPicPr preferRelativeResize="1">
          <a:picLocks noChangeAspect="1"/>
        </xdr:cNvPicPr>
      </xdr:nvPicPr>
      <xdr:blipFill>
        <a:blip r:embed="rId1"/>
        <a:stretch>
          <a:fillRect/>
        </a:stretch>
      </xdr:blipFill>
      <xdr:spPr>
        <a:xfrm>
          <a:off x="9782175" y="152400"/>
          <a:ext cx="5429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41</xdr:row>
      <xdr:rowOff>142875</xdr:rowOff>
    </xdr:from>
    <xdr:to>
      <xdr:col>2</xdr:col>
      <xdr:colOff>923925</xdr:colOff>
      <xdr:row>84</xdr:row>
      <xdr:rowOff>76200</xdr:rowOff>
    </xdr:to>
    <xdr:graphicFrame>
      <xdr:nvGraphicFramePr>
        <xdr:cNvPr id="1" name="Chart 1"/>
        <xdr:cNvGraphicFramePr/>
      </xdr:nvGraphicFramePr>
      <xdr:xfrm>
        <a:off x="171450" y="7867650"/>
        <a:ext cx="5819775"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SA-16-17%20Noordwes%20begroting%20North%20West%20budg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A-18-19%20winter%20Noord%20Kaap%20begrotings%20budget%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se"/>
      <sheetName val="W-Mielie "/>
      <sheetName val="W-BT Mielies"/>
      <sheetName val="W-Roundup R mielies "/>
      <sheetName val="Stapelgeen Mielie"/>
      <sheetName val="Sonneblom"/>
      <sheetName val="Sojabone"/>
      <sheetName val="Graansorghum"/>
      <sheetName val="Grondbone"/>
      <sheetName val="Bes-mielies"/>
    </sheetNames>
    <sheetDataSet>
      <sheetData sheetId="2">
        <row r="9">
          <cell r="K9">
            <v>2.5</v>
          </cell>
        </row>
        <row r="10">
          <cell r="K10">
            <v>3</v>
          </cell>
        </row>
        <row r="11">
          <cell r="K11">
            <v>3.5</v>
          </cell>
        </row>
        <row r="12">
          <cell r="K12">
            <v>4</v>
          </cell>
        </row>
        <row r="13">
          <cell r="K13">
            <v>4.5</v>
          </cell>
        </row>
        <row r="14">
          <cell r="K14">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yse + Sensatiwiteitsanali"/>
      <sheetName val="Koring besproei"/>
      <sheetName val="Gars besproei"/>
      <sheetName val="Crop Comparison"/>
    </sheetNames>
    <sheetDataSet>
      <sheetData sheetId="1">
        <row r="9">
          <cell r="M9">
            <v>7</v>
          </cell>
        </row>
        <row r="10">
          <cell r="M10">
            <v>7.5</v>
          </cell>
        </row>
        <row r="11">
          <cell r="M11">
            <v>8</v>
          </cell>
        </row>
        <row r="12">
          <cell r="M12">
            <v>8.5</v>
          </cell>
        </row>
        <row r="13">
          <cell r="M13">
            <v>9</v>
          </cell>
        </row>
        <row r="14">
          <cell r="M14">
            <v>9.5</v>
          </cell>
        </row>
      </sheetData>
      <sheetData sheetId="2">
        <row r="9">
          <cell r="M9">
            <v>6.5</v>
          </cell>
        </row>
        <row r="10">
          <cell r="M10">
            <v>7</v>
          </cell>
        </row>
        <row r="11">
          <cell r="M11">
            <v>7.5</v>
          </cell>
        </row>
        <row r="12">
          <cell r="M12">
            <v>8</v>
          </cell>
        </row>
        <row r="13">
          <cell r="M13">
            <v>8.5</v>
          </cell>
        </row>
        <row r="14">
          <cell r="M14">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4"/>
  <sheetViews>
    <sheetView tabSelected="1" zoomScale="85" zoomScaleNormal="85" zoomScalePageLayoutView="0" workbookViewId="0" topLeftCell="A1">
      <selection activeCell="I6" sqref="I6"/>
    </sheetView>
  </sheetViews>
  <sheetFormatPr defaultColWidth="9.140625" defaultRowHeight="12.75"/>
  <cols>
    <col min="1" max="1" width="52.421875" style="62" customWidth="1"/>
    <col min="2" max="2" width="19.140625" style="62" bestFit="1" customWidth="1"/>
    <col min="3" max="3" width="3.28125" style="62" customWidth="1"/>
    <col min="4" max="4" width="23.7109375" style="62" customWidth="1"/>
    <col min="5" max="12" width="10.7109375" style="62" customWidth="1"/>
    <col min="13" max="15" width="9.140625" style="62" customWidth="1"/>
    <col min="16" max="16" width="22.7109375" style="62" customWidth="1"/>
    <col min="17" max="17" width="11.7109375" style="62" customWidth="1"/>
    <col min="18" max="26" width="9.421875" style="62" customWidth="1"/>
    <col min="27" max="16384" width="9.140625" style="62" customWidth="1"/>
  </cols>
  <sheetData>
    <row r="1" spans="1:14" s="63" customFormat="1" ht="28.5" customHeight="1">
      <c r="A1" s="61" t="s">
        <v>56</v>
      </c>
      <c r="B1" s="62"/>
      <c r="C1" s="62"/>
      <c r="D1" s="62"/>
      <c r="E1" s="62"/>
      <c r="F1" s="62"/>
      <c r="G1" s="62"/>
      <c r="H1" s="62"/>
      <c r="I1" s="62"/>
      <c r="J1" s="62"/>
      <c r="K1" s="62"/>
      <c r="L1" s="62"/>
      <c r="M1" s="62"/>
      <c r="N1" s="62"/>
    </row>
    <row r="2" spans="1:14" s="63" customFormat="1" ht="13.5" customHeight="1">
      <c r="A2" s="122" t="s">
        <v>44</v>
      </c>
      <c r="B2" s="123">
        <v>43539</v>
      </c>
      <c r="C2" s="62"/>
      <c r="D2" s="62"/>
      <c r="E2" s="62"/>
      <c r="F2" s="62"/>
      <c r="G2" s="62"/>
      <c r="H2" s="62"/>
      <c r="I2" s="62"/>
      <c r="J2" s="62"/>
      <c r="K2" s="62"/>
      <c r="L2" s="62"/>
      <c r="M2" s="62"/>
      <c r="N2" s="62"/>
    </row>
    <row r="3" spans="1:12" s="63" customFormat="1" ht="27.75" customHeight="1">
      <c r="A3" s="117" t="s">
        <v>31</v>
      </c>
      <c r="B3" s="124" t="s">
        <v>32</v>
      </c>
      <c r="C3" s="62"/>
      <c r="D3" s="64" t="s">
        <v>33</v>
      </c>
      <c r="E3" s="62"/>
      <c r="F3" s="62"/>
      <c r="G3" s="62"/>
      <c r="H3" s="62"/>
      <c r="I3" s="62"/>
      <c r="J3" s="62"/>
      <c r="K3" s="62"/>
      <c r="L3" s="62"/>
    </row>
    <row r="4" spans="1:12" s="63" customFormat="1" ht="13.5" customHeight="1">
      <c r="A4" s="118" t="s">
        <v>94</v>
      </c>
      <c r="B4" s="128">
        <v>4500</v>
      </c>
      <c r="C4" s="129"/>
      <c r="D4" s="130">
        <v>216</v>
      </c>
      <c r="E4" s="62"/>
      <c r="F4" s="62"/>
      <c r="G4" s="62"/>
      <c r="H4" s="62"/>
      <c r="I4" s="62"/>
      <c r="J4" s="62"/>
      <c r="K4" s="62"/>
      <c r="L4" s="62"/>
    </row>
    <row r="5" spans="1:14" s="63" customFormat="1" ht="13.5" customHeight="1">
      <c r="A5" s="118" t="s">
        <v>50</v>
      </c>
      <c r="B5" s="128">
        <v>4500</v>
      </c>
      <c r="C5" s="129"/>
      <c r="D5" s="130">
        <v>150</v>
      </c>
      <c r="E5" s="62"/>
      <c r="F5" s="62"/>
      <c r="G5" s="62"/>
      <c r="H5" s="62"/>
      <c r="I5" s="62"/>
      <c r="J5" s="62"/>
      <c r="K5" s="62"/>
      <c r="L5" s="62"/>
      <c r="M5" s="62"/>
      <c r="N5" s="62"/>
    </row>
    <row r="6" spans="1:14" s="66" customFormat="1" ht="13.5" customHeight="1">
      <c r="A6" s="119"/>
      <c r="B6" s="120"/>
      <c r="C6" s="65"/>
      <c r="D6" s="65"/>
      <c r="E6" s="65"/>
      <c r="F6" s="65"/>
      <c r="G6" s="65"/>
      <c r="H6" s="65"/>
      <c r="I6" s="65"/>
      <c r="J6" s="65"/>
      <c r="K6" s="65"/>
      <c r="L6" s="65"/>
      <c r="M6" s="65"/>
      <c r="N6" s="65"/>
    </row>
    <row r="7" spans="1:14" s="63" customFormat="1" ht="13.5" customHeight="1">
      <c r="A7" s="61"/>
      <c r="B7" s="62"/>
      <c r="C7" s="62"/>
      <c r="D7" s="62"/>
      <c r="E7" s="62"/>
      <c r="F7" s="62"/>
      <c r="G7" s="62"/>
      <c r="H7" s="62"/>
      <c r="I7" s="62"/>
      <c r="J7" s="62"/>
      <c r="K7" s="62"/>
      <c r="L7" s="62"/>
      <c r="M7" s="62"/>
      <c r="N7" s="62"/>
    </row>
    <row r="8" spans="1:14" s="63" customFormat="1" ht="16.5" thickBot="1">
      <c r="A8" s="216" t="s">
        <v>59</v>
      </c>
      <c r="B8" s="216"/>
      <c r="C8" s="62"/>
      <c r="D8" s="62"/>
      <c r="E8" s="62"/>
      <c r="F8" s="62"/>
      <c r="G8" s="62"/>
      <c r="H8" s="62"/>
      <c r="I8" s="62"/>
      <c r="J8" s="62"/>
      <c r="K8" s="62"/>
      <c r="L8" s="62"/>
      <c r="M8" s="62"/>
      <c r="N8" s="62"/>
    </row>
    <row r="9" spans="1:26" ht="20.25" customHeight="1" thickBot="1">
      <c r="A9" s="67"/>
      <c r="B9" s="121"/>
      <c r="C9" s="68"/>
      <c r="D9" s="211" t="s">
        <v>51</v>
      </c>
      <c r="E9" s="212"/>
      <c r="F9" s="212"/>
      <c r="G9" s="212"/>
      <c r="H9" s="212"/>
      <c r="I9" s="212"/>
      <c r="J9" s="212"/>
      <c r="K9" s="212"/>
      <c r="L9" s="212"/>
      <c r="M9" s="212"/>
      <c r="N9" s="213"/>
      <c r="P9" s="211" t="s">
        <v>53</v>
      </c>
      <c r="Q9" s="212"/>
      <c r="R9" s="212"/>
      <c r="S9" s="212"/>
      <c r="T9" s="212"/>
      <c r="U9" s="212"/>
      <c r="V9" s="212"/>
      <c r="W9" s="212"/>
      <c r="X9" s="212"/>
      <c r="Y9" s="212"/>
      <c r="Z9" s="213"/>
    </row>
    <row r="10" spans="1:26" ht="13.5" customHeight="1" thickBot="1">
      <c r="A10" s="69" t="s">
        <v>34</v>
      </c>
      <c r="B10" s="127">
        <f>INDEX('Koring besproei'!M9:O14,MATCH($B$14,RRLopbrengspeil,0),2)</f>
        <v>18415.615187189807</v>
      </c>
      <c r="C10" s="70"/>
      <c r="D10" s="71"/>
      <c r="E10" s="72"/>
      <c r="F10" s="73"/>
      <c r="G10" s="74"/>
      <c r="H10" s="73"/>
      <c r="I10" s="73"/>
      <c r="J10" s="73" t="s">
        <v>35</v>
      </c>
      <c r="K10" s="75"/>
      <c r="L10" s="73"/>
      <c r="M10" s="75"/>
      <c r="N10" s="73"/>
      <c r="P10" s="71"/>
      <c r="Q10" s="72"/>
      <c r="R10" s="73"/>
      <c r="S10" s="74"/>
      <c r="T10" s="73"/>
      <c r="U10" s="73"/>
      <c r="V10" s="73" t="s">
        <v>35</v>
      </c>
      <c r="W10" s="75"/>
      <c r="X10" s="73"/>
      <c r="Y10" s="75"/>
      <c r="Z10" s="73"/>
    </row>
    <row r="11" spans="1:26" ht="13.5" customHeight="1" thickBot="1">
      <c r="A11" s="76" t="s">
        <v>36</v>
      </c>
      <c r="B11" s="127">
        <f>INDEX('Koring besproei'!M9:O14,MATCH($B$14,RRLopbrengspeil,0),3)</f>
        <v>8198.346215324687</v>
      </c>
      <c r="C11" s="70"/>
      <c r="D11" s="211" t="s">
        <v>37</v>
      </c>
      <c r="E11" s="213"/>
      <c r="F11" s="77">
        <f>G11-250</f>
        <v>3500</v>
      </c>
      <c r="G11" s="77">
        <f>H11-250</f>
        <v>3750</v>
      </c>
      <c r="H11" s="77">
        <f>I11-250</f>
        <v>4000</v>
      </c>
      <c r="I11" s="77">
        <f>J11-250</f>
        <v>4250</v>
      </c>
      <c r="J11" s="78">
        <f>B16</f>
        <v>4500</v>
      </c>
      <c r="K11" s="77">
        <f>J11+250</f>
        <v>4750</v>
      </c>
      <c r="L11" s="77">
        <f>K11+250</f>
        <v>5000</v>
      </c>
      <c r="M11" s="77">
        <f>L11+250</f>
        <v>5250</v>
      </c>
      <c r="N11" s="77">
        <f>M11+250</f>
        <v>5500</v>
      </c>
      <c r="P11" s="211" t="s">
        <v>37</v>
      </c>
      <c r="Q11" s="213"/>
      <c r="R11" s="79">
        <f>S11-250</f>
        <v>3500</v>
      </c>
      <c r="S11" s="79">
        <f>T11-250</f>
        <v>3750</v>
      </c>
      <c r="T11" s="79">
        <f>U11-250</f>
        <v>4000</v>
      </c>
      <c r="U11" s="79">
        <f>V11-250</f>
        <v>4250</v>
      </c>
      <c r="V11" s="80">
        <f>J11</f>
        <v>4500</v>
      </c>
      <c r="W11" s="79">
        <f>V11+250</f>
        <v>4750</v>
      </c>
      <c r="X11" s="79">
        <f>W11+250</f>
        <v>5000</v>
      </c>
      <c r="Y11" s="79">
        <f>X11+250</f>
        <v>5250</v>
      </c>
      <c r="Z11" s="79">
        <f>Y11+250</f>
        <v>5500</v>
      </c>
    </row>
    <row r="12" spans="1:26" ht="13.5" customHeight="1" thickBot="1">
      <c r="A12" s="81" t="s">
        <v>38</v>
      </c>
      <c r="B12" s="82">
        <f>B11+B10</f>
        <v>26613.961402514495</v>
      </c>
      <c r="C12" s="83"/>
      <c r="D12" s="214" t="s">
        <v>39</v>
      </c>
      <c r="E12" s="215"/>
      <c r="F12" s="84">
        <f aca="true" t="shared" si="0" ref="F12:N12">F11-$B$17</f>
        <v>3284</v>
      </c>
      <c r="G12" s="84">
        <f t="shared" si="0"/>
        <v>3534</v>
      </c>
      <c r="H12" s="84">
        <f t="shared" si="0"/>
        <v>3784</v>
      </c>
      <c r="I12" s="84">
        <f t="shared" si="0"/>
        <v>4034</v>
      </c>
      <c r="J12" s="85">
        <f t="shared" si="0"/>
        <v>4284</v>
      </c>
      <c r="K12" s="84">
        <f t="shared" si="0"/>
        <v>4534</v>
      </c>
      <c r="L12" s="84">
        <f t="shared" si="0"/>
        <v>4784</v>
      </c>
      <c r="M12" s="84">
        <f t="shared" si="0"/>
        <v>5034</v>
      </c>
      <c r="N12" s="84">
        <f t="shared" si="0"/>
        <v>5284</v>
      </c>
      <c r="P12" s="214" t="s">
        <v>39</v>
      </c>
      <c r="Q12" s="215"/>
      <c r="R12" s="84">
        <f aca="true" t="shared" si="1" ref="R12:Z12">R11-$B$17</f>
        <v>3284</v>
      </c>
      <c r="S12" s="84">
        <f t="shared" si="1"/>
        <v>3534</v>
      </c>
      <c r="T12" s="84">
        <f t="shared" si="1"/>
        <v>3784</v>
      </c>
      <c r="U12" s="84">
        <f t="shared" si="1"/>
        <v>4034</v>
      </c>
      <c r="V12" s="86">
        <f t="shared" si="1"/>
        <v>4284</v>
      </c>
      <c r="W12" s="84">
        <f t="shared" si="1"/>
        <v>4534</v>
      </c>
      <c r="X12" s="84">
        <f t="shared" si="1"/>
        <v>4784</v>
      </c>
      <c r="Y12" s="84">
        <f t="shared" si="1"/>
        <v>5034</v>
      </c>
      <c r="Z12" s="84">
        <f t="shared" si="1"/>
        <v>5284</v>
      </c>
    </row>
    <row r="13" spans="1:26" ht="13.5" customHeight="1" thickBot="1">
      <c r="A13" s="87"/>
      <c r="B13" s="88"/>
      <c r="C13" s="70"/>
      <c r="D13" s="208" t="s">
        <v>40</v>
      </c>
      <c r="E13" s="89">
        <f>E14-0.5</f>
        <v>6</v>
      </c>
      <c r="F13" s="90">
        <f>F$12-($B$12/$E13)</f>
        <v>-1151.6602337524155</v>
      </c>
      <c r="G13" s="91">
        <f aca="true" t="shared" si="2" ref="F13:N17">G$12-($B$12/$E13)</f>
        <v>-901.6602337524155</v>
      </c>
      <c r="H13" s="91">
        <f t="shared" si="2"/>
        <v>-651.6602337524155</v>
      </c>
      <c r="I13" s="91">
        <f t="shared" si="2"/>
        <v>-401.6602337524155</v>
      </c>
      <c r="J13" s="91">
        <f t="shared" si="2"/>
        <v>-151.66023375241548</v>
      </c>
      <c r="K13" s="91">
        <f t="shared" si="2"/>
        <v>98.33976624758452</v>
      </c>
      <c r="L13" s="91">
        <f t="shared" si="2"/>
        <v>348.3397662475845</v>
      </c>
      <c r="M13" s="92">
        <f t="shared" si="2"/>
        <v>598.3397662475845</v>
      </c>
      <c r="N13" s="93">
        <f t="shared" si="2"/>
        <v>848.3397662475845</v>
      </c>
      <c r="P13" s="208" t="s">
        <v>40</v>
      </c>
      <c r="Q13" s="89">
        <f>Q14-0.5</f>
        <v>6</v>
      </c>
      <c r="R13" s="90">
        <f>R$12-($B$10/$E13)</f>
        <v>214.73080213503226</v>
      </c>
      <c r="S13" s="90">
        <f aca="true" t="shared" si="3" ref="S13:Z17">S$12-($B$10/$E13)</f>
        <v>464.73080213503226</v>
      </c>
      <c r="T13" s="90">
        <f t="shared" si="3"/>
        <v>714.7308021350323</v>
      </c>
      <c r="U13" s="90">
        <f t="shared" si="3"/>
        <v>964.7308021350323</v>
      </c>
      <c r="V13" s="90">
        <f t="shared" si="3"/>
        <v>1214.7308021350323</v>
      </c>
      <c r="W13" s="90">
        <f t="shared" si="3"/>
        <v>1464.7308021350323</v>
      </c>
      <c r="X13" s="90">
        <f t="shared" si="3"/>
        <v>1714.7308021350323</v>
      </c>
      <c r="Y13" s="90">
        <f t="shared" si="3"/>
        <v>1964.7308021350323</v>
      </c>
      <c r="Z13" s="90">
        <f t="shared" si="3"/>
        <v>2214.7308021350323</v>
      </c>
    </row>
    <row r="14" spans="1:26" ht="13.5" customHeight="1" thickBot="1">
      <c r="A14" s="94" t="s">
        <v>41</v>
      </c>
      <c r="B14" s="131">
        <v>7</v>
      </c>
      <c r="C14" s="70"/>
      <c r="D14" s="209"/>
      <c r="E14" s="89">
        <f>E15-0.5</f>
        <v>6.5</v>
      </c>
      <c r="F14" s="95">
        <f t="shared" si="2"/>
        <v>-810.4556003868452</v>
      </c>
      <c r="G14" s="96">
        <f t="shared" si="2"/>
        <v>-560.4556003868452</v>
      </c>
      <c r="H14" s="96">
        <f t="shared" si="2"/>
        <v>-310.45560038684516</v>
      </c>
      <c r="I14" s="96">
        <f t="shared" si="2"/>
        <v>-60.45560038684516</v>
      </c>
      <c r="J14" s="96">
        <f t="shared" si="2"/>
        <v>189.54439961315484</v>
      </c>
      <c r="K14" s="97">
        <f t="shared" si="2"/>
        <v>439.54439961315484</v>
      </c>
      <c r="L14" s="97">
        <f t="shared" si="2"/>
        <v>689.5443996131548</v>
      </c>
      <c r="M14" s="97">
        <f t="shared" si="2"/>
        <v>939.5443996131548</v>
      </c>
      <c r="N14" s="98">
        <f t="shared" si="2"/>
        <v>1189.5443996131548</v>
      </c>
      <c r="P14" s="209"/>
      <c r="Q14" s="89">
        <f>Q15-0.5</f>
        <v>6.5</v>
      </c>
      <c r="R14" s="90">
        <f>R$12-($B$10/$E14)</f>
        <v>450.8284327400297</v>
      </c>
      <c r="S14" s="90">
        <f t="shared" si="3"/>
        <v>700.8284327400297</v>
      </c>
      <c r="T14" s="90">
        <f t="shared" si="3"/>
        <v>950.8284327400297</v>
      </c>
      <c r="U14" s="90">
        <f t="shared" si="3"/>
        <v>1200.8284327400297</v>
      </c>
      <c r="V14" s="90">
        <f t="shared" si="3"/>
        <v>1450.8284327400297</v>
      </c>
      <c r="W14" s="90">
        <f t="shared" si="3"/>
        <v>1700.8284327400297</v>
      </c>
      <c r="X14" s="90">
        <f t="shared" si="3"/>
        <v>1950.8284327400297</v>
      </c>
      <c r="Y14" s="90">
        <f t="shared" si="3"/>
        <v>2200.8284327400297</v>
      </c>
      <c r="Z14" s="90">
        <f t="shared" si="3"/>
        <v>2450.8284327400297</v>
      </c>
    </row>
    <row r="15" spans="1:26" ht="13.5" customHeight="1" thickBot="1">
      <c r="A15" s="87"/>
      <c r="B15" s="88"/>
      <c r="C15" s="70"/>
      <c r="D15" s="209"/>
      <c r="E15" s="99">
        <f>B14</f>
        <v>7</v>
      </c>
      <c r="F15" s="95">
        <f t="shared" si="2"/>
        <v>-517.994486073499</v>
      </c>
      <c r="G15" s="96">
        <f t="shared" si="2"/>
        <v>-267.99448607349905</v>
      </c>
      <c r="H15" s="96">
        <f>H$12-($B$12/$E15)</f>
        <v>-17.994486073499047</v>
      </c>
      <c r="I15" s="96">
        <f t="shared" si="2"/>
        <v>232.00551392650095</v>
      </c>
      <c r="J15" s="97">
        <f t="shared" si="2"/>
        <v>482.00551392650095</v>
      </c>
      <c r="K15" s="97">
        <f t="shared" si="2"/>
        <v>732.005513926501</v>
      </c>
      <c r="L15" s="97">
        <f t="shared" si="2"/>
        <v>982.005513926501</v>
      </c>
      <c r="M15" s="97">
        <f t="shared" si="2"/>
        <v>1232.005513926501</v>
      </c>
      <c r="N15" s="98">
        <f t="shared" si="2"/>
        <v>1482.005513926501</v>
      </c>
      <c r="P15" s="209"/>
      <c r="Q15" s="99">
        <f>E15</f>
        <v>7</v>
      </c>
      <c r="R15" s="90">
        <f>R$12-($B$10/$E15)</f>
        <v>653.197830401456</v>
      </c>
      <c r="S15" s="90">
        <f>S$12-($B$10/$E15)</f>
        <v>903.197830401456</v>
      </c>
      <c r="T15" s="90">
        <f t="shared" si="3"/>
        <v>1153.197830401456</v>
      </c>
      <c r="U15" s="90">
        <f t="shared" si="3"/>
        <v>1403.197830401456</v>
      </c>
      <c r="V15" s="90">
        <f t="shared" si="3"/>
        <v>1653.197830401456</v>
      </c>
      <c r="W15" s="90">
        <f t="shared" si="3"/>
        <v>1903.197830401456</v>
      </c>
      <c r="X15" s="90">
        <f t="shared" si="3"/>
        <v>2153.197830401456</v>
      </c>
      <c r="Y15" s="90">
        <f t="shared" si="3"/>
        <v>2403.197830401456</v>
      </c>
      <c r="Z15" s="90">
        <f t="shared" si="3"/>
        <v>2653.197830401456</v>
      </c>
    </row>
    <row r="16" spans="1:26" ht="13.5" customHeight="1" thickBot="1">
      <c r="A16" s="100" t="s">
        <v>95</v>
      </c>
      <c r="B16" s="101">
        <f>$B$4</f>
        <v>4500</v>
      </c>
      <c r="C16" s="70"/>
      <c r="D16" s="209"/>
      <c r="E16" s="89">
        <f>E15+0.5</f>
        <v>7.5</v>
      </c>
      <c r="F16" s="95">
        <f t="shared" si="2"/>
        <v>-264.52818700193257</v>
      </c>
      <c r="G16" s="96">
        <f t="shared" si="2"/>
        <v>-14.528187001932565</v>
      </c>
      <c r="H16" s="96">
        <f t="shared" si="2"/>
        <v>235.47181299806743</v>
      </c>
      <c r="I16" s="97">
        <f t="shared" si="2"/>
        <v>485.47181299806743</v>
      </c>
      <c r="J16" s="97">
        <f t="shared" si="2"/>
        <v>735.4718129980674</v>
      </c>
      <c r="K16" s="97">
        <f t="shared" si="2"/>
        <v>985.4718129980674</v>
      </c>
      <c r="L16" s="97">
        <f t="shared" si="2"/>
        <v>1235.4718129980674</v>
      </c>
      <c r="M16" s="97">
        <f t="shared" si="2"/>
        <v>1485.4718129980674</v>
      </c>
      <c r="N16" s="98">
        <f t="shared" si="2"/>
        <v>1735.4718129980674</v>
      </c>
      <c r="P16" s="209"/>
      <c r="Q16" s="89">
        <f>Q15+0.5</f>
        <v>7.5</v>
      </c>
      <c r="R16" s="90">
        <f>R$12-($B$10/$E16)</f>
        <v>828.5846417080256</v>
      </c>
      <c r="S16" s="90">
        <f t="shared" si="3"/>
        <v>1078.5846417080256</v>
      </c>
      <c r="T16" s="90">
        <f t="shared" si="3"/>
        <v>1328.5846417080256</v>
      </c>
      <c r="U16" s="90">
        <f t="shared" si="3"/>
        <v>1578.5846417080256</v>
      </c>
      <c r="V16" s="90">
        <f t="shared" si="3"/>
        <v>1828.5846417080256</v>
      </c>
      <c r="W16" s="90">
        <f t="shared" si="3"/>
        <v>2078.5846417080256</v>
      </c>
      <c r="X16" s="90">
        <f t="shared" si="3"/>
        <v>2328.5846417080256</v>
      </c>
      <c r="Y16" s="90">
        <f t="shared" si="3"/>
        <v>2578.5846417080256</v>
      </c>
      <c r="Z16" s="90">
        <f t="shared" si="3"/>
        <v>2828.5846417080256</v>
      </c>
    </row>
    <row r="17" spans="1:26" ht="13.5" customHeight="1" thickBot="1">
      <c r="A17" s="102" t="s">
        <v>42</v>
      </c>
      <c r="B17" s="101">
        <f>D4</f>
        <v>216</v>
      </c>
      <c r="C17" s="70"/>
      <c r="D17" s="210"/>
      <c r="E17" s="89">
        <f>E16+0.5</f>
        <v>8</v>
      </c>
      <c r="F17" s="103">
        <f t="shared" si="2"/>
        <v>-42.74517531431184</v>
      </c>
      <c r="G17" s="104">
        <f t="shared" si="2"/>
        <v>207.25482468568816</v>
      </c>
      <c r="H17" s="105">
        <f t="shared" si="2"/>
        <v>457.25482468568816</v>
      </c>
      <c r="I17" s="105">
        <f t="shared" si="2"/>
        <v>707.2548246856882</v>
      </c>
      <c r="J17" s="105">
        <f t="shared" si="2"/>
        <v>957.2548246856882</v>
      </c>
      <c r="K17" s="105">
        <f t="shared" si="2"/>
        <v>1207.2548246856882</v>
      </c>
      <c r="L17" s="105">
        <f t="shared" si="2"/>
        <v>1457.2548246856882</v>
      </c>
      <c r="M17" s="105">
        <f t="shared" si="2"/>
        <v>1707.2548246856882</v>
      </c>
      <c r="N17" s="106">
        <f>N$12-($B$12/$E17)</f>
        <v>1957.2548246856882</v>
      </c>
      <c r="P17" s="210"/>
      <c r="Q17" s="89">
        <f>Q16+0.5</f>
        <v>8</v>
      </c>
      <c r="R17" s="90">
        <f>R$12-($B$10/$E17)</f>
        <v>982.0481016012741</v>
      </c>
      <c r="S17" s="90">
        <f>S$12-($B$10/$E17)</f>
        <v>1232.048101601274</v>
      </c>
      <c r="T17" s="90">
        <f>T$12-($B$10/$E17)</f>
        <v>1482.048101601274</v>
      </c>
      <c r="U17" s="90">
        <f t="shared" si="3"/>
        <v>1732.048101601274</v>
      </c>
      <c r="V17" s="90">
        <f t="shared" si="3"/>
        <v>1982.048101601274</v>
      </c>
      <c r="W17" s="90">
        <f t="shared" si="3"/>
        <v>2232.048101601274</v>
      </c>
      <c r="X17" s="90">
        <f t="shared" si="3"/>
        <v>2482.048101601274</v>
      </c>
      <c r="Y17" s="90">
        <f t="shared" si="3"/>
        <v>2732.048101601274</v>
      </c>
      <c r="Z17" s="90">
        <f t="shared" si="3"/>
        <v>2982.048101601274</v>
      </c>
    </row>
    <row r="18" spans="1:24" ht="13.5" customHeight="1" thickBot="1">
      <c r="A18" s="107" t="s">
        <v>43</v>
      </c>
      <c r="B18" s="108">
        <f>B16-B17</f>
        <v>4284</v>
      </c>
      <c r="C18" s="70"/>
      <c r="D18" s="109"/>
      <c r="E18" s="110"/>
      <c r="F18" s="111"/>
      <c r="G18" s="111"/>
      <c r="H18" s="111"/>
      <c r="I18" s="111"/>
      <c r="J18" s="111"/>
      <c r="K18" s="111"/>
      <c r="L18" s="111"/>
      <c r="P18" s="109"/>
      <c r="Q18" s="110"/>
      <c r="R18" s="111"/>
      <c r="S18" s="111"/>
      <c r="T18" s="111"/>
      <c r="U18" s="111"/>
      <c r="V18" s="111"/>
      <c r="W18" s="111"/>
      <c r="X18" s="111"/>
    </row>
    <row r="19" spans="1:24" s="65" customFormat="1" ht="13.5" customHeight="1">
      <c r="A19" s="112"/>
      <c r="B19" s="113"/>
      <c r="C19" s="114"/>
      <c r="D19" s="115"/>
      <c r="E19" s="116"/>
      <c r="F19" s="111"/>
      <c r="G19" s="111"/>
      <c r="H19" s="111"/>
      <c r="I19" s="111"/>
      <c r="J19" s="111"/>
      <c r="K19" s="111"/>
      <c r="L19" s="111"/>
      <c r="P19" s="115"/>
      <c r="Q19" s="116"/>
      <c r="R19" s="111"/>
      <c r="S19" s="111"/>
      <c r="T19" s="111"/>
      <c r="U19" s="111"/>
      <c r="V19" s="111"/>
      <c r="W19" s="111"/>
      <c r="X19" s="111"/>
    </row>
    <row r="20" spans="1:24" ht="13.5" customHeight="1">
      <c r="A20" s="112"/>
      <c r="B20" s="113"/>
      <c r="C20" s="70"/>
      <c r="D20" s="109"/>
      <c r="E20" s="110"/>
      <c r="F20" s="111"/>
      <c r="G20" s="111"/>
      <c r="H20" s="111"/>
      <c r="I20" s="111"/>
      <c r="J20" s="111"/>
      <c r="K20" s="111"/>
      <c r="L20" s="111"/>
      <c r="P20" s="109"/>
      <c r="Q20" s="110"/>
      <c r="R20" s="111"/>
      <c r="S20" s="111"/>
      <c r="T20" s="111"/>
      <c r="U20" s="111"/>
      <c r="V20" s="111"/>
      <c r="W20" s="111"/>
      <c r="X20" s="111"/>
    </row>
    <row r="21" spans="1:24" ht="13.5" customHeight="1">
      <c r="A21" s="112"/>
      <c r="B21" s="113"/>
      <c r="C21" s="70"/>
      <c r="D21" s="109"/>
      <c r="E21" s="110"/>
      <c r="F21" s="111"/>
      <c r="G21" s="111"/>
      <c r="H21" s="111"/>
      <c r="I21" s="111"/>
      <c r="J21" s="111"/>
      <c r="K21" s="111"/>
      <c r="L21" s="111"/>
      <c r="P21" s="109"/>
      <c r="Q21" s="110"/>
      <c r="R21" s="111"/>
      <c r="S21" s="111"/>
      <c r="T21" s="111"/>
      <c r="U21" s="111"/>
      <c r="V21" s="111"/>
      <c r="W21" s="111"/>
      <c r="X21" s="111"/>
    </row>
    <row r="22" spans="1:14" s="63" customFormat="1" ht="13.5" customHeight="1" thickBot="1">
      <c r="A22" s="216" t="s">
        <v>60</v>
      </c>
      <c r="B22" s="216"/>
      <c r="C22" s="62"/>
      <c r="D22" s="62"/>
      <c r="E22" s="62"/>
      <c r="F22" s="62"/>
      <c r="G22" s="62"/>
      <c r="H22" s="62"/>
      <c r="I22" s="62"/>
      <c r="J22" s="62"/>
      <c r="K22" s="62"/>
      <c r="L22" s="62"/>
      <c r="M22" s="62"/>
      <c r="N22" s="62"/>
    </row>
    <row r="23" spans="1:26" ht="20.25" customHeight="1" thickBot="1">
      <c r="A23" s="67"/>
      <c r="B23" s="121"/>
      <c r="C23" s="68"/>
      <c r="D23" s="211" t="s">
        <v>52</v>
      </c>
      <c r="E23" s="212"/>
      <c r="F23" s="212"/>
      <c r="G23" s="212"/>
      <c r="H23" s="212"/>
      <c r="I23" s="212"/>
      <c r="J23" s="212"/>
      <c r="K23" s="212"/>
      <c r="L23" s="212"/>
      <c r="M23" s="212"/>
      <c r="N23" s="213"/>
      <c r="P23" s="211" t="s">
        <v>54</v>
      </c>
      <c r="Q23" s="212"/>
      <c r="R23" s="212"/>
      <c r="S23" s="212"/>
      <c r="T23" s="212"/>
      <c r="U23" s="212"/>
      <c r="V23" s="212"/>
      <c r="W23" s="212"/>
      <c r="X23" s="212"/>
      <c r="Y23" s="212"/>
      <c r="Z23" s="213"/>
    </row>
    <row r="24" spans="1:26" ht="13.5" customHeight="1" thickBot="1">
      <c r="A24" s="69" t="s">
        <v>34</v>
      </c>
      <c r="B24" s="127">
        <f>INDEX('Gars besproei'!M9:O14,MATCH($B$28,BTopbrengspeil,0),2)</f>
        <v>12313.669081196866</v>
      </c>
      <c r="C24" s="70"/>
      <c r="D24" s="71"/>
      <c r="E24" s="72"/>
      <c r="F24" s="73"/>
      <c r="G24" s="74"/>
      <c r="H24" s="73"/>
      <c r="I24" s="73"/>
      <c r="J24" s="73" t="s">
        <v>35</v>
      </c>
      <c r="K24" s="75"/>
      <c r="L24" s="73"/>
      <c r="M24" s="75"/>
      <c r="N24" s="73"/>
      <c r="P24" s="71"/>
      <c r="Q24" s="72"/>
      <c r="R24" s="73"/>
      <c r="S24" s="74"/>
      <c r="T24" s="73"/>
      <c r="U24" s="73"/>
      <c r="V24" s="73" t="s">
        <v>35</v>
      </c>
      <c r="W24" s="75"/>
      <c r="X24" s="73"/>
      <c r="Y24" s="75"/>
      <c r="Z24" s="73"/>
    </row>
    <row r="25" spans="1:26" ht="13.5" customHeight="1" thickBot="1">
      <c r="A25" s="76" t="s">
        <v>36</v>
      </c>
      <c r="B25" s="127">
        <f>INDEX('Gars besproei'!M9:O14,MATCH($B$28,BTopbrengspeil,0),3)</f>
        <v>8183.911121929881</v>
      </c>
      <c r="C25" s="70"/>
      <c r="D25" s="211" t="s">
        <v>37</v>
      </c>
      <c r="E25" s="213"/>
      <c r="F25" s="77">
        <f>G25-250</f>
        <v>3500</v>
      </c>
      <c r="G25" s="77">
        <f>H25-250</f>
        <v>3750</v>
      </c>
      <c r="H25" s="77">
        <f>I25-250</f>
        <v>4000</v>
      </c>
      <c r="I25" s="77">
        <f>J25-250</f>
        <v>4250</v>
      </c>
      <c r="J25" s="73">
        <f>B30</f>
        <v>4500</v>
      </c>
      <c r="K25" s="77">
        <f>J25+250</f>
        <v>4750</v>
      </c>
      <c r="L25" s="77">
        <f>K25+250</f>
        <v>5000</v>
      </c>
      <c r="M25" s="77">
        <f>L25+250</f>
        <v>5250</v>
      </c>
      <c r="N25" s="77">
        <f>M25+250</f>
        <v>5500</v>
      </c>
      <c r="P25" s="211" t="s">
        <v>37</v>
      </c>
      <c r="Q25" s="213"/>
      <c r="R25" s="79">
        <f>S25-250</f>
        <v>3500</v>
      </c>
      <c r="S25" s="79">
        <f>T25-250</f>
        <v>3750</v>
      </c>
      <c r="T25" s="79">
        <f>U25-250</f>
        <v>4000</v>
      </c>
      <c r="U25" s="79">
        <f>V25-250</f>
        <v>4250</v>
      </c>
      <c r="V25" s="80">
        <f>J25</f>
        <v>4500</v>
      </c>
      <c r="W25" s="79">
        <f>V25+250</f>
        <v>4750</v>
      </c>
      <c r="X25" s="79">
        <f>W25+250</f>
        <v>5000</v>
      </c>
      <c r="Y25" s="79">
        <f>X25+250</f>
        <v>5250</v>
      </c>
      <c r="Z25" s="79">
        <f>Y25+250</f>
        <v>5500</v>
      </c>
    </row>
    <row r="26" spans="1:26" ht="13.5" customHeight="1" thickBot="1">
      <c r="A26" s="81" t="s">
        <v>38</v>
      </c>
      <c r="B26" s="82">
        <f>B25+B24</f>
        <v>20497.580203126745</v>
      </c>
      <c r="C26" s="83"/>
      <c r="D26" s="214" t="s">
        <v>39</v>
      </c>
      <c r="E26" s="215"/>
      <c r="F26" s="77">
        <f aca="true" t="shared" si="4" ref="F26:N26">F25-$B$31</f>
        <v>3350</v>
      </c>
      <c r="G26" s="77">
        <f t="shared" si="4"/>
        <v>3600</v>
      </c>
      <c r="H26" s="77">
        <f t="shared" si="4"/>
        <v>3850</v>
      </c>
      <c r="I26" s="77">
        <f t="shared" si="4"/>
        <v>4100</v>
      </c>
      <c r="J26" s="73">
        <f t="shared" si="4"/>
        <v>4350</v>
      </c>
      <c r="K26" s="77">
        <f t="shared" si="4"/>
        <v>4600</v>
      </c>
      <c r="L26" s="77">
        <f t="shared" si="4"/>
        <v>4850</v>
      </c>
      <c r="M26" s="77">
        <f t="shared" si="4"/>
        <v>5100</v>
      </c>
      <c r="N26" s="77">
        <f t="shared" si="4"/>
        <v>5350</v>
      </c>
      <c r="P26" s="214" t="s">
        <v>39</v>
      </c>
      <c r="Q26" s="215"/>
      <c r="R26" s="79">
        <f aca="true" t="shared" si="5" ref="R26:Z26">R25-$B$31</f>
        <v>3350</v>
      </c>
      <c r="S26" s="79">
        <f t="shared" si="5"/>
        <v>3600</v>
      </c>
      <c r="T26" s="79">
        <f t="shared" si="5"/>
        <v>3850</v>
      </c>
      <c r="U26" s="79">
        <f t="shared" si="5"/>
        <v>4100</v>
      </c>
      <c r="V26" s="80">
        <f t="shared" si="5"/>
        <v>4350</v>
      </c>
      <c r="W26" s="79">
        <f t="shared" si="5"/>
        <v>4600</v>
      </c>
      <c r="X26" s="79">
        <f t="shared" si="5"/>
        <v>4850</v>
      </c>
      <c r="Y26" s="79">
        <f t="shared" si="5"/>
        <v>5100</v>
      </c>
      <c r="Z26" s="79">
        <f t="shared" si="5"/>
        <v>5350</v>
      </c>
    </row>
    <row r="27" spans="1:26" ht="13.5" customHeight="1" thickBot="1">
      <c r="A27" s="87"/>
      <c r="B27" s="88"/>
      <c r="C27" s="70"/>
      <c r="D27" s="208" t="s">
        <v>40</v>
      </c>
      <c r="E27" s="89">
        <f>E28-0.5</f>
        <v>3</v>
      </c>
      <c r="F27" s="90">
        <f>F$26-($B$26/$E27)</f>
        <v>-3482.5267343755813</v>
      </c>
      <c r="G27" s="90">
        <f aca="true" t="shared" si="6" ref="G27:N31">G$26-($B$26/$E27)</f>
        <v>-3232.5267343755813</v>
      </c>
      <c r="H27" s="90">
        <f t="shared" si="6"/>
        <v>-2982.5267343755813</v>
      </c>
      <c r="I27" s="90">
        <f t="shared" si="6"/>
        <v>-2732.5267343755813</v>
      </c>
      <c r="J27" s="90">
        <f t="shared" si="6"/>
        <v>-2482.5267343755813</v>
      </c>
      <c r="K27" s="90">
        <f t="shared" si="6"/>
        <v>-2232.5267343755813</v>
      </c>
      <c r="L27" s="90">
        <f t="shared" si="6"/>
        <v>-1982.5267343755813</v>
      </c>
      <c r="M27" s="90">
        <f t="shared" si="6"/>
        <v>-1732.5267343755813</v>
      </c>
      <c r="N27" s="90">
        <f t="shared" si="6"/>
        <v>-1482.5267343755813</v>
      </c>
      <c r="P27" s="208" t="s">
        <v>40</v>
      </c>
      <c r="Q27" s="89">
        <f>Q28-0.5</f>
        <v>3</v>
      </c>
      <c r="R27" s="90">
        <f>R$26-($B$24/$E27)</f>
        <v>-754.5563603989549</v>
      </c>
      <c r="S27" s="90">
        <f aca="true" t="shared" si="7" ref="S27:Z27">S$26-($B$24/$E27)</f>
        <v>-504.5563603989549</v>
      </c>
      <c r="T27" s="90">
        <f t="shared" si="7"/>
        <v>-254.5563603989549</v>
      </c>
      <c r="U27" s="90">
        <f t="shared" si="7"/>
        <v>-4.556360398954894</v>
      </c>
      <c r="V27" s="90">
        <f t="shared" si="7"/>
        <v>245.4436396010451</v>
      </c>
      <c r="W27" s="90">
        <f t="shared" si="7"/>
        <v>495.4436396010451</v>
      </c>
      <c r="X27" s="90">
        <f t="shared" si="7"/>
        <v>745.4436396010451</v>
      </c>
      <c r="Y27" s="90">
        <f t="shared" si="7"/>
        <v>995.4436396010451</v>
      </c>
      <c r="Z27" s="90">
        <f t="shared" si="7"/>
        <v>1245.443639601045</v>
      </c>
    </row>
    <row r="28" spans="1:26" ht="13.5" customHeight="1" thickBot="1">
      <c r="A28" s="94" t="s">
        <v>41</v>
      </c>
      <c r="B28" s="131">
        <v>4</v>
      </c>
      <c r="C28" s="70"/>
      <c r="D28" s="209"/>
      <c r="E28" s="89">
        <f>E29-0.5</f>
        <v>3.5</v>
      </c>
      <c r="F28" s="90">
        <f>F$26-($B$26/$E28)</f>
        <v>-2506.4514866076415</v>
      </c>
      <c r="G28" s="90">
        <f t="shared" si="6"/>
        <v>-2256.4514866076415</v>
      </c>
      <c r="H28" s="90">
        <f t="shared" si="6"/>
        <v>-2006.4514866076415</v>
      </c>
      <c r="I28" s="90">
        <f t="shared" si="6"/>
        <v>-1756.4514866076415</v>
      </c>
      <c r="J28" s="90">
        <f t="shared" si="6"/>
        <v>-1506.4514866076415</v>
      </c>
      <c r="K28" s="90">
        <f t="shared" si="6"/>
        <v>-1256.4514866076415</v>
      </c>
      <c r="L28" s="90">
        <f t="shared" si="6"/>
        <v>-1006.4514866076415</v>
      </c>
      <c r="M28" s="90">
        <f t="shared" si="6"/>
        <v>-756.4514866076415</v>
      </c>
      <c r="N28" s="90">
        <f t="shared" si="6"/>
        <v>-506.4514866076415</v>
      </c>
      <c r="P28" s="209"/>
      <c r="Q28" s="89">
        <f>Q29-0.5</f>
        <v>3.5</v>
      </c>
      <c r="R28" s="90">
        <f aca="true" t="shared" si="8" ref="R28:Z31">R$26-($B$24/$E28)</f>
        <v>-168.1911660562473</v>
      </c>
      <c r="S28" s="90">
        <f t="shared" si="8"/>
        <v>81.80883394375269</v>
      </c>
      <c r="T28" s="90">
        <f t="shared" si="8"/>
        <v>331.8088339437527</v>
      </c>
      <c r="U28" s="90">
        <f t="shared" si="8"/>
        <v>581.8088339437527</v>
      </c>
      <c r="V28" s="90">
        <f t="shared" si="8"/>
        <v>831.8088339437527</v>
      </c>
      <c r="W28" s="90">
        <f t="shared" si="8"/>
        <v>1081.8088339437527</v>
      </c>
      <c r="X28" s="90">
        <f t="shared" si="8"/>
        <v>1331.8088339437527</v>
      </c>
      <c r="Y28" s="90">
        <f t="shared" si="8"/>
        <v>1581.8088339437527</v>
      </c>
      <c r="Z28" s="90">
        <f t="shared" si="8"/>
        <v>1831.8088339437527</v>
      </c>
    </row>
    <row r="29" spans="1:26" ht="13.5" customHeight="1" thickBot="1">
      <c r="A29" s="87"/>
      <c r="B29" s="88"/>
      <c r="C29" s="70"/>
      <c r="D29" s="209"/>
      <c r="E29" s="99">
        <f>B28</f>
        <v>4</v>
      </c>
      <c r="F29" s="90">
        <f>F$26-($B$26/$E29)</f>
        <v>-1774.3950507816862</v>
      </c>
      <c r="G29" s="90">
        <f t="shared" si="6"/>
        <v>-1524.3950507816862</v>
      </c>
      <c r="H29" s="90">
        <f t="shared" si="6"/>
        <v>-1274.3950507816862</v>
      </c>
      <c r="I29" s="90">
        <f t="shared" si="6"/>
        <v>-1024.3950507816862</v>
      </c>
      <c r="J29" s="90">
        <f t="shared" si="6"/>
        <v>-774.3950507816862</v>
      </c>
      <c r="K29" s="90">
        <f t="shared" si="6"/>
        <v>-524.3950507816862</v>
      </c>
      <c r="L29" s="90">
        <f t="shared" si="6"/>
        <v>-274.3950507816862</v>
      </c>
      <c r="M29" s="90">
        <f t="shared" si="6"/>
        <v>-24.395050781686223</v>
      </c>
      <c r="N29" s="90">
        <f t="shared" si="6"/>
        <v>225.60494921831378</v>
      </c>
      <c r="P29" s="209"/>
      <c r="Q29" s="99">
        <f>E29</f>
        <v>4</v>
      </c>
      <c r="R29" s="90">
        <f t="shared" si="8"/>
        <v>271.5827297007836</v>
      </c>
      <c r="S29" s="90">
        <f t="shared" si="8"/>
        <v>521.5827297007836</v>
      </c>
      <c r="T29" s="90">
        <f t="shared" si="8"/>
        <v>771.5827297007836</v>
      </c>
      <c r="U29" s="90">
        <f t="shared" si="8"/>
        <v>1021.5827297007836</v>
      </c>
      <c r="V29" s="90">
        <f t="shared" si="8"/>
        <v>1271.5827297007836</v>
      </c>
      <c r="W29" s="90">
        <f t="shared" si="8"/>
        <v>1521.5827297007836</v>
      </c>
      <c r="X29" s="90">
        <f t="shared" si="8"/>
        <v>1771.5827297007836</v>
      </c>
      <c r="Y29" s="90">
        <f t="shared" si="8"/>
        <v>2021.5827297007836</v>
      </c>
      <c r="Z29" s="90">
        <f t="shared" si="8"/>
        <v>2271.5827297007836</v>
      </c>
    </row>
    <row r="30" spans="1:26" ht="13.5" customHeight="1" thickBot="1">
      <c r="A30" s="100" t="s">
        <v>55</v>
      </c>
      <c r="B30" s="101">
        <f>B5</f>
        <v>4500</v>
      </c>
      <c r="C30" s="70"/>
      <c r="D30" s="209"/>
      <c r="E30" s="89">
        <f>E29+0.5</f>
        <v>4.5</v>
      </c>
      <c r="F30" s="90">
        <f>F$26-($B$26/$E30)</f>
        <v>-1205.0178229170542</v>
      </c>
      <c r="G30" s="90">
        <f t="shared" si="6"/>
        <v>-955.0178229170542</v>
      </c>
      <c r="H30" s="90">
        <f t="shared" si="6"/>
        <v>-705.0178229170542</v>
      </c>
      <c r="I30" s="90">
        <f t="shared" si="6"/>
        <v>-455.0178229170542</v>
      </c>
      <c r="J30" s="90">
        <f t="shared" si="6"/>
        <v>-205.01782291705422</v>
      </c>
      <c r="K30" s="90">
        <f t="shared" si="6"/>
        <v>44.98217708294578</v>
      </c>
      <c r="L30" s="90">
        <f t="shared" si="6"/>
        <v>294.9821770829458</v>
      </c>
      <c r="M30" s="90">
        <f t="shared" si="6"/>
        <v>544.9821770829458</v>
      </c>
      <c r="N30" s="90">
        <f t="shared" si="6"/>
        <v>794.9821770829458</v>
      </c>
      <c r="P30" s="209"/>
      <c r="Q30" s="89">
        <f>Q29+0.5</f>
        <v>4.5</v>
      </c>
      <c r="R30" s="90">
        <f t="shared" si="8"/>
        <v>613.6290930673631</v>
      </c>
      <c r="S30" s="90">
        <f t="shared" si="8"/>
        <v>863.6290930673631</v>
      </c>
      <c r="T30" s="90">
        <f t="shared" si="8"/>
        <v>1113.629093067363</v>
      </c>
      <c r="U30" s="90">
        <f t="shared" si="8"/>
        <v>1363.629093067363</v>
      </c>
      <c r="V30" s="90">
        <f t="shared" si="8"/>
        <v>1613.629093067363</v>
      </c>
      <c r="W30" s="90">
        <f t="shared" si="8"/>
        <v>1863.629093067363</v>
      </c>
      <c r="X30" s="90">
        <f t="shared" si="8"/>
        <v>2113.629093067363</v>
      </c>
      <c r="Y30" s="90">
        <f t="shared" si="8"/>
        <v>2363.629093067363</v>
      </c>
      <c r="Z30" s="90">
        <f t="shared" si="8"/>
        <v>2613.629093067363</v>
      </c>
    </row>
    <row r="31" spans="1:26" ht="13.5" customHeight="1" thickBot="1">
      <c r="A31" s="102" t="s">
        <v>42</v>
      </c>
      <c r="B31" s="101">
        <f>D5</f>
        <v>150</v>
      </c>
      <c r="C31" s="70"/>
      <c r="D31" s="210"/>
      <c r="E31" s="89">
        <f>E30+0.5</f>
        <v>5</v>
      </c>
      <c r="F31" s="90">
        <f>F$26-($B$26/$E31)</f>
        <v>-749.516040625349</v>
      </c>
      <c r="G31" s="90">
        <f t="shared" si="6"/>
        <v>-499.516040625349</v>
      </c>
      <c r="H31" s="90">
        <f t="shared" si="6"/>
        <v>-249.51604062534898</v>
      </c>
      <c r="I31" s="90">
        <f t="shared" si="6"/>
        <v>0.4839593746510218</v>
      </c>
      <c r="J31" s="90">
        <f t="shared" si="6"/>
        <v>250.48395937465102</v>
      </c>
      <c r="K31" s="90">
        <f t="shared" si="6"/>
        <v>500.483959374651</v>
      </c>
      <c r="L31" s="90">
        <f t="shared" si="6"/>
        <v>750.483959374651</v>
      </c>
      <c r="M31" s="90">
        <f t="shared" si="6"/>
        <v>1000.483959374651</v>
      </c>
      <c r="N31" s="90">
        <f>N$26-($B$26/$E31)</f>
        <v>1250.483959374651</v>
      </c>
      <c r="P31" s="210"/>
      <c r="Q31" s="89">
        <f>Q30+0.5</f>
        <v>5</v>
      </c>
      <c r="R31" s="90">
        <f t="shared" si="8"/>
        <v>887.266183760627</v>
      </c>
      <c r="S31" s="90">
        <f t="shared" si="8"/>
        <v>1137.266183760627</v>
      </c>
      <c r="T31" s="90">
        <f>T$26-($B$24/$E31)</f>
        <v>1387.266183760627</v>
      </c>
      <c r="U31" s="90">
        <f t="shared" si="8"/>
        <v>1637.266183760627</v>
      </c>
      <c r="V31" s="90">
        <f t="shared" si="8"/>
        <v>1887.266183760627</v>
      </c>
      <c r="W31" s="90">
        <f t="shared" si="8"/>
        <v>2137.266183760627</v>
      </c>
      <c r="X31" s="90">
        <f t="shared" si="8"/>
        <v>2387.266183760627</v>
      </c>
      <c r="Y31" s="90">
        <f t="shared" si="8"/>
        <v>2637.266183760627</v>
      </c>
      <c r="Z31" s="90">
        <f t="shared" si="8"/>
        <v>2887.266183760627</v>
      </c>
    </row>
    <row r="32" spans="1:24" ht="13.5" customHeight="1" thickBot="1">
      <c r="A32" s="107" t="s">
        <v>43</v>
      </c>
      <c r="B32" s="108">
        <f>B30-B31</f>
        <v>4350</v>
      </c>
      <c r="C32" s="70"/>
      <c r="D32" s="109"/>
      <c r="E32" s="110"/>
      <c r="F32" s="111"/>
      <c r="G32" s="111"/>
      <c r="H32" s="111"/>
      <c r="I32" s="111"/>
      <c r="J32" s="111"/>
      <c r="K32" s="111"/>
      <c r="L32" s="111"/>
      <c r="P32" s="109"/>
      <c r="Q32" s="110"/>
      <c r="R32" s="111"/>
      <c r="S32" s="111"/>
      <c r="T32" s="111"/>
      <c r="U32" s="111"/>
      <c r="V32" s="111"/>
      <c r="W32" s="111"/>
      <c r="X32" s="111"/>
    </row>
    <row r="33" spans="1:24" s="65" customFormat="1" ht="13.5" customHeight="1">
      <c r="A33" s="112"/>
      <c r="B33" s="113"/>
      <c r="C33" s="114"/>
      <c r="D33" s="115"/>
      <c r="E33" s="116"/>
      <c r="F33" s="111"/>
      <c r="G33" s="111"/>
      <c r="H33" s="111"/>
      <c r="I33" s="111"/>
      <c r="J33" s="111"/>
      <c r="K33" s="111"/>
      <c r="L33" s="111"/>
      <c r="P33" s="115"/>
      <c r="Q33" s="116"/>
      <c r="R33" s="111"/>
      <c r="S33" s="111"/>
      <c r="T33" s="111"/>
      <c r="U33" s="111"/>
      <c r="V33" s="111"/>
      <c r="W33" s="111"/>
      <c r="X33" s="111"/>
    </row>
    <row r="34" spans="1:24" s="65" customFormat="1" ht="13.5" customHeight="1">
      <c r="A34" s="112"/>
      <c r="B34" s="113"/>
      <c r="C34" s="114"/>
      <c r="D34" s="115"/>
      <c r="E34" s="116"/>
      <c r="F34" s="111"/>
      <c r="G34" s="111"/>
      <c r="H34" s="111"/>
      <c r="I34" s="111"/>
      <c r="J34" s="111"/>
      <c r="K34" s="111"/>
      <c r="L34" s="111"/>
      <c r="P34" s="115"/>
      <c r="Q34" s="116"/>
      <c r="R34" s="111"/>
      <c r="S34" s="111"/>
      <c r="T34" s="111"/>
      <c r="U34" s="111"/>
      <c r="V34" s="111"/>
      <c r="W34" s="111"/>
      <c r="X34" s="111"/>
    </row>
  </sheetData>
  <sheetProtection selectLockedCells="1"/>
  <mergeCells count="18">
    <mergeCell ref="A8:B8"/>
    <mergeCell ref="A22:B22"/>
    <mergeCell ref="D25:E25"/>
    <mergeCell ref="P25:Q25"/>
    <mergeCell ref="D26:E26"/>
    <mergeCell ref="P26:Q26"/>
    <mergeCell ref="D13:D17"/>
    <mergeCell ref="P13:P17"/>
    <mergeCell ref="D27:D31"/>
    <mergeCell ref="P27:P31"/>
    <mergeCell ref="D23:N23"/>
    <mergeCell ref="P23:Z23"/>
    <mergeCell ref="D9:N9"/>
    <mergeCell ref="P9:Z9"/>
    <mergeCell ref="D11:E11"/>
    <mergeCell ref="P11:Q11"/>
    <mergeCell ref="D12:E12"/>
    <mergeCell ref="P12:Q12"/>
  </mergeCells>
  <conditionalFormatting sqref="F13:N17">
    <cfRule type="cellIs" priority="57" dxfId="0" operator="lessThan" stopIfTrue="1">
      <formula>1</formula>
    </cfRule>
    <cfRule type="cellIs" priority="58" dxfId="1" operator="greaterThan" stopIfTrue="1">
      <formula>1</formula>
    </cfRule>
    <cfRule type="cellIs" priority="59" dxfId="0" operator="lessThan" stopIfTrue="1">
      <formula>1</formula>
    </cfRule>
    <cfRule type="cellIs" priority="60" dxfId="1" operator="greaterThan" stopIfTrue="1">
      <formula>1</formula>
    </cfRule>
  </conditionalFormatting>
  <conditionalFormatting sqref="R13:Z17">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27:N31">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27:Z3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dataValidations count="2">
    <dataValidation type="list" allowBlank="1" showInputMessage="1" showErrorMessage="1" sqref="B28">
      <formula1>BTopbrengspeil</formula1>
    </dataValidation>
    <dataValidation type="list" allowBlank="1" showInputMessage="1" showErrorMessage="1" sqref="B14">
      <formula1>RRLopbrengspeil</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70" zoomScaleNormal="70" zoomScaleSheetLayoutView="90" zoomScalePageLayoutView="0" workbookViewId="0" topLeftCell="A13">
      <selection activeCell="K14" sqref="K14"/>
    </sheetView>
  </sheetViews>
  <sheetFormatPr defaultColWidth="9.140625" defaultRowHeight="12.75"/>
  <cols>
    <col min="1" max="1" width="41.7109375" style="1" customWidth="1"/>
    <col min="2" max="2" width="18.28125" style="1" customWidth="1"/>
    <col min="3" max="3" width="17.28125" style="1" customWidth="1"/>
    <col min="4" max="4" width="16.00390625" style="1" customWidth="1"/>
    <col min="5" max="5" width="14.00390625" style="1" customWidth="1"/>
    <col min="6" max="6" width="13.28125" style="1" customWidth="1"/>
    <col min="7" max="7" width="13.421875" style="1" customWidth="1"/>
    <col min="8" max="8" width="11.8515625" style="1" customWidth="1"/>
    <col min="9" max="9" width="12.8515625" style="1" bestFit="1" customWidth="1"/>
    <col min="10" max="10" width="12.421875" style="1" bestFit="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1" t="s">
        <v>58</v>
      </c>
      <c r="B1" s="222"/>
      <c r="C1" s="222"/>
      <c r="D1" s="222"/>
      <c r="E1" s="223" t="s">
        <v>96</v>
      </c>
      <c r="F1" s="223"/>
      <c r="G1" s="223"/>
      <c r="H1" s="2"/>
      <c r="I1" s="11"/>
      <c r="J1" s="10"/>
    </row>
    <row r="2" spans="1:10" ht="16.5" thickBot="1">
      <c r="A2" s="12"/>
      <c r="B2" s="13"/>
      <c r="C2" s="14"/>
      <c r="D2" s="14"/>
      <c r="E2" s="9"/>
      <c r="F2" s="9"/>
      <c r="G2" s="9"/>
      <c r="H2" s="9"/>
      <c r="I2" s="4"/>
      <c r="J2" s="3"/>
    </row>
    <row r="3" spans="1:9" ht="25.5" customHeight="1" thickBot="1">
      <c r="A3" s="226" t="s">
        <v>1</v>
      </c>
      <c r="B3" s="227"/>
      <c r="C3" s="227"/>
      <c r="D3" s="22"/>
      <c r="E3" s="29">
        <f>'Pryse + Sensatiwiteitsanali'!B18</f>
        <v>4284</v>
      </c>
      <c r="F3" s="22" t="s">
        <v>0</v>
      </c>
      <c r="G3" s="15"/>
      <c r="H3" s="15"/>
      <c r="I3" s="5"/>
    </row>
    <row r="4" spans="1:10" ht="13.5" thickBot="1">
      <c r="A4" s="37"/>
      <c r="B4" s="7"/>
      <c r="C4" s="7"/>
      <c r="D4" s="6"/>
      <c r="E4" s="8"/>
      <c r="F4" s="16"/>
      <c r="G4" s="7"/>
      <c r="H4" s="17"/>
      <c r="I4" s="17"/>
      <c r="J4" s="3"/>
    </row>
    <row r="5" spans="1:14" ht="13.5" thickBot="1">
      <c r="A5" s="41" t="s">
        <v>2</v>
      </c>
      <c r="B5" s="7"/>
      <c r="C5" s="7"/>
      <c r="D5" s="135">
        <v>5.5</v>
      </c>
      <c r="E5" s="135">
        <v>6</v>
      </c>
      <c r="F5" s="135">
        <v>6.5</v>
      </c>
      <c r="G5" s="135">
        <v>7</v>
      </c>
      <c r="H5" s="135">
        <v>7.5</v>
      </c>
      <c r="I5" s="136">
        <v>8</v>
      </c>
      <c r="J5" s="3"/>
      <c r="M5" s="30"/>
      <c r="N5" s="30"/>
    </row>
    <row r="6" spans="1:14" ht="13.5" thickBot="1">
      <c r="A6" s="42" t="s">
        <v>3</v>
      </c>
      <c r="B6" s="39"/>
      <c r="C6" s="40"/>
      <c r="D6" s="27">
        <f aca="true" t="shared" si="0" ref="D6:I6">$E$3*D5</f>
        <v>23562</v>
      </c>
      <c r="E6" s="27">
        <f t="shared" si="0"/>
        <v>25704</v>
      </c>
      <c r="F6" s="27">
        <f>$E$3*F5</f>
        <v>27846</v>
      </c>
      <c r="G6" s="27">
        <f t="shared" si="0"/>
        <v>29988</v>
      </c>
      <c r="H6" s="27">
        <f t="shared" si="0"/>
        <v>32130</v>
      </c>
      <c r="I6" s="27">
        <f t="shared" si="0"/>
        <v>34272</v>
      </c>
      <c r="J6" s="3"/>
      <c r="M6" s="31"/>
      <c r="N6" s="31"/>
    </row>
    <row r="7" spans="1:15" ht="15.75" thickBot="1">
      <c r="A7" s="35"/>
      <c r="B7" s="36"/>
      <c r="C7" s="36"/>
      <c r="D7" s="18"/>
      <c r="E7" s="18"/>
      <c r="F7" s="18"/>
      <c r="G7" s="18"/>
      <c r="H7" s="18"/>
      <c r="I7" s="18"/>
      <c r="J7" s="3"/>
      <c r="M7" s="220" t="s">
        <v>48</v>
      </c>
      <c r="N7" s="220"/>
      <c r="O7" s="220"/>
    </row>
    <row r="8" spans="1:15" ht="15.75" thickBot="1">
      <c r="A8" s="229" t="s">
        <v>4</v>
      </c>
      <c r="B8" s="230"/>
      <c r="C8" s="231"/>
      <c r="D8" s="19"/>
      <c r="E8" s="19"/>
      <c r="F8" s="19"/>
      <c r="G8" s="19"/>
      <c r="H8" s="19"/>
      <c r="I8" s="19"/>
      <c r="J8" s="3"/>
      <c r="M8" s="125" t="s">
        <v>45</v>
      </c>
      <c r="N8" s="125" t="s">
        <v>46</v>
      </c>
      <c r="O8" s="125" t="s">
        <v>47</v>
      </c>
    </row>
    <row r="9" spans="1:15" ht="14.25" customHeight="1">
      <c r="A9" s="46" t="s">
        <v>5</v>
      </c>
      <c r="B9" s="47"/>
      <c r="C9" s="47"/>
      <c r="D9" s="132">
        <v>925</v>
      </c>
      <c r="E9" s="132">
        <v>925</v>
      </c>
      <c r="F9" s="132">
        <v>925</v>
      </c>
      <c r="G9" s="132">
        <v>925</v>
      </c>
      <c r="H9" s="132">
        <v>925</v>
      </c>
      <c r="I9" s="132">
        <v>925</v>
      </c>
      <c r="J9" s="3"/>
      <c r="K9" s="21"/>
      <c r="M9" s="126">
        <f>D5</f>
        <v>5.5</v>
      </c>
      <c r="N9" s="126">
        <f>D26</f>
        <v>15416.751283926445</v>
      </c>
      <c r="O9" s="126">
        <f>D28</f>
        <v>8198.346215324687</v>
      </c>
    </row>
    <row r="10" spans="1:15" ht="14.25" customHeight="1">
      <c r="A10" s="43" t="s">
        <v>6</v>
      </c>
      <c r="B10" s="48"/>
      <c r="C10" s="48"/>
      <c r="D10" s="133">
        <v>4151.85</v>
      </c>
      <c r="E10" s="133">
        <v>4468.2</v>
      </c>
      <c r="F10" s="133">
        <v>4784.549999999999</v>
      </c>
      <c r="G10" s="133">
        <v>5100.900000000001</v>
      </c>
      <c r="H10" s="133">
        <v>5585.25</v>
      </c>
      <c r="I10" s="133">
        <v>5901.6</v>
      </c>
      <c r="J10" s="3"/>
      <c r="K10" s="21"/>
      <c r="M10" s="126">
        <f>E5</f>
        <v>6</v>
      </c>
      <c r="N10" s="126">
        <f>E26</f>
        <v>16416.37258501423</v>
      </c>
      <c r="O10" s="126">
        <f>E28</f>
        <v>8198.346215324687</v>
      </c>
    </row>
    <row r="11" spans="1:15" ht="14.25" customHeight="1">
      <c r="A11" s="43" t="s">
        <v>7</v>
      </c>
      <c r="B11" s="48"/>
      <c r="C11" s="48"/>
      <c r="D11" s="133">
        <v>200</v>
      </c>
      <c r="E11" s="133">
        <v>200</v>
      </c>
      <c r="F11" s="133">
        <v>200</v>
      </c>
      <c r="G11" s="133">
        <v>200</v>
      </c>
      <c r="H11" s="133">
        <v>200</v>
      </c>
      <c r="I11" s="133">
        <v>200</v>
      </c>
      <c r="J11" s="3"/>
      <c r="K11" s="21"/>
      <c r="M11" s="126">
        <f>F5</f>
        <v>6.5</v>
      </c>
      <c r="N11" s="126">
        <f>F26</f>
        <v>17835.393410987173</v>
      </c>
      <c r="O11" s="126">
        <f>F28</f>
        <v>8198.346215324687</v>
      </c>
    </row>
    <row r="12" spans="1:15" ht="14.25" customHeight="1">
      <c r="A12" s="43" t="s">
        <v>8</v>
      </c>
      <c r="B12" s="48"/>
      <c r="C12" s="48"/>
      <c r="D12" s="133">
        <v>1145.17125</v>
      </c>
      <c r="E12" s="133">
        <v>1169.53</v>
      </c>
      <c r="F12" s="133">
        <v>1193.88875</v>
      </c>
      <c r="G12" s="133">
        <v>1218.2475</v>
      </c>
      <c r="H12" s="133">
        <v>1242.60625</v>
      </c>
      <c r="I12" s="133">
        <v>1266.9650000000001</v>
      </c>
      <c r="J12" s="3"/>
      <c r="K12" s="21"/>
      <c r="M12" s="126">
        <f>G5</f>
        <v>7</v>
      </c>
      <c r="N12" s="126">
        <f>G26</f>
        <v>18415.615187189807</v>
      </c>
      <c r="O12" s="126">
        <f>G28</f>
        <v>8198.346215324687</v>
      </c>
    </row>
    <row r="13" spans="1:15" ht="14.25" customHeight="1">
      <c r="A13" s="43" t="s">
        <v>9</v>
      </c>
      <c r="B13" s="48"/>
      <c r="C13" s="48"/>
      <c r="D13" s="133">
        <v>645.5039999999999</v>
      </c>
      <c r="E13" s="133">
        <v>648.144</v>
      </c>
      <c r="F13" s="133">
        <v>650.784</v>
      </c>
      <c r="G13" s="133">
        <v>653.424</v>
      </c>
      <c r="H13" s="133">
        <v>656.064</v>
      </c>
      <c r="I13" s="133">
        <v>658.704</v>
      </c>
      <c r="J13" s="3"/>
      <c r="K13" s="21"/>
      <c r="M13" s="126">
        <f>H5</f>
        <v>7.5</v>
      </c>
      <c r="N13" s="126">
        <f>H26</f>
        <v>19814.58801542605</v>
      </c>
      <c r="O13" s="126">
        <f>H28</f>
        <v>8198.346215324687</v>
      </c>
    </row>
    <row r="14" spans="1:15" ht="14.25" customHeight="1">
      <c r="A14" s="43" t="s">
        <v>10</v>
      </c>
      <c r="B14" s="48"/>
      <c r="C14" s="48"/>
      <c r="D14" s="133">
        <v>160.07670000000002</v>
      </c>
      <c r="E14" s="133">
        <v>160.07670000000002</v>
      </c>
      <c r="F14" s="133">
        <v>160.07670000000002</v>
      </c>
      <c r="G14" s="133">
        <v>160.07670000000002</v>
      </c>
      <c r="H14" s="133">
        <v>160.07670000000002</v>
      </c>
      <c r="I14" s="133">
        <v>160.07670000000002</v>
      </c>
      <c r="J14" s="3"/>
      <c r="K14" s="21"/>
      <c r="M14" s="126">
        <f>I5</f>
        <v>8</v>
      </c>
      <c r="N14" s="126">
        <f>I26</f>
        <v>21023.909078956414</v>
      </c>
      <c r="O14" s="126">
        <f>I28</f>
        <v>8198.346215324687</v>
      </c>
    </row>
    <row r="15" spans="1:14" ht="14.25" customHeight="1">
      <c r="A15" s="43" t="s">
        <v>11</v>
      </c>
      <c r="B15" s="48"/>
      <c r="C15" s="48"/>
      <c r="D15" s="133">
        <v>91.19250000000001</v>
      </c>
      <c r="E15" s="133">
        <v>91.19250000000001</v>
      </c>
      <c r="F15" s="133">
        <v>91.19250000000001</v>
      </c>
      <c r="G15" s="133">
        <v>91.19250000000001</v>
      </c>
      <c r="H15" s="133">
        <v>91.19250000000001</v>
      </c>
      <c r="I15" s="133">
        <v>91.19250000000001</v>
      </c>
      <c r="J15" s="3"/>
      <c r="K15" s="21"/>
      <c r="M15" s="28"/>
      <c r="N15" s="28"/>
    </row>
    <row r="16" spans="1:14" ht="14.25" customHeight="1">
      <c r="A16" s="43" t="s">
        <v>12</v>
      </c>
      <c r="B16" s="48"/>
      <c r="C16" s="48"/>
      <c r="D16" s="133">
        <v>37.746323999999994</v>
      </c>
      <c r="E16" s="133">
        <v>41.17780799999999</v>
      </c>
      <c r="F16" s="133">
        <v>44.609291999999996</v>
      </c>
      <c r="G16" s="133">
        <v>48.040775999999994</v>
      </c>
      <c r="H16" s="133">
        <v>51.47226</v>
      </c>
      <c r="I16" s="133">
        <v>54.903743999999996</v>
      </c>
      <c r="J16" s="3"/>
      <c r="K16" s="21"/>
      <c r="M16" s="28"/>
      <c r="N16" s="28"/>
    </row>
    <row r="17" spans="1:14" ht="12.75">
      <c r="A17" s="134" t="s">
        <v>61</v>
      </c>
      <c r="B17" s="48"/>
      <c r="C17" s="48"/>
      <c r="D17" s="133">
        <v>4230.943200000001</v>
      </c>
      <c r="E17" s="133">
        <v>4602.4616000000005</v>
      </c>
      <c r="F17" s="133">
        <v>5345.498400000001</v>
      </c>
      <c r="G17" s="133">
        <v>5345.498400000001</v>
      </c>
      <c r="H17" s="133">
        <v>5902.776000000001</v>
      </c>
      <c r="I17" s="133">
        <v>6460.053600000001</v>
      </c>
      <c r="J17" s="3"/>
      <c r="K17" s="21"/>
      <c r="M17" s="28"/>
      <c r="N17" s="28"/>
    </row>
    <row r="18" spans="1:14" ht="12.75">
      <c r="A18" s="43" t="s">
        <v>13</v>
      </c>
      <c r="B18" s="48"/>
      <c r="C18" s="48"/>
      <c r="D18" s="133">
        <v>956.350418347339</v>
      </c>
      <c r="E18" s="133">
        <v>1018.3601266106442</v>
      </c>
      <c r="F18" s="133">
        <v>1106.3865295518208</v>
      </c>
      <c r="G18" s="133">
        <v>1142.379543137255</v>
      </c>
      <c r="H18" s="133">
        <v>1229.1623046218485</v>
      </c>
      <c r="I18" s="133">
        <v>1304.1803602240898</v>
      </c>
      <c r="J18" s="3"/>
      <c r="K18" s="21"/>
      <c r="M18" s="28"/>
      <c r="N18" s="28"/>
    </row>
    <row r="19" spans="1:14" ht="12.75">
      <c r="A19" s="43" t="s">
        <v>14</v>
      </c>
      <c r="B19" s="48"/>
      <c r="C19" s="48"/>
      <c r="D19" s="133">
        <v>0</v>
      </c>
      <c r="E19" s="133">
        <v>0</v>
      </c>
      <c r="F19" s="133">
        <v>0</v>
      </c>
      <c r="G19" s="133">
        <v>0</v>
      </c>
      <c r="H19" s="133">
        <v>0</v>
      </c>
      <c r="I19" s="133">
        <v>0</v>
      </c>
      <c r="J19" s="3"/>
      <c r="K19" s="21"/>
      <c r="M19" s="28"/>
      <c r="N19" s="28"/>
    </row>
    <row r="20" spans="1:14" ht="12.75">
      <c r="A20" s="43" t="s">
        <v>15</v>
      </c>
      <c r="B20" s="48"/>
      <c r="C20" s="48"/>
      <c r="D20" s="133">
        <v>1839.2</v>
      </c>
      <c r="E20" s="133">
        <v>2006.4</v>
      </c>
      <c r="F20" s="133">
        <v>2173.6</v>
      </c>
      <c r="G20" s="133">
        <v>2340.8</v>
      </c>
      <c r="H20" s="133">
        <v>2508</v>
      </c>
      <c r="I20" s="133">
        <v>2675.2000000000003</v>
      </c>
      <c r="J20" s="3"/>
      <c r="K20" s="21"/>
      <c r="M20" s="28"/>
      <c r="N20" s="28"/>
    </row>
    <row r="21" spans="1:14" ht="12.75">
      <c r="A21" s="43" t="s">
        <v>16</v>
      </c>
      <c r="B21" s="48"/>
      <c r="C21" s="48"/>
      <c r="D21" s="133">
        <v>230</v>
      </c>
      <c r="E21" s="133">
        <v>230</v>
      </c>
      <c r="F21" s="133">
        <v>230</v>
      </c>
      <c r="G21" s="133">
        <v>230</v>
      </c>
      <c r="H21" s="133">
        <v>230</v>
      </c>
      <c r="I21" s="133">
        <v>230</v>
      </c>
      <c r="J21" s="3"/>
      <c r="K21" s="21"/>
      <c r="M21" s="28"/>
      <c r="N21" s="28"/>
    </row>
    <row r="22" spans="1:14" ht="12.75">
      <c r="A22" s="43" t="s">
        <v>17</v>
      </c>
      <c r="B22" s="48"/>
      <c r="C22" s="48"/>
      <c r="D22" s="133">
        <v>0</v>
      </c>
      <c r="E22" s="133">
        <v>0</v>
      </c>
      <c r="F22" s="133">
        <v>0</v>
      </c>
      <c r="G22" s="133">
        <v>0</v>
      </c>
      <c r="H22" s="133">
        <v>0</v>
      </c>
      <c r="I22" s="133">
        <v>0</v>
      </c>
      <c r="J22" s="3"/>
      <c r="K22" s="21"/>
      <c r="M22" s="28"/>
      <c r="N22" s="28"/>
    </row>
    <row r="23" spans="1:14" ht="12.75">
      <c r="A23" s="43" t="s">
        <v>18</v>
      </c>
      <c r="B23" s="48"/>
      <c r="C23" s="48"/>
      <c r="D23" s="133">
        <v>0</v>
      </c>
      <c r="E23" s="133">
        <v>0</v>
      </c>
      <c r="F23" s="133">
        <v>0</v>
      </c>
      <c r="G23" s="133">
        <v>0</v>
      </c>
      <c r="H23" s="133">
        <v>0</v>
      </c>
      <c r="I23" s="133">
        <v>0</v>
      </c>
      <c r="J23" s="3"/>
      <c r="K23" s="21"/>
      <c r="M23" s="28"/>
      <c r="N23" s="28"/>
    </row>
    <row r="24" spans="1:14" ht="12.75">
      <c r="A24" s="43" t="s">
        <v>19</v>
      </c>
      <c r="B24" s="48"/>
      <c r="C24" s="48"/>
      <c r="D24" s="133">
        <v>0</v>
      </c>
      <c r="E24" s="133">
        <v>0</v>
      </c>
      <c r="F24" s="133">
        <v>0</v>
      </c>
      <c r="G24" s="133">
        <v>0</v>
      </c>
      <c r="H24" s="133">
        <v>0</v>
      </c>
      <c r="I24" s="133">
        <v>0</v>
      </c>
      <c r="J24" s="3"/>
      <c r="K24" s="21"/>
      <c r="M24" s="28"/>
      <c r="N24" s="28"/>
    </row>
    <row r="25" spans="1:14" ht="13.5" thickBot="1">
      <c r="A25" s="43" t="s">
        <v>20</v>
      </c>
      <c r="B25" s="48"/>
      <c r="C25" s="48"/>
      <c r="D25" s="133">
        <v>803.7168915791038</v>
      </c>
      <c r="E25" s="133">
        <v>855.8298504035853</v>
      </c>
      <c r="F25" s="133">
        <v>929.80723943535</v>
      </c>
      <c r="G25" s="133">
        <v>960.0557680525491</v>
      </c>
      <c r="H25" s="133">
        <v>1032.9880008042016</v>
      </c>
      <c r="I25" s="133">
        <v>1096.0331747323248</v>
      </c>
      <c r="J25" s="3"/>
      <c r="K25" s="21"/>
      <c r="M25" s="28"/>
      <c r="N25" s="28"/>
    </row>
    <row r="26" spans="1:14" ht="26.25" customHeight="1" thickBot="1">
      <c r="A26" s="217" t="s">
        <v>21</v>
      </c>
      <c r="B26" s="218"/>
      <c r="C26" s="219"/>
      <c r="D26" s="23">
        <f aca="true" t="shared" si="1" ref="D26:I26">SUM(D9:D25)</f>
        <v>15416.751283926445</v>
      </c>
      <c r="E26" s="23">
        <f t="shared" si="1"/>
        <v>16416.37258501423</v>
      </c>
      <c r="F26" s="23">
        <f t="shared" si="1"/>
        <v>17835.393410987173</v>
      </c>
      <c r="G26" s="23">
        <f t="shared" si="1"/>
        <v>18415.615187189807</v>
      </c>
      <c r="H26" s="23">
        <f t="shared" si="1"/>
        <v>19814.58801542605</v>
      </c>
      <c r="I26" s="23">
        <f t="shared" si="1"/>
        <v>21023.909078956414</v>
      </c>
      <c r="J26" s="3"/>
      <c r="K26" s="21"/>
      <c r="M26" s="30"/>
      <c r="N26" s="30"/>
    </row>
    <row r="27" spans="1:11" ht="13.5" thickBot="1">
      <c r="A27" s="49"/>
      <c r="B27" s="50"/>
      <c r="C27" s="50"/>
      <c r="D27" s="24"/>
      <c r="E27" s="24"/>
      <c r="F27" s="24"/>
      <c r="G27" s="24"/>
      <c r="H27" s="24"/>
      <c r="I27" s="24"/>
      <c r="J27" s="3"/>
      <c r="K27" s="21"/>
    </row>
    <row r="28" spans="1:11" ht="13.5" thickBot="1">
      <c r="A28" s="232" t="s">
        <v>22</v>
      </c>
      <c r="B28" s="233"/>
      <c r="C28" s="234"/>
      <c r="D28" s="23">
        <v>8198.346215324687</v>
      </c>
      <c r="E28" s="23">
        <v>8198.346215324687</v>
      </c>
      <c r="F28" s="23">
        <v>8198.346215324687</v>
      </c>
      <c r="G28" s="23">
        <v>8198.346215324687</v>
      </c>
      <c r="H28" s="23">
        <v>8198.346215324687</v>
      </c>
      <c r="I28" s="23">
        <v>8198.346215324687</v>
      </c>
      <c r="K28" s="21"/>
    </row>
    <row r="29" spans="1:11" ht="13.5" thickBot="1">
      <c r="A29" s="49"/>
      <c r="B29" s="50"/>
      <c r="C29" s="50"/>
      <c r="D29" s="24"/>
      <c r="E29" s="24"/>
      <c r="F29" s="24"/>
      <c r="G29" s="24"/>
      <c r="H29" s="24"/>
      <c r="I29" s="24"/>
      <c r="K29" s="21"/>
    </row>
    <row r="30" spans="1:11" ht="27" customHeight="1" thickBot="1">
      <c r="A30" s="217" t="s">
        <v>23</v>
      </c>
      <c r="B30" s="218"/>
      <c r="C30" s="219"/>
      <c r="D30" s="23">
        <f aca="true" t="shared" si="2" ref="D30:I30">D26+D28</f>
        <v>23615.097499251133</v>
      </c>
      <c r="E30" s="23">
        <f t="shared" si="2"/>
        <v>24614.718800338916</v>
      </c>
      <c r="F30" s="23">
        <f t="shared" si="2"/>
        <v>26033.73962631186</v>
      </c>
      <c r="G30" s="23">
        <f t="shared" si="2"/>
        <v>26613.961402514495</v>
      </c>
      <c r="H30" s="23">
        <f t="shared" si="2"/>
        <v>28012.934230750736</v>
      </c>
      <c r="I30" s="23">
        <f t="shared" si="2"/>
        <v>29222.2552942811</v>
      </c>
      <c r="J30" s="3"/>
      <c r="K30" s="21"/>
    </row>
    <row r="31" spans="1:11" ht="13.5" thickBot="1">
      <c r="A31" s="44"/>
      <c r="B31" s="45"/>
      <c r="C31" s="45"/>
      <c r="D31" s="26"/>
      <c r="E31" s="26"/>
      <c r="F31" s="26"/>
      <c r="G31" s="26"/>
      <c r="H31" s="26"/>
      <c r="I31" s="26"/>
      <c r="J31" s="3"/>
      <c r="K31" s="21"/>
    </row>
    <row r="32" spans="1:11" ht="25.5" customHeight="1" thickBot="1">
      <c r="A32" s="217" t="s">
        <v>24</v>
      </c>
      <c r="B32" s="224"/>
      <c r="C32" s="225"/>
      <c r="D32" s="23">
        <f aca="true" t="shared" si="3" ref="D32:I32">D30/D5</f>
        <v>4293.654090772933</v>
      </c>
      <c r="E32" s="23">
        <f t="shared" si="3"/>
        <v>4102.453133389819</v>
      </c>
      <c r="F32" s="23">
        <f t="shared" si="3"/>
        <v>4005.190711740286</v>
      </c>
      <c r="G32" s="23">
        <f t="shared" si="3"/>
        <v>3801.994486073499</v>
      </c>
      <c r="H32" s="23">
        <f t="shared" si="3"/>
        <v>3735.0578974334317</v>
      </c>
      <c r="I32" s="23">
        <f t="shared" si="3"/>
        <v>3652.7819117851377</v>
      </c>
      <c r="J32" s="3"/>
      <c r="K32" s="21"/>
    </row>
    <row r="33" spans="1:11" ht="13.5" thickBot="1">
      <c r="A33" s="35"/>
      <c r="B33" s="36"/>
      <c r="C33" s="36"/>
      <c r="D33" s="26"/>
      <c r="E33" s="26"/>
      <c r="F33" s="26"/>
      <c r="G33" s="26"/>
      <c r="H33" s="26"/>
      <c r="I33" s="26"/>
      <c r="J33" s="3"/>
      <c r="K33" s="21"/>
    </row>
    <row r="34" spans="1:11" ht="13.5" thickBot="1">
      <c r="A34" s="38" t="s">
        <v>25</v>
      </c>
      <c r="B34" s="39"/>
      <c r="C34" s="39"/>
      <c r="D34" s="23">
        <f>'Pryse + Sensatiwiteitsanali'!D4</f>
        <v>216</v>
      </c>
      <c r="E34" s="23">
        <f>$D$34</f>
        <v>216</v>
      </c>
      <c r="F34" s="23">
        <f>$D$34</f>
        <v>216</v>
      </c>
      <c r="G34" s="23">
        <f>$D$34</f>
        <v>216</v>
      </c>
      <c r="H34" s="23">
        <f>$D$34</f>
        <v>216</v>
      </c>
      <c r="I34" s="23">
        <f>$D$34</f>
        <v>216</v>
      </c>
      <c r="J34" s="3"/>
      <c r="K34" s="21"/>
    </row>
    <row r="35" spans="1:11" ht="13.5" thickBot="1">
      <c r="A35" s="35"/>
      <c r="B35" s="36"/>
      <c r="C35" s="36"/>
      <c r="D35" s="26"/>
      <c r="E35" s="26"/>
      <c r="F35" s="26"/>
      <c r="G35" s="26"/>
      <c r="H35" s="26"/>
      <c r="I35" s="26"/>
      <c r="J35" s="3"/>
      <c r="K35" s="21"/>
    </row>
    <row r="36" spans="1:11" ht="27.75" customHeight="1" thickBot="1">
      <c r="A36" s="226" t="s">
        <v>26</v>
      </c>
      <c r="B36" s="227"/>
      <c r="C36" s="228"/>
      <c r="D36" s="25">
        <f aca="true" t="shared" si="4" ref="D36:I36">D32+D34</f>
        <v>4509.654090772933</v>
      </c>
      <c r="E36" s="25">
        <f t="shared" si="4"/>
        <v>4318.453133389819</v>
      </c>
      <c r="F36" s="25">
        <f t="shared" si="4"/>
        <v>4221.190711740286</v>
      </c>
      <c r="G36" s="25">
        <f t="shared" si="4"/>
        <v>4017.994486073499</v>
      </c>
      <c r="H36" s="25">
        <f t="shared" si="4"/>
        <v>3951.0578974334317</v>
      </c>
      <c r="I36" s="25">
        <f t="shared" si="4"/>
        <v>3868.7819117851377</v>
      </c>
      <c r="J36" s="3"/>
      <c r="K36" s="21"/>
    </row>
    <row r="37" spans="1:11" ht="13.5" thickBot="1">
      <c r="A37" s="33" t="s">
        <v>27</v>
      </c>
      <c r="B37" s="34"/>
      <c r="C37" s="5"/>
      <c r="D37" s="25">
        <f>'Pryse + Sensatiwiteitsanali'!B4</f>
        <v>4500</v>
      </c>
      <c r="E37" s="25">
        <f>$D$37</f>
        <v>4500</v>
      </c>
      <c r="F37" s="25">
        <f>$D$37</f>
        <v>4500</v>
      </c>
      <c r="G37" s="25">
        <f>$D$37</f>
        <v>4500</v>
      </c>
      <c r="H37" s="25">
        <f>$D$37</f>
        <v>4500</v>
      </c>
      <c r="I37" s="25">
        <f>$D$37</f>
        <v>4500</v>
      </c>
      <c r="J37" s="10"/>
      <c r="K37" s="21"/>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L30" sqref="L30"/>
    </sheetView>
  </sheetViews>
  <sheetFormatPr defaultColWidth="9.140625" defaultRowHeight="12.75"/>
  <cols>
    <col min="1" max="1" width="41.7109375" style="1" customWidth="1"/>
    <col min="2" max="3" width="14.7109375" style="1" customWidth="1"/>
    <col min="4" max="4" width="16.7109375" style="1" customWidth="1"/>
    <col min="5" max="5" width="14.421875" style="1" customWidth="1"/>
    <col min="6"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1" t="s">
        <v>57</v>
      </c>
      <c r="B1" s="222"/>
      <c r="C1" s="222"/>
      <c r="D1" s="222"/>
      <c r="E1" s="223" t="s">
        <v>96</v>
      </c>
      <c r="F1" s="223"/>
      <c r="G1" s="223"/>
      <c r="H1" s="2"/>
      <c r="I1" s="11"/>
      <c r="J1" s="10"/>
    </row>
    <row r="2" spans="1:10" ht="16.5" thickBot="1">
      <c r="A2" s="12"/>
      <c r="B2" s="13"/>
      <c r="C2" s="14"/>
      <c r="D2" s="14"/>
      <c r="E2" s="9"/>
      <c r="F2" s="9"/>
      <c r="G2" s="9"/>
      <c r="H2" s="9"/>
      <c r="I2" s="4"/>
      <c r="J2" s="3"/>
    </row>
    <row r="3" spans="1:11" ht="27.75" customHeight="1" thickBot="1">
      <c r="A3" s="226" t="s">
        <v>1</v>
      </c>
      <c r="B3" s="227"/>
      <c r="C3" s="227"/>
      <c r="D3" s="22"/>
      <c r="E3" s="29">
        <f>'Pryse + Sensatiwiteitsanali'!B32</f>
        <v>4350</v>
      </c>
      <c r="F3" s="22" t="s">
        <v>0</v>
      </c>
      <c r="G3" s="15"/>
      <c r="H3" s="15"/>
      <c r="I3" s="5"/>
      <c r="K3" s="3"/>
    </row>
    <row r="4" spans="1:12" ht="13.5" thickBot="1">
      <c r="A4" s="37"/>
      <c r="B4" s="7"/>
      <c r="C4" s="7"/>
      <c r="D4" s="6"/>
      <c r="E4" s="8"/>
      <c r="F4" s="16"/>
      <c r="G4" s="7"/>
      <c r="H4" s="17"/>
      <c r="I4" s="17"/>
      <c r="J4" s="3"/>
      <c r="K4" s="10"/>
      <c r="L4" s="10"/>
    </row>
    <row r="5" spans="1:12" ht="13.5" thickBot="1">
      <c r="A5" s="41" t="s">
        <v>2</v>
      </c>
      <c r="B5" s="7"/>
      <c r="C5" s="7"/>
      <c r="D5" s="135">
        <v>3</v>
      </c>
      <c r="E5" s="135">
        <v>4</v>
      </c>
      <c r="F5" s="135">
        <v>5</v>
      </c>
      <c r="G5" s="135">
        <v>6</v>
      </c>
      <c r="H5" s="135">
        <v>7</v>
      </c>
      <c r="I5" s="136">
        <v>8</v>
      </c>
      <c r="J5" s="3"/>
      <c r="K5" s="30"/>
      <c r="L5" s="30"/>
    </row>
    <row r="6" spans="1:12" ht="13.5" thickBot="1">
      <c r="A6" s="42" t="s">
        <v>3</v>
      </c>
      <c r="B6" s="39"/>
      <c r="C6" s="40"/>
      <c r="D6" s="27">
        <f aca="true" t="shared" si="0" ref="D6:I6">$E$3*D5</f>
        <v>13050</v>
      </c>
      <c r="E6" s="27">
        <f t="shared" si="0"/>
        <v>17400</v>
      </c>
      <c r="F6" s="27">
        <f t="shared" si="0"/>
        <v>21750</v>
      </c>
      <c r="G6" s="27">
        <f t="shared" si="0"/>
        <v>26100</v>
      </c>
      <c r="H6" s="27">
        <f t="shared" si="0"/>
        <v>30450</v>
      </c>
      <c r="I6" s="27">
        <f t="shared" si="0"/>
        <v>34800</v>
      </c>
      <c r="J6" s="3"/>
      <c r="K6" s="31"/>
      <c r="L6" s="31"/>
    </row>
    <row r="7" spans="1:15" ht="15.75" thickBot="1">
      <c r="A7" s="35"/>
      <c r="B7" s="36"/>
      <c r="C7" s="36"/>
      <c r="D7" s="18"/>
      <c r="E7" s="18"/>
      <c r="F7" s="18"/>
      <c r="G7" s="18"/>
      <c r="H7" s="18"/>
      <c r="I7" s="18"/>
      <c r="J7" s="3"/>
      <c r="K7" s="32"/>
      <c r="L7" s="32"/>
      <c r="M7" s="220" t="s">
        <v>49</v>
      </c>
      <c r="N7" s="220"/>
      <c r="O7" s="220"/>
    </row>
    <row r="8" spans="1:15" ht="12" customHeight="1" thickBot="1">
      <c r="A8" s="229" t="s">
        <v>4</v>
      </c>
      <c r="B8" s="230"/>
      <c r="C8" s="231"/>
      <c r="D8" s="19"/>
      <c r="E8" s="19"/>
      <c r="F8" s="19"/>
      <c r="G8" s="19"/>
      <c r="H8" s="19"/>
      <c r="I8" s="19"/>
      <c r="J8" s="3"/>
      <c r="K8" s="3"/>
      <c r="L8" s="3"/>
      <c r="M8" s="125" t="s">
        <v>45</v>
      </c>
      <c r="N8" s="125" t="s">
        <v>46</v>
      </c>
      <c r="O8" s="125" t="s">
        <v>47</v>
      </c>
    </row>
    <row r="9" spans="1:15" ht="12.75" customHeight="1">
      <c r="A9" s="46" t="s">
        <v>5</v>
      </c>
      <c r="B9" s="47"/>
      <c r="C9" s="47"/>
      <c r="D9" s="132">
        <v>1242</v>
      </c>
      <c r="E9" s="132">
        <v>1242</v>
      </c>
      <c r="F9" s="132">
        <v>1242</v>
      </c>
      <c r="G9" s="132">
        <v>1242</v>
      </c>
      <c r="H9" s="132">
        <v>1242</v>
      </c>
      <c r="I9" s="132">
        <v>1242</v>
      </c>
      <c r="J9" s="3"/>
      <c r="K9" s="28"/>
      <c r="L9" s="28"/>
      <c r="M9" s="126">
        <f>D5</f>
        <v>3</v>
      </c>
      <c r="N9" s="126">
        <f>D26</f>
        <v>11039.998590500578</v>
      </c>
      <c r="O9" s="126">
        <f>D28</f>
        <v>8183.911121929881</v>
      </c>
    </row>
    <row r="10" spans="1:15" ht="12.75" customHeight="1">
      <c r="A10" s="43" t="s">
        <v>6</v>
      </c>
      <c r="B10" s="48"/>
      <c r="C10" s="48"/>
      <c r="D10" s="133">
        <v>1903.8</v>
      </c>
      <c r="E10" s="133">
        <v>2538.4</v>
      </c>
      <c r="F10" s="133">
        <v>3173</v>
      </c>
      <c r="G10" s="133">
        <v>3807.6</v>
      </c>
      <c r="H10" s="133">
        <v>4442.2</v>
      </c>
      <c r="I10" s="133">
        <v>5076.8</v>
      </c>
      <c r="J10" s="3"/>
      <c r="K10" s="28"/>
      <c r="L10" s="28"/>
      <c r="M10" s="126">
        <f>E5</f>
        <v>4</v>
      </c>
      <c r="N10" s="126">
        <f>E26</f>
        <v>12313.669081196866</v>
      </c>
      <c r="O10" s="126">
        <f>E28</f>
        <v>8183.911121929881</v>
      </c>
    </row>
    <row r="11" spans="1:15" ht="12.75" customHeight="1">
      <c r="A11" s="43" t="s">
        <v>7</v>
      </c>
      <c r="B11" s="48"/>
      <c r="C11" s="48"/>
      <c r="D11" s="133">
        <v>400</v>
      </c>
      <c r="E11" s="133">
        <v>400</v>
      </c>
      <c r="F11" s="133">
        <v>400</v>
      </c>
      <c r="G11" s="133">
        <v>400</v>
      </c>
      <c r="H11" s="133">
        <v>400</v>
      </c>
      <c r="I11" s="133">
        <v>400</v>
      </c>
      <c r="J11" s="3"/>
      <c r="K11" s="28"/>
      <c r="L11" s="28"/>
      <c r="M11" s="126">
        <f>F5</f>
        <v>5</v>
      </c>
      <c r="N11" s="126">
        <f>F26</f>
        <v>14163.436520406047</v>
      </c>
      <c r="O11" s="126">
        <f>F28</f>
        <v>8183.911121929881</v>
      </c>
    </row>
    <row r="12" spans="1:15" ht="12.75" customHeight="1">
      <c r="A12" s="43" t="s">
        <v>8</v>
      </c>
      <c r="B12" s="48"/>
      <c r="C12" s="48"/>
      <c r="D12" s="133">
        <v>1060.8525</v>
      </c>
      <c r="E12" s="133">
        <v>1102.075</v>
      </c>
      <c r="F12" s="133">
        <v>1143.2975000000001</v>
      </c>
      <c r="G12" s="133">
        <v>1184.52</v>
      </c>
      <c r="H12" s="133">
        <v>1225.7425</v>
      </c>
      <c r="I12" s="133">
        <v>1266.9650000000001</v>
      </c>
      <c r="J12" s="3"/>
      <c r="K12" s="28"/>
      <c r="L12" s="28"/>
      <c r="M12" s="126">
        <f>G5</f>
        <v>6</v>
      </c>
      <c r="N12" s="126">
        <f>G26</f>
        <v>16013.203959615224</v>
      </c>
      <c r="O12" s="126">
        <f>G28</f>
        <v>8183.911121929881</v>
      </c>
    </row>
    <row r="13" spans="1:15" ht="12.75" customHeight="1">
      <c r="A13" s="43" t="s">
        <v>9</v>
      </c>
      <c r="B13" s="48"/>
      <c r="C13" s="48"/>
      <c r="D13" s="133">
        <v>632.304</v>
      </c>
      <c r="E13" s="133">
        <v>637.584</v>
      </c>
      <c r="F13" s="133">
        <v>642.8639999999999</v>
      </c>
      <c r="G13" s="133">
        <v>648.144</v>
      </c>
      <c r="H13" s="133">
        <v>653.424</v>
      </c>
      <c r="I13" s="133">
        <v>658.704</v>
      </c>
      <c r="J13" s="3"/>
      <c r="K13" s="28"/>
      <c r="L13" s="28"/>
      <c r="M13" s="126">
        <f>H5</f>
        <v>7</v>
      </c>
      <c r="N13" s="126">
        <f>H26</f>
        <v>17653.481599365172</v>
      </c>
      <c r="O13" s="126">
        <f>H28</f>
        <v>8183.911121929881</v>
      </c>
    </row>
    <row r="14" spans="1:15" ht="12.75" customHeight="1">
      <c r="A14" s="43" t="s">
        <v>10</v>
      </c>
      <c r="B14" s="48"/>
      <c r="C14" s="48"/>
      <c r="D14" s="133">
        <v>373.0375</v>
      </c>
      <c r="E14" s="133">
        <v>373.0375</v>
      </c>
      <c r="F14" s="133">
        <v>373.0375</v>
      </c>
      <c r="G14" s="133">
        <v>373.0375</v>
      </c>
      <c r="H14" s="133">
        <v>373.0375</v>
      </c>
      <c r="I14" s="133">
        <v>373.0375</v>
      </c>
      <c r="J14" s="3"/>
      <c r="K14" s="28"/>
      <c r="L14" s="28"/>
      <c r="M14" s="126">
        <f>I5</f>
        <v>8</v>
      </c>
      <c r="N14" s="126">
        <f>I26</f>
        <v>18665.28984073742</v>
      </c>
      <c r="O14" s="126">
        <f>I28</f>
        <v>8183.911121929881</v>
      </c>
    </row>
    <row r="15" spans="1:12" ht="12.75" customHeight="1">
      <c r="A15" s="43" t="s">
        <v>11</v>
      </c>
      <c r="B15" s="48"/>
      <c r="C15" s="48"/>
      <c r="D15" s="133">
        <v>414.95571468750006</v>
      </c>
      <c r="E15" s="133">
        <v>414.95571468750006</v>
      </c>
      <c r="F15" s="133">
        <v>414.95571468750006</v>
      </c>
      <c r="G15" s="133">
        <v>414.95571468750006</v>
      </c>
      <c r="H15" s="133">
        <v>414.95571468750006</v>
      </c>
      <c r="I15" s="133">
        <v>414.95571468750006</v>
      </c>
      <c r="J15" s="3"/>
      <c r="K15" s="28"/>
      <c r="L15" s="28"/>
    </row>
    <row r="16" spans="1:12" ht="12.75">
      <c r="A16" s="43" t="s">
        <v>12</v>
      </c>
      <c r="B16" s="48"/>
      <c r="C16" s="48"/>
      <c r="D16" s="133">
        <v>0</v>
      </c>
      <c r="E16" s="133">
        <v>0</v>
      </c>
      <c r="F16" s="133">
        <v>0</v>
      </c>
      <c r="G16" s="133">
        <v>0</v>
      </c>
      <c r="H16" s="133">
        <v>0</v>
      </c>
      <c r="I16" s="133">
        <v>0</v>
      </c>
      <c r="J16" s="3"/>
      <c r="K16" s="28"/>
      <c r="L16" s="28"/>
    </row>
    <row r="17" spans="1:12" ht="12.75">
      <c r="A17" s="134" t="s">
        <v>61</v>
      </c>
      <c r="B17" s="48"/>
      <c r="C17" s="48"/>
      <c r="D17" s="133">
        <v>2884.1890000000003</v>
      </c>
      <c r="E17" s="133">
        <v>3116.3880000000004</v>
      </c>
      <c r="F17" s="133">
        <v>3859.4248000000007</v>
      </c>
      <c r="G17" s="133">
        <v>4602.4616000000005</v>
      </c>
      <c r="H17" s="133">
        <v>5159.739200000001</v>
      </c>
      <c r="I17" s="133">
        <v>5159.739200000001</v>
      </c>
      <c r="J17" s="3"/>
      <c r="K17" s="28"/>
      <c r="L17" s="28"/>
    </row>
    <row r="18" spans="1:12" ht="12.75">
      <c r="A18" s="43" t="s">
        <v>13</v>
      </c>
      <c r="B18" s="48"/>
      <c r="C18" s="48"/>
      <c r="D18" s="133">
        <v>675.044745597406</v>
      </c>
      <c r="E18" s="133">
        <v>752.9237928924668</v>
      </c>
      <c r="F18" s="133">
        <v>866.0284984935848</v>
      </c>
      <c r="G18" s="133">
        <v>979.1332040947029</v>
      </c>
      <c r="H18" s="133">
        <v>1079.4285794027094</v>
      </c>
      <c r="I18" s="133">
        <v>1141.2959638313805</v>
      </c>
      <c r="J18" s="3"/>
      <c r="K18" s="28"/>
      <c r="L18" s="28"/>
    </row>
    <row r="19" spans="1:12" ht="12.75">
      <c r="A19" s="43" t="s">
        <v>14</v>
      </c>
      <c r="B19" s="48"/>
      <c r="C19" s="48"/>
      <c r="D19" s="133">
        <v>0</v>
      </c>
      <c r="E19" s="133">
        <v>0</v>
      </c>
      <c r="F19" s="133">
        <v>0</v>
      </c>
      <c r="G19" s="133">
        <v>0</v>
      </c>
      <c r="H19" s="133">
        <v>0</v>
      </c>
      <c r="I19" s="133">
        <v>0</v>
      </c>
      <c r="J19" s="3"/>
      <c r="K19" s="28"/>
      <c r="L19" s="28"/>
    </row>
    <row r="20" spans="1:12" ht="12.75">
      <c r="A20" s="43" t="s">
        <v>15</v>
      </c>
      <c r="B20" s="48"/>
      <c r="C20" s="48"/>
      <c r="D20" s="133">
        <v>648.2701799999999</v>
      </c>
      <c r="E20" s="133">
        <v>864.3602399999999</v>
      </c>
      <c r="F20" s="133">
        <v>1080.4502999999997</v>
      </c>
      <c r="G20" s="133">
        <v>1296.5403599999997</v>
      </c>
      <c r="H20" s="133">
        <v>1512.6304199999997</v>
      </c>
      <c r="I20" s="133">
        <v>1728.7204799999997</v>
      </c>
      <c r="J20" s="3"/>
      <c r="K20" s="28"/>
      <c r="L20" s="28"/>
    </row>
    <row r="21" spans="1:12" ht="12.75">
      <c r="A21" s="43" t="s">
        <v>16</v>
      </c>
      <c r="B21" s="48"/>
      <c r="C21" s="48"/>
      <c r="D21" s="133">
        <v>230</v>
      </c>
      <c r="E21" s="133">
        <v>230</v>
      </c>
      <c r="F21" s="133">
        <v>230</v>
      </c>
      <c r="G21" s="133">
        <v>230</v>
      </c>
      <c r="H21" s="133">
        <v>230</v>
      </c>
      <c r="I21" s="133">
        <v>230</v>
      </c>
      <c r="J21" s="3"/>
      <c r="K21" s="28"/>
      <c r="L21" s="28"/>
    </row>
    <row r="22" spans="1:12" ht="12.75">
      <c r="A22" s="43" t="s">
        <v>17</v>
      </c>
      <c r="B22" s="48"/>
      <c r="C22" s="48"/>
      <c r="D22" s="133">
        <v>0</v>
      </c>
      <c r="E22" s="133">
        <v>0</v>
      </c>
      <c r="F22" s="133">
        <v>0</v>
      </c>
      <c r="G22" s="133">
        <v>0</v>
      </c>
      <c r="H22" s="133">
        <v>0</v>
      </c>
      <c r="I22" s="133">
        <v>0</v>
      </c>
      <c r="J22" s="3"/>
      <c r="K22" s="28"/>
      <c r="L22" s="28"/>
    </row>
    <row r="23" spans="1:12" ht="12.75">
      <c r="A23" s="43" t="s">
        <v>18</v>
      </c>
      <c r="B23" s="48"/>
      <c r="C23" s="48"/>
      <c r="D23" s="133">
        <v>0</v>
      </c>
      <c r="E23" s="133">
        <v>0</v>
      </c>
      <c r="F23" s="133">
        <v>0</v>
      </c>
      <c r="G23" s="133">
        <v>0</v>
      </c>
      <c r="H23" s="133">
        <v>0</v>
      </c>
      <c r="I23" s="133">
        <v>0</v>
      </c>
      <c r="J23" s="3"/>
      <c r="K23" s="28"/>
      <c r="L23" s="28"/>
    </row>
    <row r="24" spans="1:12" ht="12.75">
      <c r="A24" s="43" t="s">
        <v>19</v>
      </c>
      <c r="B24" s="48"/>
      <c r="C24" s="48"/>
      <c r="D24" s="133">
        <v>0</v>
      </c>
      <c r="E24" s="133">
        <v>0</v>
      </c>
      <c r="F24" s="133">
        <v>0</v>
      </c>
      <c r="G24" s="133">
        <v>0</v>
      </c>
      <c r="H24" s="133">
        <v>0</v>
      </c>
      <c r="I24" s="133">
        <v>0</v>
      </c>
      <c r="J24" s="3"/>
      <c r="K24" s="28"/>
      <c r="L24" s="28"/>
    </row>
    <row r="25" spans="1:12" ht="13.5" thickBot="1">
      <c r="A25" s="43" t="s">
        <v>20</v>
      </c>
      <c r="B25" s="48"/>
      <c r="C25" s="48"/>
      <c r="D25" s="133">
        <v>575.5449502156699</v>
      </c>
      <c r="E25" s="133">
        <v>641.9448336168982</v>
      </c>
      <c r="F25" s="133">
        <v>738.37820722496</v>
      </c>
      <c r="G25" s="133">
        <v>834.8115808330213</v>
      </c>
      <c r="H25" s="133">
        <v>920.3236852749616</v>
      </c>
      <c r="I25" s="133">
        <v>973.0719822185384</v>
      </c>
      <c r="J25" s="3"/>
      <c r="K25" s="28"/>
      <c r="L25" s="28"/>
    </row>
    <row r="26" spans="1:12" ht="25.5" customHeight="1" thickBot="1">
      <c r="A26" s="217" t="s">
        <v>21</v>
      </c>
      <c r="B26" s="218"/>
      <c r="C26" s="219"/>
      <c r="D26" s="23">
        <f aca="true" t="shared" si="1" ref="D26:I26">SUM(D9:D25)</f>
        <v>11039.998590500578</v>
      </c>
      <c r="E26" s="23">
        <f t="shared" si="1"/>
        <v>12313.669081196866</v>
      </c>
      <c r="F26" s="23">
        <f t="shared" si="1"/>
        <v>14163.436520406047</v>
      </c>
      <c r="G26" s="23">
        <f t="shared" si="1"/>
        <v>16013.203959615224</v>
      </c>
      <c r="H26" s="23">
        <f t="shared" si="1"/>
        <v>17653.481599365172</v>
      </c>
      <c r="I26" s="23">
        <f t="shared" si="1"/>
        <v>18665.28984073742</v>
      </c>
      <c r="J26" s="3"/>
      <c r="K26" s="30"/>
      <c r="L26" s="30"/>
    </row>
    <row r="27" spans="1:11" ht="13.5" thickBot="1">
      <c r="A27" s="49"/>
      <c r="B27" s="50"/>
      <c r="C27" s="50"/>
      <c r="D27" s="24"/>
      <c r="E27" s="24"/>
      <c r="F27" s="24"/>
      <c r="G27" s="24"/>
      <c r="H27" s="24"/>
      <c r="I27" s="24"/>
      <c r="J27" s="3"/>
      <c r="K27" s="10"/>
    </row>
    <row r="28" spans="1:11" ht="13.5" thickBot="1">
      <c r="A28" s="232" t="s">
        <v>22</v>
      </c>
      <c r="B28" s="233"/>
      <c r="C28" s="234"/>
      <c r="D28" s="23">
        <v>8183.911121929881</v>
      </c>
      <c r="E28" s="23">
        <v>8183.911121929881</v>
      </c>
      <c r="F28" s="23">
        <v>8183.911121929881</v>
      </c>
      <c r="G28" s="23">
        <v>8183.911121929881</v>
      </c>
      <c r="H28" s="23">
        <v>8183.911121929881</v>
      </c>
      <c r="I28" s="23">
        <v>8183.911121929881</v>
      </c>
      <c r="J28" s="20"/>
      <c r="K28" s="10"/>
    </row>
    <row r="29" spans="1:11" ht="13.5" thickBot="1">
      <c r="A29" s="49"/>
      <c r="B29" s="50"/>
      <c r="C29" s="50"/>
      <c r="D29" s="24"/>
      <c r="E29" s="24"/>
      <c r="F29" s="24"/>
      <c r="G29" s="24"/>
      <c r="H29" s="24"/>
      <c r="I29" s="24"/>
      <c r="J29" s="3"/>
      <c r="K29" s="10"/>
    </row>
    <row r="30" spans="1:11" ht="25.5" customHeight="1" thickBot="1">
      <c r="A30" s="217" t="s">
        <v>23</v>
      </c>
      <c r="B30" s="218"/>
      <c r="C30" s="219"/>
      <c r="D30" s="23">
        <f aca="true" t="shared" si="2" ref="D30:I30">D26+D28</f>
        <v>19223.90971243046</v>
      </c>
      <c r="E30" s="23">
        <f t="shared" si="2"/>
        <v>20497.580203126745</v>
      </c>
      <c r="F30" s="23">
        <f t="shared" si="2"/>
        <v>22347.347642335928</v>
      </c>
      <c r="G30" s="23">
        <f t="shared" si="2"/>
        <v>24197.115081545104</v>
      </c>
      <c r="H30" s="23">
        <f t="shared" si="2"/>
        <v>25837.39272129505</v>
      </c>
      <c r="I30" s="23">
        <f t="shared" si="2"/>
        <v>26849.200962667303</v>
      </c>
      <c r="J30" s="3"/>
      <c r="K30" s="3"/>
    </row>
    <row r="31" spans="1:11" ht="13.5" thickBot="1">
      <c r="A31" s="44"/>
      <c r="B31" s="45"/>
      <c r="C31" s="45"/>
      <c r="D31" s="26"/>
      <c r="E31" s="26"/>
      <c r="F31" s="26"/>
      <c r="G31" s="26"/>
      <c r="H31" s="26"/>
      <c r="I31" s="26"/>
      <c r="J31" s="3"/>
      <c r="K31" s="3"/>
    </row>
    <row r="32" spans="1:11" ht="25.5" customHeight="1" thickBot="1">
      <c r="A32" s="217" t="s">
        <v>24</v>
      </c>
      <c r="B32" s="224"/>
      <c r="C32" s="225"/>
      <c r="D32" s="23">
        <f aca="true" t="shared" si="3" ref="D32:I32">D30/D5</f>
        <v>6407.969904143487</v>
      </c>
      <c r="E32" s="23">
        <f t="shared" si="3"/>
        <v>5124.395050781686</v>
      </c>
      <c r="F32" s="23">
        <f t="shared" si="3"/>
        <v>4469.469528467185</v>
      </c>
      <c r="G32" s="23">
        <f t="shared" si="3"/>
        <v>4032.852513590851</v>
      </c>
      <c r="H32" s="23">
        <f t="shared" si="3"/>
        <v>3691.05610304215</v>
      </c>
      <c r="I32" s="23">
        <f t="shared" si="3"/>
        <v>3356.150120333413</v>
      </c>
      <c r="J32" s="3"/>
      <c r="K32" s="3"/>
    </row>
    <row r="33" spans="1:11" ht="13.5" thickBot="1">
      <c r="A33" s="35"/>
      <c r="B33" s="36"/>
      <c r="C33" s="36"/>
      <c r="D33" s="26"/>
      <c r="E33" s="26"/>
      <c r="F33" s="26"/>
      <c r="G33" s="26"/>
      <c r="H33" s="26"/>
      <c r="I33" s="26"/>
      <c r="J33" s="3"/>
      <c r="K33" s="10"/>
    </row>
    <row r="34" spans="1:11" ht="13.5" thickBot="1">
      <c r="A34" s="38" t="s">
        <v>25</v>
      </c>
      <c r="B34" s="39"/>
      <c r="C34" s="39"/>
      <c r="D34" s="23">
        <f>'Pryse + Sensatiwiteitsanali'!D4</f>
        <v>216</v>
      </c>
      <c r="E34" s="23">
        <f>$D$34</f>
        <v>216</v>
      </c>
      <c r="F34" s="23">
        <f>$D$34</f>
        <v>216</v>
      </c>
      <c r="G34" s="23">
        <f>$D$34</f>
        <v>216</v>
      </c>
      <c r="H34" s="23">
        <f>$D$34</f>
        <v>216</v>
      </c>
      <c r="I34" s="23">
        <f>$D$34</f>
        <v>216</v>
      </c>
      <c r="J34" s="3"/>
      <c r="K34" s="10"/>
    </row>
    <row r="35" spans="1:11" ht="13.5" thickBot="1">
      <c r="A35" s="35"/>
      <c r="B35" s="36"/>
      <c r="C35" s="36"/>
      <c r="D35" s="26"/>
      <c r="E35" s="26"/>
      <c r="F35" s="26"/>
      <c r="G35" s="26"/>
      <c r="H35" s="26"/>
      <c r="I35" s="26"/>
      <c r="J35" s="3"/>
      <c r="K35" s="10"/>
    </row>
    <row r="36" spans="1:11" ht="27.75" customHeight="1" thickBot="1">
      <c r="A36" s="226" t="s">
        <v>26</v>
      </c>
      <c r="B36" s="227"/>
      <c r="C36" s="228"/>
      <c r="D36" s="25">
        <f aca="true" t="shared" si="4" ref="D36:I36">D32+D34</f>
        <v>6623.969904143487</v>
      </c>
      <c r="E36" s="25">
        <f t="shared" si="4"/>
        <v>5340.395050781686</v>
      </c>
      <c r="F36" s="25">
        <f t="shared" si="4"/>
        <v>4685.469528467185</v>
      </c>
      <c r="G36" s="25">
        <f t="shared" si="4"/>
        <v>4248.852513590851</v>
      </c>
      <c r="H36" s="25">
        <f t="shared" si="4"/>
        <v>3907.05610304215</v>
      </c>
      <c r="I36" s="25">
        <f t="shared" si="4"/>
        <v>3572.150120333413</v>
      </c>
      <c r="J36" s="3"/>
      <c r="K36" s="10"/>
    </row>
    <row r="37" spans="1:11" ht="13.5" thickBot="1">
      <c r="A37" s="33" t="s">
        <v>27</v>
      </c>
      <c r="B37" s="34"/>
      <c r="C37" s="5"/>
      <c r="D37" s="25">
        <f>'Pryse + Sensatiwiteitsanali'!B5</f>
        <v>4500</v>
      </c>
      <c r="E37" s="25">
        <f>$D$37</f>
        <v>4500</v>
      </c>
      <c r="F37" s="25">
        <f>$D$37</f>
        <v>4500</v>
      </c>
      <c r="G37" s="25">
        <f>$D$37</f>
        <v>4500</v>
      </c>
      <c r="H37" s="25">
        <f>$D$37</f>
        <v>4500</v>
      </c>
      <c r="I37" s="25">
        <f>$D$37</f>
        <v>4500</v>
      </c>
      <c r="J37" s="10"/>
      <c r="K37" s="3"/>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J63"/>
  <sheetViews>
    <sheetView zoomScalePageLayoutView="0" workbookViewId="0" topLeftCell="A1">
      <selection activeCell="H13" sqref="H13"/>
    </sheetView>
  </sheetViews>
  <sheetFormatPr defaultColWidth="9.140625" defaultRowHeight="12.75"/>
  <cols>
    <col min="1" max="1" width="61.7109375" style="140" customWidth="1"/>
    <col min="2" max="3" width="14.28125" style="140" customWidth="1"/>
    <col min="4" max="4" width="9.140625" style="140" customWidth="1"/>
    <col min="5" max="5" width="10.8515625" style="140" bestFit="1" customWidth="1"/>
    <col min="6" max="16384" width="9.140625" style="140" customWidth="1"/>
  </cols>
  <sheetData>
    <row r="1" spans="1:3" ht="15">
      <c r="A1" s="137" t="s">
        <v>97</v>
      </c>
      <c r="B1" s="138"/>
      <c r="C1" s="139"/>
    </row>
    <row r="2" spans="1:3" ht="15">
      <c r="A2" s="141" t="s">
        <v>62</v>
      </c>
      <c r="B2" s="142" t="s">
        <v>63</v>
      </c>
      <c r="C2" s="143" t="s">
        <v>64</v>
      </c>
    </row>
    <row r="3" spans="1:3" ht="15">
      <c r="A3" s="144" t="s">
        <v>65</v>
      </c>
      <c r="B3" s="145"/>
      <c r="C3" s="146"/>
    </row>
    <row r="4" spans="1:3" ht="15">
      <c r="A4" s="147" t="s">
        <v>66</v>
      </c>
      <c r="B4" s="206">
        <f>'Koring besproei'!G5</f>
        <v>7</v>
      </c>
      <c r="C4" s="207">
        <f>'Gars besproei'!E5</f>
        <v>4</v>
      </c>
    </row>
    <row r="5" spans="1:3" ht="15">
      <c r="A5" s="147" t="s">
        <v>67</v>
      </c>
      <c r="B5" s="148">
        <f>'Pryse + Sensatiwiteitsanali'!B4</f>
        <v>4500</v>
      </c>
      <c r="C5" s="149">
        <f>'Pryse + Sensatiwiteitsanali'!B5</f>
        <v>4500</v>
      </c>
    </row>
    <row r="6" spans="1:3" ht="15">
      <c r="A6" s="147" t="s">
        <v>68</v>
      </c>
      <c r="B6" s="148">
        <f>'Pryse + Sensatiwiteitsanali'!D4</f>
        <v>216</v>
      </c>
      <c r="C6" s="149">
        <f>'Pryse + Sensatiwiteitsanali'!D5</f>
        <v>150</v>
      </c>
    </row>
    <row r="7" spans="1:3" ht="15.75" thickBot="1">
      <c r="A7" s="147" t="s">
        <v>69</v>
      </c>
      <c r="B7" s="150">
        <f>B5-B6</f>
        <v>4284</v>
      </c>
      <c r="C7" s="151">
        <f>C5-C6</f>
        <v>4350</v>
      </c>
    </row>
    <row r="8" spans="1:3" ht="15.75" thickTop="1">
      <c r="A8" s="152" t="s">
        <v>70</v>
      </c>
      <c r="B8" s="153">
        <f>B4*B7</f>
        <v>29988</v>
      </c>
      <c r="C8" s="154">
        <f>C4*C7</f>
        <v>17400</v>
      </c>
    </row>
    <row r="9" spans="1:3" ht="15">
      <c r="A9" s="147"/>
      <c r="B9" s="155"/>
      <c r="C9" s="156"/>
    </row>
    <row r="10" spans="1:3" ht="15">
      <c r="A10" s="157" t="s">
        <v>71</v>
      </c>
      <c r="B10" s="155"/>
      <c r="C10" s="156"/>
    </row>
    <row r="11" spans="1:3" ht="12.75">
      <c r="A11" s="158" t="s">
        <v>5</v>
      </c>
      <c r="B11" s="159">
        <f>'Koring besproei'!G9</f>
        <v>925</v>
      </c>
      <c r="C11" s="160">
        <f>'Gars besproei'!E9</f>
        <v>1242</v>
      </c>
    </row>
    <row r="12" spans="1:3" ht="12.75">
      <c r="A12" s="158" t="s">
        <v>6</v>
      </c>
      <c r="B12" s="159">
        <f>'Koring besproei'!G10</f>
        <v>5100.900000000001</v>
      </c>
      <c r="C12" s="160">
        <f>'Gars besproei'!E10</f>
        <v>2538.4</v>
      </c>
    </row>
    <row r="13" spans="1:3" ht="12.75">
      <c r="A13" s="158" t="s">
        <v>7</v>
      </c>
      <c r="B13" s="159">
        <f>'Koring besproei'!G11</f>
        <v>200</v>
      </c>
      <c r="C13" s="160">
        <f>'Gars besproei'!E11</f>
        <v>400</v>
      </c>
    </row>
    <row r="14" spans="1:3" ht="12.75">
      <c r="A14" s="158" t="s">
        <v>8</v>
      </c>
      <c r="B14" s="159">
        <f>'Koring besproei'!G12</f>
        <v>1218.2475</v>
      </c>
      <c r="C14" s="160">
        <f>'Gars besproei'!E12</f>
        <v>1102.075</v>
      </c>
    </row>
    <row r="15" spans="1:3" ht="12.75">
      <c r="A15" s="158" t="s">
        <v>9</v>
      </c>
      <c r="B15" s="159">
        <f>'Koring besproei'!G13</f>
        <v>653.424</v>
      </c>
      <c r="C15" s="160">
        <f>'Gars besproei'!E13</f>
        <v>637.584</v>
      </c>
    </row>
    <row r="16" spans="1:3" ht="12.75">
      <c r="A16" s="158" t="s">
        <v>10</v>
      </c>
      <c r="B16" s="159">
        <f>'Koring besproei'!G14</f>
        <v>160.07670000000002</v>
      </c>
      <c r="C16" s="160">
        <f>'Gars besproei'!E14</f>
        <v>373.0375</v>
      </c>
    </row>
    <row r="17" spans="1:3" ht="12.75">
      <c r="A17" s="158" t="s">
        <v>11</v>
      </c>
      <c r="B17" s="159">
        <f>'Koring besproei'!G15</f>
        <v>91.19250000000001</v>
      </c>
      <c r="C17" s="160">
        <f>'Gars besproei'!E15</f>
        <v>414.95571468750006</v>
      </c>
    </row>
    <row r="18" spans="1:3" ht="12.75">
      <c r="A18" s="158" t="s">
        <v>12</v>
      </c>
      <c r="B18" s="159">
        <f>'Koring besproei'!G16</f>
        <v>48.040775999999994</v>
      </c>
      <c r="C18" s="160">
        <f>'Gars besproei'!E16</f>
        <v>0</v>
      </c>
    </row>
    <row r="19" spans="1:3" ht="12.75">
      <c r="A19" s="158" t="s">
        <v>61</v>
      </c>
      <c r="B19" s="159">
        <f>'Koring besproei'!G17</f>
        <v>5345.498400000001</v>
      </c>
      <c r="C19" s="160">
        <f>'Gars besproei'!E17</f>
        <v>3116.3880000000004</v>
      </c>
    </row>
    <row r="20" spans="1:3" ht="12.75">
      <c r="A20" s="158" t="s">
        <v>13</v>
      </c>
      <c r="B20" s="159">
        <f>'Koring besproei'!G18</f>
        <v>1142.379543137255</v>
      </c>
      <c r="C20" s="160">
        <f>'Gars besproei'!E18</f>
        <v>752.9237928924668</v>
      </c>
    </row>
    <row r="21" spans="1:3" ht="12.75">
      <c r="A21" s="158" t="s">
        <v>14</v>
      </c>
      <c r="B21" s="159">
        <f>'Koring besproei'!G19</f>
        <v>0</v>
      </c>
      <c r="C21" s="160">
        <f>'Gars besproei'!E19</f>
        <v>0</v>
      </c>
    </row>
    <row r="22" spans="1:3" ht="12.75">
      <c r="A22" s="158" t="s">
        <v>15</v>
      </c>
      <c r="B22" s="159">
        <f>'Koring besproei'!G20</f>
        <v>2340.8</v>
      </c>
      <c r="C22" s="160">
        <f>'Gars besproei'!E20</f>
        <v>864.3602399999999</v>
      </c>
    </row>
    <row r="23" spans="1:3" ht="12.75">
      <c r="A23" s="158" t="s">
        <v>16</v>
      </c>
      <c r="B23" s="159">
        <f>'Koring besproei'!G21</f>
        <v>230</v>
      </c>
      <c r="C23" s="160">
        <f>'Gars besproei'!E21</f>
        <v>230</v>
      </c>
    </row>
    <row r="24" spans="1:3" ht="12.75">
      <c r="A24" s="158" t="s">
        <v>17</v>
      </c>
      <c r="B24" s="159">
        <f>'Koring besproei'!G22</f>
        <v>0</v>
      </c>
      <c r="C24" s="160">
        <f>'Gars besproei'!E22</f>
        <v>0</v>
      </c>
    </row>
    <row r="25" spans="1:3" ht="12.75">
      <c r="A25" s="158" t="s">
        <v>18</v>
      </c>
      <c r="B25" s="159">
        <f>'Koring besproei'!G23</f>
        <v>0</v>
      </c>
      <c r="C25" s="160">
        <f>'Gars besproei'!E23</f>
        <v>0</v>
      </c>
    </row>
    <row r="26" spans="1:3" ht="12.75">
      <c r="A26" s="158" t="s">
        <v>19</v>
      </c>
      <c r="B26" s="159">
        <f>'Koring besproei'!G24</f>
        <v>0</v>
      </c>
      <c r="C26" s="160">
        <f>'Gars besproei'!E24</f>
        <v>0</v>
      </c>
    </row>
    <row r="27" spans="1:3" ht="13.5" thickBot="1">
      <c r="A27" s="158" t="s">
        <v>20</v>
      </c>
      <c r="B27" s="161">
        <f>'Koring besproei'!G25</f>
        <v>960.0557680525491</v>
      </c>
      <c r="C27" s="162">
        <f>'Gars besproei'!E25</f>
        <v>641.9448336168982</v>
      </c>
    </row>
    <row r="28" spans="1:3" ht="15.75" thickTop="1">
      <c r="A28" s="152" t="s">
        <v>72</v>
      </c>
      <c r="B28" s="163">
        <f>SUM(B11:B27)</f>
        <v>18415.615187189807</v>
      </c>
      <c r="C28" s="164">
        <f>SUM(C11:C27)</f>
        <v>12313.669081196866</v>
      </c>
    </row>
    <row r="29" spans="1:3" ht="15.75" thickBot="1">
      <c r="A29" s="152"/>
      <c r="B29" s="165"/>
      <c r="C29" s="166"/>
    </row>
    <row r="30" spans="1:10" ht="15.75" thickTop="1">
      <c r="A30" s="152" t="s">
        <v>73</v>
      </c>
      <c r="B30" s="163">
        <f>'Koring besproei'!G28</f>
        <v>8198.346215324687</v>
      </c>
      <c r="C30" s="164">
        <f>'Gars besproei'!E28</f>
        <v>8183.911121929881</v>
      </c>
      <c r="E30" s="167"/>
      <c r="F30" s="167"/>
      <c r="G30" s="167"/>
      <c r="H30" s="167"/>
      <c r="I30" s="167"/>
      <c r="J30" s="167"/>
    </row>
    <row r="31" spans="1:3" ht="15">
      <c r="A31" s="152"/>
      <c r="B31" s="163"/>
      <c r="C31" s="164"/>
    </row>
    <row r="32" spans="1:3" ht="15.75" thickBot="1">
      <c r="A32" s="152" t="s">
        <v>74</v>
      </c>
      <c r="B32" s="168">
        <f>B28+B30</f>
        <v>26613.961402514495</v>
      </c>
      <c r="C32" s="169">
        <f>C28+C30</f>
        <v>20497.580203126745</v>
      </c>
    </row>
    <row r="33" spans="1:3" ht="15.75" thickTop="1">
      <c r="A33" s="170"/>
      <c r="B33" s="163"/>
      <c r="C33" s="164"/>
    </row>
    <row r="34" spans="1:3" ht="15">
      <c r="A34" s="137" t="s">
        <v>75</v>
      </c>
      <c r="B34" s="171">
        <f>B8-B28</f>
        <v>11572.384812810193</v>
      </c>
      <c r="C34" s="172">
        <f>C8-C28</f>
        <v>5086.330918803134</v>
      </c>
    </row>
    <row r="35" spans="1:3" ht="15">
      <c r="A35" s="173" t="s">
        <v>76</v>
      </c>
      <c r="B35" s="174">
        <f>B34/B4</f>
        <v>1653.197830401456</v>
      </c>
      <c r="C35" s="175">
        <f>C34/C4</f>
        <v>1271.5827297007836</v>
      </c>
    </row>
    <row r="36" spans="1:3" ht="15">
      <c r="A36" s="152"/>
      <c r="B36" s="176"/>
      <c r="C36" s="177"/>
    </row>
    <row r="37" spans="1:3" ht="15">
      <c r="A37" s="137" t="s">
        <v>77</v>
      </c>
      <c r="B37" s="171">
        <f>B8-B32</f>
        <v>3374.0385974855053</v>
      </c>
      <c r="C37" s="172">
        <f>C8-C32</f>
        <v>-3097.580203126745</v>
      </c>
    </row>
    <row r="38" spans="1:3" ht="15">
      <c r="A38" s="173" t="s">
        <v>78</v>
      </c>
      <c r="B38" s="174">
        <f>B37/B4</f>
        <v>482.0055139265008</v>
      </c>
      <c r="C38" s="175">
        <f>C37/C4</f>
        <v>-774.3950507816862</v>
      </c>
    </row>
    <row r="39" spans="1:3" ht="15">
      <c r="A39" s="173"/>
      <c r="B39" s="174"/>
      <c r="C39" s="175"/>
    </row>
    <row r="40" spans="1:3" ht="45.75" customHeight="1">
      <c r="A40" s="235" t="s">
        <v>79</v>
      </c>
      <c r="B40" s="236"/>
      <c r="C40" s="237"/>
    </row>
    <row r="41" spans="1:3" ht="9.75" customHeight="1">
      <c r="A41" s="178"/>
      <c r="B41" s="178"/>
      <c r="C41" s="179"/>
    </row>
    <row r="42" spans="1:3" ht="12.75">
      <c r="A42" s="180"/>
      <c r="B42" s="180"/>
      <c r="C42" s="180"/>
    </row>
    <row r="43" spans="1:3" ht="15" hidden="1">
      <c r="A43" s="181" t="s">
        <v>80</v>
      </c>
      <c r="B43" s="182"/>
      <c r="C43" s="183"/>
    </row>
    <row r="44" spans="1:3" ht="15.75" hidden="1" thickBot="1">
      <c r="A44" s="184"/>
      <c r="B44" s="185" t="str">
        <f>B2</f>
        <v>Wheat</v>
      </c>
      <c r="C44" s="186" t="str">
        <f>C2</f>
        <v>Barley</v>
      </c>
    </row>
    <row r="45" spans="1:3" ht="15" hidden="1">
      <c r="A45" s="187" t="s">
        <v>67</v>
      </c>
      <c r="B45" s="188">
        <f>B5</f>
        <v>4500</v>
      </c>
      <c r="C45" s="189">
        <f>C5</f>
        <v>4500</v>
      </c>
    </row>
    <row r="46" spans="1:3" ht="12.75" hidden="1">
      <c r="A46" s="190" t="s">
        <v>81</v>
      </c>
      <c r="B46" s="191">
        <f>B4</f>
        <v>7</v>
      </c>
      <c r="C46" s="192">
        <f>C4</f>
        <v>4</v>
      </c>
    </row>
    <row r="47" spans="1:3" ht="12.75" hidden="1">
      <c r="A47" s="190"/>
      <c r="B47" s="191"/>
      <c r="C47" s="192"/>
    </row>
    <row r="48" spans="1:3" ht="15" hidden="1">
      <c r="A48" s="193" t="s">
        <v>65</v>
      </c>
      <c r="B48" s="194"/>
      <c r="C48" s="195"/>
    </row>
    <row r="49" spans="1:3" ht="12.75" hidden="1">
      <c r="A49" s="190" t="s">
        <v>82</v>
      </c>
      <c r="B49" s="188">
        <f>B7</f>
        <v>4284</v>
      </c>
      <c r="C49" s="189">
        <f>C7</f>
        <v>4350</v>
      </c>
    </row>
    <row r="50" spans="1:3" ht="12.75" hidden="1">
      <c r="A50" s="190" t="s">
        <v>83</v>
      </c>
      <c r="B50" s="188">
        <f>B49/B46</f>
        <v>612</v>
      </c>
      <c r="C50" s="189">
        <f>C49/C46</f>
        <v>1087.5</v>
      </c>
    </row>
    <row r="51" spans="1:3" ht="12.75" hidden="1">
      <c r="A51" s="190"/>
      <c r="B51" s="188"/>
      <c r="C51" s="189"/>
    </row>
    <row r="52" spans="1:3" ht="15" hidden="1">
      <c r="A52" s="193" t="s">
        <v>84</v>
      </c>
      <c r="B52" s="194"/>
      <c r="C52" s="195"/>
    </row>
    <row r="53" spans="1:3" ht="12.75" hidden="1">
      <c r="A53" s="190" t="s">
        <v>85</v>
      </c>
      <c r="B53" s="188">
        <f>B32</f>
        <v>26613.961402514495</v>
      </c>
      <c r="C53" s="188">
        <f>C32</f>
        <v>20497.580203126745</v>
      </c>
    </row>
    <row r="54" spans="1:3" ht="12.75" hidden="1">
      <c r="A54" s="190" t="s">
        <v>86</v>
      </c>
      <c r="B54" s="188">
        <f>B53/B46</f>
        <v>3801.994486073499</v>
      </c>
      <c r="C54" s="189">
        <f>C53/C46</f>
        <v>5124.395050781686</v>
      </c>
    </row>
    <row r="55" spans="1:3" ht="12.75" hidden="1">
      <c r="A55" s="190"/>
      <c r="B55" s="188"/>
      <c r="C55" s="189"/>
    </row>
    <row r="56" spans="1:3" ht="15" hidden="1">
      <c r="A56" s="196" t="s">
        <v>87</v>
      </c>
      <c r="B56" s="197"/>
      <c r="C56" s="198"/>
    </row>
    <row r="57" spans="1:3" ht="12.75" hidden="1">
      <c r="A57" s="190" t="s">
        <v>88</v>
      </c>
      <c r="B57" s="188">
        <f>B37</f>
        <v>3374.0385974855053</v>
      </c>
      <c r="C57" s="188">
        <f>C37</f>
        <v>-3097.580203126745</v>
      </c>
    </row>
    <row r="58" spans="1:3" ht="12.75" hidden="1">
      <c r="A58" s="190" t="s">
        <v>89</v>
      </c>
      <c r="B58" s="188">
        <f>B57/B4</f>
        <v>482.0055139265008</v>
      </c>
      <c r="C58" s="189">
        <f>C57/C4</f>
        <v>-774.3950507816862</v>
      </c>
    </row>
    <row r="59" spans="1:3" ht="12.75" hidden="1">
      <c r="A59" s="190"/>
      <c r="B59" s="188"/>
      <c r="C59" s="189"/>
    </row>
    <row r="60" spans="1:3" ht="15" hidden="1">
      <c r="A60" s="196" t="s">
        <v>90</v>
      </c>
      <c r="B60" s="197"/>
      <c r="C60" s="198"/>
    </row>
    <row r="61" spans="1:3" ht="13.5" hidden="1" thickBot="1">
      <c r="A61" s="190" t="s">
        <v>91</v>
      </c>
      <c r="B61" s="199">
        <f>B53/B49</f>
        <v>6.21240929096977</v>
      </c>
      <c r="C61" s="200">
        <f>C53/C49</f>
        <v>4.712087403017643</v>
      </c>
    </row>
    <row r="62" spans="1:3" ht="14.25" hidden="1" thickBot="1" thickTop="1">
      <c r="A62" s="190" t="s">
        <v>92</v>
      </c>
      <c r="B62" s="201">
        <f>B54+B6</f>
        <v>4017.994486073499</v>
      </c>
      <c r="C62" s="202">
        <f>C54+C6</f>
        <v>5274.395050781686</v>
      </c>
    </row>
    <row r="63" spans="1:3" ht="15" hidden="1">
      <c r="A63" s="203" t="s">
        <v>93</v>
      </c>
      <c r="B63" s="204">
        <f>(B49-B54)/B54</f>
        <v>0.1267770155091127</v>
      </c>
      <c r="C63" s="205">
        <f>(C49-C54)/C54</f>
        <v>-0.1511193112762761</v>
      </c>
    </row>
  </sheetData>
  <sheetProtection/>
  <mergeCells count="1">
    <mergeCell ref="A40:C40"/>
  </mergeCells>
  <conditionalFormatting sqref="C37 C39">
    <cfRule type="colorScale" priority="3" dxfId="12">
      <colorScale>
        <cfvo type="min" val="0"/>
        <cfvo type="percentile" val="50"/>
        <cfvo type="max"/>
        <color rgb="FFF8696B"/>
        <color rgb="FFFFEB84"/>
        <color rgb="FF63BE7B"/>
      </colorScale>
    </cfRule>
  </conditionalFormatting>
  <conditionalFormatting sqref="C36">
    <cfRule type="colorScale" priority="2" dxfId="12">
      <colorScale>
        <cfvo type="min" val="0"/>
        <cfvo type="percentile" val="50"/>
        <cfvo type="max"/>
        <color rgb="FFF8696B"/>
        <color rgb="FFFFEB84"/>
        <color rgb="FF63BE7B"/>
      </colorScale>
    </cfRule>
  </conditionalFormatting>
  <conditionalFormatting sqref="C38">
    <cfRule type="colorScale" priority="1" dxfId="12">
      <colorScale>
        <cfvo type="min" val="0"/>
        <cfvo type="percentile" val="50"/>
        <cfvo type="max"/>
        <color rgb="FFF8696B"/>
        <color rgb="FFFFEB84"/>
        <color rgb="FF63BE7B"/>
      </colorScale>
    </cfRule>
  </conditionalFormatting>
  <conditionalFormatting sqref="B37:C37 B39 B34:C34">
    <cfRule type="colorScale" priority="4" dxfId="12">
      <colorScale>
        <cfvo type="min" val="0"/>
        <cfvo type="percentile" val="50"/>
        <cfvo type="max"/>
        <color rgb="FFF8696B"/>
        <color rgb="FFFFEB84"/>
        <color rgb="FF63BE7B"/>
      </colorScale>
    </cfRule>
  </conditionalFormatting>
  <conditionalFormatting sqref="B37:C37 B39:C39 B34:C34">
    <cfRule type="colorScale" priority="5" dxfId="12">
      <colorScale>
        <cfvo type="min" val="0"/>
        <cfvo type="percentile" val="50"/>
        <cfvo type="max"/>
        <color rgb="FFF8696B"/>
        <color rgb="FFFFEB84"/>
        <color rgb="FF63BE7B"/>
      </colorScale>
    </cfRule>
  </conditionalFormatting>
  <conditionalFormatting sqref="B63:C63">
    <cfRule type="colorScale" priority="6" dxfId="12">
      <colorScale>
        <cfvo type="min" val="0"/>
        <cfvo type="percentile" val="50"/>
        <cfvo type="max"/>
        <color rgb="FFF8696B"/>
        <color rgb="FFFFEB84"/>
        <color rgb="FF63BE7B"/>
      </colorScale>
    </cfRule>
  </conditionalFormatting>
  <conditionalFormatting sqref="B35:C36">
    <cfRule type="colorScale" priority="7" dxfId="12">
      <colorScale>
        <cfvo type="min" val="0"/>
        <cfvo type="percentile" val="50"/>
        <cfvo type="max"/>
        <color rgb="FFF8696B"/>
        <color rgb="FFFFEB84"/>
        <color rgb="FF63BE7B"/>
      </colorScale>
    </cfRule>
  </conditionalFormatting>
  <conditionalFormatting sqref="B38:C38">
    <cfRule type="colorScale" priority="8" dxfId="12">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2017-04-11T10:58:27Z</cp:lastPrinted>
  <dcterms:created xsi:type="dcterms:W3CDTF">2007-01-09T12:07:13Z</dcterms:created>
  <dcterms:modified xsi:type="dcterms:W3CDTF">2019-04-03T12:35:27Z</dcterms:modified>
  <cp:category/>
  <cp:version/>
  <cp:contentType/>
  <cp:contentStatus/>
</cp:coreProperties>
</file>