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15" windowWidth="11355" windowHeight="5235" tabRatio="920" activeTab="0"/>
  </bookViews>
  <sheets>
    <sheet name="Pryse + Sensatiwiteitsanalise" sheetId="1" r:id="rId1"/>
    <sheet name="Bes-mielies" sheetId="2" r:id="rId2"/>
    <sheet name="Bes-soja (vermin bewerk)" sheetId="3" r:id="rId3"/>
    <sheet name="Bes-Grondbone" sheetId="4" r:id="rId4"/>
    <sheet name="Crop Comparison" sheetId="5" r:id="rId5"/>
  </sheets>
  <definedNames>
    <definedName name="Opbrengspeil">'Bes-mielies'!$S$9:$S$14</definedName>
    <definedName name="_xlnm.Print_Area" localSheetId="1">'Bes-mielies'!$A$1:$I$44</definedName>
    <definedName name="_xlnm.Print_Area" localSheetId="2">'Bes-soja (vermin bewerk)'!$A$1:$I$40</definedName>
    <definedName name="Sojaopbrengspeil">'Bes-soja (vermin bewerk)'!$S$9:$S$14</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<sst xmlns="http://schemas.openxmlformats.org/spreadsheetml/2006/main" count="227" uniqueCount="124">
  <si>
    <t>Rand/ton</t>
  </si>
  <si>
    <t>Gewas</t>
  </si>
  <si>
    <t>SAFEX pryse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</si>
  <si>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</si>
  <si>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</si>
  <si>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</si>
  <si>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</si>
  <si>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</si>
  <si>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</si>
  <si>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</si>
  <si>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</si>
  <si>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</si>
  <si>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</si>
  <si>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</si>
  <si>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</si>
  <si>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</si>
  <si>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</si>
  <si>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</si>
  <si>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r>
      <t>Disclaimer:</t>
    </r>
    <r>
      <rPr>
        <sz val="10"/>
        <rFont val="Calibri"/>
        <family val="2"/>
      </rPr>
      <t xml:space="preserve"> The information herein has been obtained from various sources, the accuracy and/or completeness of which Grain SA does not</t>
    </r>
  </si>
  <si>
    <t>Produsent prys raming vir BESPROEIING MIELIES vir die  /                                             Producer price framework for IRRIGATION MAIZE for the</t>
  </si>
  <si>
    <t>Produsent prys raming vir BESPROEIING SOJABONE (vermin bewerking) vir             Producer price framework for IRRIGATION SOYBEANS (minimum tillage) for</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</si>
  <si>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</si>
  <si>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</si>
  <si>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</si>
  <si>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</si>
  <si>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</si>
  <si>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</si>
  <si>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</si>
  <si>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</si>
  <si>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</si>
  <si>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</si>
  <si>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</si>
  <si>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</si>
  <si>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Besproeiingskoste / Irrigation cost</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</si>
  <si>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</si>
  <si>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</si>
  <si>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</si>
  <si>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</si>
  <si>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</si>
  <si>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</si>
  <si>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</si>
  <si>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</si>
  <si>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</si>
  <si>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</si>
  <si>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</si>
  <si>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</si>
  <si>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</si>
  <si>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</si>
  <si>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</si>
  <si>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t>Noord Kaap / Northern Cape</t>
  </si>
  <si>
    <t>Total deductions (R/ton)</t>
  </si>
  <si>
    <t>Datum opgedateer / Date updated</t>
  </si>
  <si>
    <t>BT MIELIES /  MAIZE</t>
  </si>
  <si>
    <t>Mielies</t>
  </si>
  <si>
    <t>Opbrengspeil</t>
  </si>
  <si>
    <t>Lopende koste</t>
  </si>
  <si>
    <t>Oorhoofse koste</t>
  </si>
  <si>
    <t>Soja</t>
  </si>
  <si>
    <t xml:space="preserve">Crop </t>
  </si>
  <si>
    <t>Irr-Maize</t>
  </si>
  <si>
    <t>Irr-Soy</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</si>
  <si>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</si>
  <si>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</si>
  <si>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</si>
  <si>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</si>
  <si>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</si>
  <si>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</si>
  <si>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</si>
  <si>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</si>
  <si>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</si>
  <si>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</si>
  <si>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</si>
  <si>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</si>
  <si>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t xml:space="preserve">SUMMARY </t>
  </si>
  <si>
    <t>LGO (ton/ha)</t>
  </si>
  <si>
    <t>Net Farm Gate Price (R/ha)</t>
  </si>
  <si>
    <t>Net Farm Gate Price (R/ton)</t>
  </si>
  <si>
    <t xml:space="preserve">2) EXPENDITURES </t>
  </si>
  <si>
    <t>Total variable cost (R/ha)</t>
  </si>
  <si>
    <t>Total variable cost (R/ton)</t>
  </si>
  <si>
    <t>Total variable &amp; fixed expenditure (R/ha)</t>
  </si>
  <si>
    <t>Total variable &amp; fixed expenditure (R/ton)</t>
  </si>
  <si>
    <t>3) MARGIN</t>
  </si>
  <si>
    <t>Gross margin (R/ha)</t>
  </si>
  <si>
    <t>Gross margin (R/ton)</t>
  </si>
  <si>
    <t>Nett margin (R/ha)</t>
  </si>
  <si>
    <t>Net margin (R/ton)</t>
  </si>
  <si>
    <t>BREAK-EVEN &amp; PROFITABILITY (ONLY variable cost)</t>
  </si>
  <si>
    <t>Break-even yields (t/ha)</t>
  </si>
  <si>
    <t>Break-even Safex price (t/ha)</t>
  </si>
  <si>
    <t>BREAK-EVEN &amp; PROFITABILITY (variable &amp; fixed cost)</t>
  </si>
  <si>
    <t>Irr-Groundnuts</t>
  </si>
  <si>
    <t>Graadverdeling / Grade distribution</t>
  </si>
  <si>
    <t>Prys per graad / Price per grade (R/ton)</t>
  </si>
  <si>
    <t>%</t>
  </si>
  <si>
    <t>Diverse / Diverse</t>
  </si>
  <si>
    <t xml:space="preserve">Pers (eet) / Crusch </t>
  </si>
  <si>
    <t>Pers (olie)</t>
  </si>
  <si>
    <t>Hooi verkope / sales</t>
  </si>
  <si>
    <t>Gemiddelde prys vir al die grade / Average price for all grades</t>
  </si>
  <si>
    <t>Verwagte minimum prys SONDER wins/ Expected minimum price, WITHOUT profit</t>
  </si>
  <si>
    <t>Huidige prys / Current price (keur)</t>
  </si>
  <si>
    <t>Gemiddelde prys vir al die grade / Average price for all the grades</t>
  </si>
  <si>
    <t xml:space="preserve">                    Diverse</t>
  </si>
  <si>
    <t xml:space="preserve">                    Pers (eet) / Crush (eat)</t>
  </si>
  <si>
    <t xml:space="preserve">                    Pers (olie) / Crush (oil)</t>
  </si>
  <si>
    <r>
      <rPr>
        <b/>
        <sz val="11"/>
        <rFont val="Calibri"/>
        <family val="2"/>
      </rPr>
      <t>Disclaimer:</t>
    </r>
    <r>
      <rPr>
        <sz val="10"/>
        <rFont val="Arial"/>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</si>
  <si>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Produsent prys raming vir besproeiing GRONDBONE vir die /                                                               Producer price framework for irrigation GROUNDNUTS for the</t>
  </si>
  <si>
    <t>MIELIES: SENSITIWITEITSANALISE - TOTALE KOSTES ( DIREKTE KOSTE + VASTE KOSTE) (R/ton)</t>
  </si>
  <si>
    <t>SOJABONE: SENSITIWITEITSANALISE - TOTALE KOSTES ( DIREKTE KOSTE + VASTE KOSTE) (R/ton)</t>
  </si>
  <si>
    <t>MIELIES: SENSITIWITEITSANALISE - DIREKTE KOSTE (R/ton)</t>
  </si>
  <si>
    <t>SOJABONE: SENSITIWITEITSANALISE - DIREKTE KOSTE (R/ton)</t>
  </si>
  <si>
    <t>SOJABONE VERMIN BEWERKING / SOYBEANS MIN TILLAGE</t>
  </si>
  <si>
    <t>2019/20 season</t>
  </si>
  <si>
    <t>Mielies / Maize- Jul 20</t>
  </si>
  <si>
    <t>Sojabone / Soybeans- Mei 20</t>
  </si>
  <si>
    <t>SAFEX Jul'20 WM 1 prys/price  (R/ton)</t>
  </si>
  <si>
    <t>SAFEX Mei'20Soy prys/price  (R/ton)</t>
  </si>
  <si>
    <t>PRODUKSIEJAAR   2019-20   PRODUCTION YEAR 2019-20</t>
  </si>
  <si>
    <r>
      <rPr>
        <b/>
        <sz val="11"/>
        <color indexed="30"/>
        <rFont val="Calibri"/>
        <family val="2"/>
      </rPr>
      <t xml:space="preserve">NORTHERN CAPE </t>
    </r>
    <r>
      <rPr>
        <b/>
        <sz val="11"/>
        <color indexed="8"/>
        <rFont val="Calibri"/>
        <family val="2"/>
      </rPr>
      <t xml:space="preserve">INCOME &amp; COST BUDGETS - SUMMER CROPS 2019/20 </t>
    </r>
  </si>
  <si>
    <t>Keur / Choice 1</t>
  </si>
  <si>
    <t>Keur / Choice 2</t>
  </si>
  <si>
    <t>Grondbone/ Groundnuts:  Keur/ Choice 1</t>
  </si>
  <si>
    <t xml:space="preserve">                    Keur/ Choice 2</t>
  </si>
</sst>
</file>

<file path=xl/styles.xml><?xml version="1.0" encoding="utf-8"?>
<styleSheet xmlns="http://schemas.openxmlformats.org/spreadsheetml/2006/main">
  <numFmts count="5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00_);_(&quot;$&quot;* \(#,##0.00\);_(&quot;$&quot;* &quot;-&quot;??_);_(@_)"/>
    <numFmt numFmtId="179" formatCode="_(* #,##0.00_);_(* \(#,##0.00\);_(* &quot;-&quot;??_);_(@_)"/>
    <numFmt numFmtId="180" formatCode="0.00_)"/>
    <numFmt numFmtId="181" formatCode="0_)"/>
    <numFmt numFmtId="182" formatCode="0.0"/>
    <numFmt numFmtId="183" formatCode="_ * #,##0_ ;_ * \-#,##0_ ;_ * &quot;-&quot;??_ ;_ @_ "/>
    <numFmt numFmtId="184" formatCode="&quot;R&quot;\ #,##0"/>
    <numFmt numFmtId="185" formatCode="&quot;R&quot;\ #,##0.00"/>
    <numFmt numFmtId="186" formatCode="_ [$R-1C09]\ * #,##0.00_ ;_ [$R-1C09]\ * \-#,##0.00_ ;_ [$R-1C09]\ * &quot;-&quot;??_ ;_ @_ "/>
    <numFmt numFmtId="187" formatCode="_ [$R-1C09]\ * #,##0_ ;_ [$R-1C09]\ * \-#,##0_ ;_ [$R-1C09]\ * &quot;-&quot;??_ ;_ @_ "/>
    <numFmt numFmtId="188" formatCode="0.0%"/>
    <numFmt numFmtId="189" formatCode="_ [$R-1C09]\ * #,##0.0_ ;_ [$R-1C09]\ * \-#,##0.0_ ;_ [$R-1C09]\ * &quot;-&quot;??_ ;_ @_ "/>
    <numFmt numFmtId="190" formatCode="_ * #,##0.000_ ;_ * \-#,##0.000_ ;_ * &quot;-&quot;??_ ;_ @_ "/>
    <numFmt numFmtId="191" formatCode="mm/dd/yy"/>
    <numFmt numFmtId="192" formatCode="_(* #,##0.0000_);_(* \(#,##0.0000\);_(* &quot;-&quot;??_);_(@_)"/>
    <numFmt numFmtId="193" formatCode="_(* #,##0.000_);_(* \(#,##0.000\);_(* &quot;-&quot;??_);_(@_)"/>
    <numFmt numFmtId="194" formatCode="0.000"/>
    <numFmt numFmtId="195" formatCode="_ * #,##0.0_ ;_ * \-#,##0.0_ ;_ * &quot;-&quot;?_ ;_ @_ "/>
    <numFmt numFmtId="196" formatCode="_ * #,##0.000_ ;_ * \-#,##0.000_ ;_ * &quot;-&quot;???_ ;_ @_ "/>
    <numFmt numFmtId="197" formatCode="_-[$R-1C09]* #,##0_-;\-[$R-1C09]* #,##0_-;_-[$R-1C09]* &quot;-&quot;??_-;_-@_-"/>
    <numFmt numFmtId="198" formatCode="_ * #,##0.0000_ ;_ * \-#,##0.0000_ ;_ * &quot;-&quot;??_ ;_ @_ "/>
    <numFmt numFmtId="199" formatCode="0.00000"/>
    <numFmt numFmtId="200" formatCode="_ * #,##0.00_ ;_ * \-#,##0.00_ ;_ * &quot;-&quot;?_ ;_ @_ "/>
    <numFmt numFmtId="201" formatCode="&quot;Yes&quot;;&quot;Yes&quot;;&quot;No&quot;"/>
    <numFmt numFmtId="202" formatCode="&quot;True&quot;;&quot;True&quot;;&quot;False&quot;"/>
    <numFmt numFmtId="203" formatCode="&quot;On&quot;;&quot;On&quot;;&quot;Off&quot;"/>
    <numFmt numFmtId="204" formatCode="[$€-2]\ #,##0.00_);[Red]\([$€-2]\ #,##0.00\)"/>
    <numFmt numFmtId="205" formatCode="&quot;R&quot;\ #\ ##0"/>
  </numFmts>
  <fonts count="69">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u val="single"/>
      <sz val="10"/>
      <color indexed="36"/>
      <name val="Arial"/>
      <family val="2"/>
    </font>
    <font>
      <sz val="8"/>
      <name val="Arial"/>
      <family val="2"/>
    </font>
    <font>
      <sz val="10"/>
      <name val="Arial Black"/>
      <family val="2"/>
    </font>
    <font>
      <sz val="10"/>
      <name val="Segoe UI"/>
      <family val="2"/>
    </font>
    <font>
      <sz val="11"/>
      <color indexed="8"/>
      <name val="Calibri"/>
      <family val="2"/>
    </font>
    <font>
      <b/>
      <sz val="11"/>
      <name val="Arial"/>
      <family val="2"/>
    </font>
    <font>
      <b/>
      <sz val="11"/>
      <name val="Calibri"/>
      <family val="2"/>
    </font>
    <font>
      <sz val="11"/>
      <name val="Calibri"/>
      <family val="2"/>
    </font>
    <font>
      <b/>
      <sz val="10"/>
      <name val="Calibri"/>
      <family val="2"/>
    </font>
    <font>
      <sz val="10"/>
      <name val="Calibri"/>
      <family val="2"/>
    </font>
    <font>
      <sz val="9"/>
      <name val="Tahoma"/>
      <family val="2"/>
    </font>
    <font>
      <b/>
      <sz val="9"/>
      <name val="Tahoma"/>
      <family val="2"/>
    </font>
    <font>
      <u val="single"/>
      <sz val="7.5"/>
      <color indexed="12"/>
      <name val="Arial"/>
      <family val="2"/>
    </font>
    <font>
      <b/>
      <sz val="11"/>
      <color indexed="8"/>
      <name val="Calibri"/>
      <family val="2"/>
    </font>
    <font>
      <sz val="11"/>
      <name val="Times New Roman"/>
      <family val="1"/>
    </font>
    <font>
      <b/>
      <sz val="11"/>
      <color indexed="30"/>
      <name val="Calibri"/>
      <family val="2"/>
    </font>
    <font>
      <sz val="10"/>
      <color indexed="8"/>
      <name val="Calibri"/>
      <family val="2"/>
    </font>
    <font>
      <b/>
      <sz val="10.5"/>
      <color indexed="63"/>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1"/>
      <color indexed="10"/>
      <name val="Calibri"/>
      <family val="2"/>
    </font>
    <font>
      <sz val="10"/>
      <color indexed="10"/>
      <name val="Arial"/>
      <family val="2"/>
    </font>
    <font>
      <b/>
      <sz val="18"/>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1"/>
      <name val="Arial"/>
      <family val="2"/>
    </font>
    <font>
      <b/>
      <sz val="11"/>
      <color rgb="FFFF0000"/>
      <name val="Calibri"/>
      <family val="2"/>
    </font>
    <font>
      <sz val="10"/>
      <color rgb="FFFF0000"/>
      <name val="Arial"/>
      <family val="2"/>
    </font>
    <font>
      <b/>
      <sz val="18"/>
      <color rgb="FF00B05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top/>
      <bottom/>
    </border>
    <border>
      <left/>
      <right/>
      <top style="thin"/>
      <bottom/>
    </border>
    <border>
      <left/>
      <right/>
      <top/>
      <bottom style="thin"/>
    </border>
    <border>
      <left style="thin"/>
      <right/>
      <top style="thin"/>
      <bottom/>
    </border>
    <border>
      <left style="thin"/>
      <right/>
      <top style="thin"/>
      <bottom style="thin"/>
    </border>
    <border>
      <left/>
      <right/>
      <top/>
      <bottom style="double"/>
    </border>
    <border>
      <left/>
      <right/>
      <top style="double"/>
      <bottom style="double"/>
    </border>
    <border>
      <left style="medium"/>
      <right style="medium"/>
      <top>
        <color indexed="63"/>
      </top>
      <bottom style="thin"/>
    </border>
    <border>
      <left style="medium"/>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top/>
      <bottom style="thin"/>
    </border>
    <border>
      <left/>
      <right/>
      <top style="thin"/>
      <bottom style="double"/>
    </border>
    <border>
      <left>
        <color indexed="63"/>
      </left>
      <right>
        <color indexed="63"/>
      </right>
      <top style="thin"/>
      <bottom style="mediu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5" fillId="0" borderId="0" applyFont="0" applyFill="0" applyBorder="0" applyAlignment="0" applyProtection="0"/>
    <xf numFmtId="171" fontId="10"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170" fontId="45"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58"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20" fillId="0" borderId="0">
      <alignment/>
      <protection/>
    </xf>
    <xf numFmtId="0" fontId="58" fillId="0" borderId="0">
      <alignment/>
      <protection/>
    </xf>
    <xf numFmtId="0" fontId="0" fillId="0" borderId="0">
      <alignment/>
      <protection/>
    </xf>
    <xf numFmtId="0" fontId="45"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45" fillId="0" borderId="0">
      <alignment/>
      <protection/>
    </xf>
    <xf numFmtId="0" fontId="7" fillId="0" borderId="0">
      <alignment/>
      <protection/>
    </xf>
    <xf numFmtId="0" fontId="7" fillId="0" borderId="0">
      <alignment/>
      <protection/>
    </xf>
    <xf numFmtId="0" fontId="45" fillId="0" borderId="0">
      <alignment/>
      <protection/>
    </xf>
    <xf numFmtId="0" fontId="0"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1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9">
    <xf numFmtId="0" fontId="0" fillId="0" borderId="0" xfId="0" applyAlignment="1">
      <alignment/>
    </xf>
    <xf numFmtId="0" fontId="0" fillId="0" borderId="0" xfId="0" applyFont="1" applyFill="1" applyAlignment="1" applyProtection="1">
      <alignment/>
      <protection hidden="1"/>
    </xf>
    <xf numFmtId="0" fontId="1" fillId="33" borderId="10"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1" xfId="0" applyFont="1" applyFill="1" applyBorder="1" applyAlignment="1" applyProtection="1">
      <alignment/>
      <protection hidden="1"/>
    </xf>
    <xf numFmtId="0" fontId="1" fillId="34" borderId="10" xfId="0" applyFont="1" applyFill="1" applyBorder="1" applyAlignment="1" applyProtection="1">
      <alignment horizontal="left"/>
      <protection hidden="1"/>
    </xf>
    <xf numFmtId="0" fontId="0" fillId="34" borderId="12" xfId="0" applyFont="1" applyFill="1" applyBorder="1" applyAlignment="1" applyProtection="1">
      <alignment/>
      <protection hidden="1"/>
    </xf>
    <xf numFmtId="0" fontId="1" fillId="0" borderId="10" xfId="0" applyFont="1" applyFill="1" applyBorder="1" applyAlignment="1" applyProtection="1">
      <alignment horizontal="centerContinuous"/>
      <protection hidden="1"/>
    </xf>
    <xf numFmtId="0" fontId="1" fillId="0" borderId="10" xfId="0" applyFont="1" applyFill="1" applyBorder="1" applyAlignment="1" applyProtection="1">
      <alignment horizontal="left"/>
      <protection hidden="1"/>
    </xf>
    <xf numFmtId="181" fontId="1" fillId="35" borderId="13" xfId="0" applyNumberFormat="1" applyFont="1" applyFill="1" applyBorder="1" applyAlignment="1" applyProtection="1">
      <alignment horizontal="right"/>
      <protection hidden="1"/>
    </xf>
    <xf numFmtId="0" fontId="0" fillId="0" borderId="10"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179" fontId="0" fillId="0" borderId="0" xfId="0" applyNumberFormat="1" applyFont="1" applyBorder="1" applyAlignment="1" applyProtection="1">
      <alignment/>
      <protection hidden="1"/>
    </xf>
    <xf numFmtId="179" fontId="0" fillId="0" borderId="0" xfId="0" applyNumberFormat="1" applyFont="1" applyAlignment="1" applyProtection="1">
      <alignment/>
      <protection hidden="1"/>
    </xf>
    <xf numFmtId="0" fontId="0" fillId="0" borderId="0" xfId="0" applyFont="1" applyBorder="1" applyAlignment="1" applyProtection="1">
      <alignment/>
      <protection hidden="1"/>
    </xf>
    <xf numFmtId="0" fontId="1" fillId="33" borderId="12"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4" borderId="10" xfId="0" applyFont="1" applyFill="1" applyBorder="1" applyAlignment="1" applyProtection="1">
      <alignment/>
      <protection hidden="1"/>
    </xf>
    <xf numFmtId="0" fontId="2" fillId="0" borderId="10" xfId="0" applyFont="1" applyFill="1" applyBorder="1" applyAlignment="1" applyProtection="1">
      <alignment/>
      <protection hidden="1"/>
    </xf>
    <xf numFmtId="0" fontId="0" fillId="0" borderId="12" xfId="0" applyFont="1" applyFill="1" applyBorder="1" applyAlignment="1" applyProtection="1">
      <alignment/>
      <protection hidden="1"/>
    </xf>
    <xf numFmtId="0" fontId="1" fillId="36" borderId="13" xfId="0" applyFont="1" applyFill="1" applyBorder="1" applyAlignment="1" applyProtection="1">
      <alignment/>
      <protection hidden="1"/>
    </xf>
    <xf numFmtId="181" fontId="1" fillId="36" borderId="13" xfId="0" applyNumberFormat="1" applyFont="1" applyFill="1" applyBorder="1" applyAlignment="1" applyProtection="1">
      <alignment horizontal="right"/>
      <protection hidden="1"/>
    </xf>
    <xf numFmtId="0" fontId="0" fillId="34" borderId="13" xfId="0" applyFont="1" applyFill="1" applyBorder="1" applyAlignment="1" applyProtection="1">
      <alignment/>
      <protection hidden="1"/>
    </xf>
    <xf numFmtId="171" fontId="1" fillId="35" borderId="13" xfId="0" applyNumberFormat="1" applyFont="1" applyFill="1" applyBorder="1" applyAlignment="1" applyProtection="1">
      <alignment/>
      <protection hidden="1"/>
    </xf>
    <xf numFmtId="171" fontId="1" fillId="36" borderId="16" xfId="0" applyNumberFormat="1" applyFont="1" applyFill="1" applyBorder="1" applyAlignment="1" applyProtection="1">
      <alignment/>
      <protection hidden="1"/>
    </xf>
    <xf numFmtId="171" fontId="1" fillId="34" borderId="13" xfId="0" applyNumberFormat="1" applyFont="1" applyFill="1" applyBorder="1" applyAlignment="1" applyProtection="1">
      <alignment/>
      <protection hidden="1"/>
    </xf>
    <xf numFmtId="171" fontId="1" fillId="0" borderId="16" xfId="0" applyNumberFormat="1" applyFont="1" applyFill="1" applyBorder="1" applyAlignment="1" applyProtection="1">
      <alignment/>
      <protection hidden="1"/>
    </xf>
    <xf numFmtId="0" fontId="0" fillId="34" borderId="17" xfId="0" applyFont="1" applyFill="1" applyBorder="1" applyAlignment="1" applyProtection="1">
      <alignment/>
      <protection hidden="1"/>
    </xf>
    <xf numFmtId="0" fontId="0" fillId="0" borderId="12" xfId="0" applyFont="1" applyFill="1" applyBorder="1" applyAlignment="1" applyProtection="1">
      <alignment wrapText="1"/>
      <protection hidden="1"/>
    </xf>
    <xf numFmtId="0" fontId="1" fillId="34" borderId="17" xfId="0" applyFont="1" applyFill="1" applyBorder="1" applyAlignment="1" applyProtection="1">
      <alignment horizontal="left"/>
      <protection hidden="1"/>
    </xf>
    <xf numFmtId="0" fontId="0" fillId="34" borderId="18" xfId="0" applyFont="1" applyFill="1" applyBorder="1" applyAlignment="1" applyProtection="1">
      <alignment/>
      <protection hidden="1"/>
    </xf>
    <xf numFmtId="1" fontId="1" fillId="36" borderId="19" xfId="0" applyNumberFormat="1" applyFont="1" applyFill="1" applyBorder="1" applyAlignment="1" applyProtection="1">
      <alignment/>
      <protection hidden="1"/>
    </xf>
    <xf numFmtId="0" fontId="0" fillId="0" borderId="10" xfId="0" applyFont="1" applyFill="1" applyBorder="1" applyAlignment="1" applyProtection="1">
      <alignment wrapText="1"/>
      <protection hidden="1"/>
    </xf>
    <xf numFmtId="0" fontId="2" fillId="0" borderId="10" xfId="0" applyFont="1" applyFill="1" applyBorder="1" applyAlignment="1" applyProtection="1">
      <alignment wrapText="1"/>
      <protection hidden="1"/>
    </xf>
    <xf numFmtId="0" fontId="0" fillId="0" borderId="10" xfId="0" applyFont="1" applyFill="1" applyBorder="1" applyAlignment="1" applyProtection="1">
      <alignment horizontal="center" wrapText="1"/>
      <protection hidden="1"/>
    </xf>
    <xf numFmtId="0" fontId="1" fillId="0" borderId="10" xfId="0" applyFont="1" applyFill="1" applyBorder="1" applyAlignment="1" applyProtection="1">
      <alignment horizontal="center" wrapText="1"/>
      <protection hidden="1"/>
    </xf>
    <xf numFmtId="0" fontId="1" fillId="0" borderId="10" xfId="0" applyFont="1" applyFill="1" applyBorder="1" applyAlignment="1" applyProtection="1">
      <alignment horizontal="left" wrapText="1"/>
      <protection hidden="1"/>
    </xf>
    <xf numFmtId="0" fontId="0" fillId="0" borderId="0" xfId="117">
      <alignment/>
      <protection/>
    </xf>
    <xf numFmtId="0" fontId="4" fillId="0" borderId="0" xfId="117" applyFont="1">
      <alignment/>
      <protection/>
    </xf>
    <xf numFmtId="0" fontId="0" fillId="0" borderId="0" xfId="84">
      <alignment/>
      <protection/>
    </xf>
    <xf numFmtId="0" fontId="0" fillId="0" borderId="0" xfId="117" applyFill="1">
      <alignment/>
      <protection/>
    </xf>
    <xf numFmtId="0" fontId="0" fillId="0" borderId="20" xfId="117" applyFont="1" applyBorder="1" applyAlignment="1">
      <alignment horizontal="center" vertical="center" wrapText="1"/>
      <protection/>
    </xf>
    <xf numFmtId="0" fontId="0" fillId="0" borderId="10" xfId="117" applyFont="1" applyBorder="1" applyAlignment="1">
      <alignment horizontal="center" vertical="center" wrapText="1"/>
      <protection/>
    </xf>
    <xf numFmtId="0" fontId="63" fillId="36" borderId="13" xfId="117" applyFont="1" applyFill="1" applyBorder="1" applyAlignment="1">
      <alignment horizontal="center" vertical="center"/>
      <protection/>
    </xf>
    <xf numFmtId="0" fontId="64" fillId="36" borderId="13" xfId="117" applyFont="1" applyFill="1" applyBorder="1" applyAlignment="1">
      <alignment horizontal="center" vertical="center"/>
      <protection/>
    </xf>
    <xf numFmtId="0" fontId="63" fillId="36" borderId="10" xfId="117" applyFont="1" applyFill="1" applyBorder="1" applyAlignment="1">
      <alignment horizontal="center" vertical="center"/>
      <protection/>
    </xf>
    <xf numFmtId="0" fontId="1" fillId="36" borderId="13" xfId="117" applyFont="1" applyFill="1" applyBorder="1" applyAlignment="1">
      <alignment horizontal="center" vertical="center"/>
      <protection/>
    </xf>
    <xf numFmtId="184" fontId="63" fillId="36" borderId="13" xfId="117" applyNumberFormat="1" applyFont="1" applyFill="1" applyBorder="1" applyAlignment="1">
      <alignment horizontal="center" vertical="center"/>
      <protection/>
    </xf>
    <xf numFmtId="0" fontId="1" fillId="36" borderId="13" xfId="117" applyNumberFormat="1" applyFont="1" applyFill="1" applyBorder="1" applyAlignment="1">
      <alignment horizontal="center" vertical="center"/>
      <protection/>
    </xf>
    <xf numFmtId="0" fontId="63" fillId="36" borderId="13" xfId="117" applyNumberFormat="1" applyFont="1" applyFill="1" applyBorder="1" applyAlignment="1">
      <alignment horizontal="center" vertical="center"/>
      <protection/>
    </xf>
    <xf numFmtId="0" fontId="1" fillId="0" borderId="21" xfId="117" applyNumberFormat="1" applyFont="1" applyBorder="1" applyAlignment="1">
      <alignment horizontal="center" vertical="center"/>
      <protection/>
    </xf>
    <xf numFmtId="184" fontId="63" fillId="0" borderId="21" xfId="117" applyNumberFormat="1" applyFont="1" applyBorder="1" applyAlignment="1">
      <alignment horizontal="center" vertical="center"/>
      <protection/>
    </xf>
    <xf numFmtId="0" fontId="63" fillId="0" borderId="21" xfId="117" applyNumberFormat="1" applyFont="1" applyBorder="1" applyAlignment="1">
      <alignment horizontal="center" vertical="center"/>
      <protection/>
    </xf>
    <xf numFmtId="182" fontId="1" fillId="0" borderId="20" xfId="117" applyNumberFormat="1" applyFont="1" applyBorder="1" applyAlignment="1">
      <alignment horizontal="center" vertical="center"/>
      <protection/>
    </xf>
    <xf numFmtId="1" fontId="1" fillId="37" borderId="22" xfId="117" applyNumberFormat="1" applyFont="1" applyFill="1" applyBorder="1" applyAlignment="1">
      <alignment horizontal="center" vertical="center"/>
      <protection/>
    </xf>
    <xf numFmtId="1" fontId="1" fillId="37" borderId="23" xfId="117" applyNumberFormat="1" applyFont="1" applyFill="1" applyBorder="1" applyAlignment="1">
      <alignment horizontal="center" vertical="center"/>
      <protection/>
    </xf>
    <xf numFmtId="1" fontId="1" fillId="38" borderId="23" xfId="117" applyNumberFormat="1" applyFont="1" applyFill="1" applyBorder="1" applyAlignment="1">
      <alignment horizontal="center" vertical="center"/>
      <protection/>
    </xf>
    <xf numFmtId="1" fontId="1" fillId="38" borderId="24" xfId="117" applyNumberFormat="1" applyFont="1" applyFill="1" applyBorder="1" applyAlignment="1">
      <alignment horizontal="center" vertical="center"/>
      <protection/>
    </xf>
    <xf numFmtId="1" fontId="1" fillId="37" borderId="25" xfId="117" applyNumberFormat="1" applyFont="1" applyFill="1" applyBorder="1" applyAlignment="1">
      <alignment horizontal="center" vertical="center"/>
      <protection/>
    </xf>
    <xf numFmtId="1" fontId="1" fillId="37" borderId="26" xfId="117" applyNumberFormat="1" applyFont="1" applyFill="1" applyBorder="1" applyAlignment="1">
      <alignment horizontal="center" vertical="center"/>
      <protection/>
    </xf>
    <xf numFmtId="1" fontId="1" fillId="38" borderId="26" xfId="117" applyNumberFormat="1" applyFont="1" applyFill="1" applyBorder="1" applyAlignment="1">
      <alignment horizontal="center" vertical="center"/>
      <protection/>
    </xf>
    <xf numFmtId="1" fontId="1" fillId="38" borderId="27" xfId="117" applyNumberFormat="1" applyFont="1" applyFill="1" applyBorder="1" applyAlignment="1">
      <alignment horizontal="center" vertical="center"/>
      <protection/>
    </xf>
    <xf numFmtId="182" fontId="63" fillId="0" borderId="20" xfId="117" applyNumberFormat="1" applyFont="1" applyBorder="1" applyAlignment="1">
      <alignment horizontal="center" vertical="center"/>
      <protection/>
    </xf>
    <xf numFmtId="1" fontId="1" fillId="37" borderId="28" xfId="117" applyNumberFormat="1" applyFont="1" applyFill="1" applyBorder="1" applyAlignment="1">
      <alignment horizontal="center" vertical="center"/>
      <protection/>
    </xf>
    <xf numFmtId="1" fontId="1" fillId="37" borderId="29" xfId="117" applyNumberFormat="1" applyFont="1" applyFill="1" applyBorder="1" applyAlignment="1">
      <alignment horizontal="center" vertical="center"/>
      <protection/>
    </xf>
    <xf numFmtId="1" fontId="1" fillId="38" borderId="29" xfId="117" applyNumberFormat="1" applyFont="1" applyFill="1" applyBorder="1" applyAlignment="1">
      <alignment horizontal="center" vertical="center"/>
      <protection/>
    </xf>
    <xf numFmtId="1" fontId="1" fillId="38" borderId="30" xfId="117" applyNumberFormat="1" applyFont="1" applyFill="1" applyBorder="1" applyAlignment="1">
      <alignment horizontal="center" vertical="center"/>
      <protection/>
    </xf>
    <xf numFmtId="0" fontId="8" fillId="0" borderId="0" xfId="117" applyFont="1" applyBorder="1" applyAlignment="1">
      <alignment horizontal="center" vertical="center" textRotation="90" wrapText="1"/>
      <protection/>
    </xf>
    <xf numFmtId="182" fontId="8" fillId="0" borderId="0" xfId="117" applyNumberFormat="1" applyFont="1" applyBorder="1" applyAlignment="1">
      <alignment horizontal="center" vertical="center"/>
      <protection/>
    </xf>
    <xf numFmtId="1" fontId="8" fillId="0" borderId="0" xfId="117" applyNumberFormat="1" applyFont="1" applyFill="1" applyBorder="1" applyAlignment="1">
      <alignment horizontal="center" vertical="center"/>
      <protection/>
    </xf>
    <xf numFmtId="0" fontId="8" fillId="0" borderId="0" xfId="117" applyFont="1" applyFill="1" applyBorder="1" applyAlignment="1">
      <alignment horizontal="center" vertical="center" textRotation="90" wrapText="1"/>
      <protection/>
    </xf>
    <xf numFmtId="182" fontId="8" fillId="0" borderId="0" xfId="117" applyNumberFormat="1" applyFont="1" applyFill="1" applyBorder="1" applyAlignment="1">
      <alignment horizontal="center" vertical="center"/>
      <protection/>
    </xf>
    <xf numFmtId="183" fontId="1" fillId="0" borderId="21" xfId="117" applyNumberFormat="1" applyFont="1" applyBorder="1" applyAlignment="1">
      <alignment horizontal="center" vertical="center"/>
      <protection/>
    </xf>
    <xf numFmtId="0" fontId="15" fillId="36" borderId="15" xfId="84" applyNumberFormat="1" applyFont="1" applyFill="1" applyBorder="1" applyAlignment="1">
      <alignment vertical="center"/>
      <protection/>
    </xf>
    <xf numFmtId="0" fontId="15" fillId="36" borderId="31" xfId="84" applyNumberFormat="1" applyFont="1" applyFill="1" applyBorder="1" applyAlignment="1">
      <alignment vertical="center"/>
      <protection/>
    </xf>
    <xf numFmtId="0" fontId="14" fillId="36" borderId="32" xfId="84" applyNumberFormat="1" applyFont="1" applyFill="1" applyBorder="1" applyAlignment="1">
      <alignment vertical="center"/>
      <protection/>
    </xf>
    <xf numFmtId="0" fontId="12" fillId="36" borderId="32" xfId="84" applyNumberFormat="1" applyFont="1" applyFill="1" applyBorder="1" applyAlignment="1">
      <alignment vertical="center"/>
      <protection/>
    </xf>
    <xf numFmtId="0" fontId="0" fillId="36" borderId="17" xfId="84" applyNumberFormat="1" applyFont="1" applyFill="1" applyBorder="1" applyAlignment="1" applyProtection="1">
      <alignment/>
      <protection hidden="1"/>
    </xf>
    <xf numFmtId="0" fontId="0" fillId="36" borderId="18" xfId="84" applyNumberFormat="1" applyFont="1" applyFill="1" applyBorder="1" applyAlignment="1" applyProtection="1">
      <alignment/>
      <protection hidden="1"/>
    </xf>
    <xf numFmtId="0" fontId="13" fillId="36" borderId="31" xfId="84" applyNumberFormat="1" applyFont="1" applyFill="1" applyBorder="1" applyAlignment="1">
      <alignment vertical="center"/>
      <protection/>
    </xf>
    <xf numFmtId="0" fontId="0" fillId="36" borderId="0" xfId="84" applyNumberFormat="1" applyFont="1" applyFill="1" applyBorder="1" applyAlignment="1" applyProtection="1">
      <alignment/>
      <protection hidden="1"/>
    </xf>
    <xf numFmtId="0" fontId="0" fillId="36" borderId="33" xfId="84" applyNumberFormat="1" applyFont="1" applyFill="1" applyBorder="1" applyAlignment="1" applyProtection="1">
      <alignment/>
      <protection hidden="1"/>
    </xf>
    <xf numFmtId="0" fontId="13" fillId="36" borderId="15" xfId="84" applyNumberFormat="1" applyFont="1" applyFill="1" applyBorder="1" applyAlignment="1">
      <alignment vertical="center"/>
      <protection/>
    </xf>
    <xf numFmtId="0" fontId="0" fillId="36" borderId="14" xfId="84" applyNumberFormat="1" applyFont="1" applyFill="1" applyBorder="1" applyAlignment="1" applyProtection="1">
      <alignment/>
      <protection hidden="1"/>
    </xf>
    <xf numFmtId="0" fontId="0" fillId="36" borderId="11" xfId="84" applyNumberFormat="1" applyFont="1" applyFill="1" applyBorder="1" applyAlignment="1" applyProtection="1">
      <alignment/>
      <protection hidden="1"/>
    </xf>
    <xf numFmtId="0" fontId="1" fillId="34" borderId="20" xfId="84" applyFont="1" applyFill="1" applyBorder="1" applyAlignment="1" applyProtection="1">
      <alignment horizontal="left"/>
      <protection hidden="1"/>
    </xf>
    <xf numFmtId="0" fontId="1" fillId="34" borderId="10" xfId="84" applyFont="1" applyFill="1" applyBorder="1" applyAlignment="1" applyProtection="1">
      <alignment horizontal="left"/>
      <protection hidden="1"/>
    </xf>
    <xf numFmtId="0" fontId="0" fillId="34" borderId="12" xfId="84" applyFont="1" applyFill="1" applyBorder="1" applyAlignment="1" applyProtection="1">
      <alignment/>
      <protection hidden="1"/>
    </xf>
    <xf numFmtId="0" fontId="1" fillId="0" borderId="20" xfId="84" applyFont="1" applyFill="1" applyBorder="1" applyAlignment="1" applyProtection="1">
      <alignment horizontal="left"/>
      <protection hidden="1"/>
    </xf>
    <xf numFmtId="0" fontId="1" fillId="0" borderId="10" xfId="84" applyFont="1" applyFill="1" applyBorder="1" applyAlignment="1" applyProtection="1">
      <alignment horizontal="left"/>
      <protection hidden="1"/>
    </xf>
    <xf numFmtId="0" fontId="1" fillId="35" borderId="20" xfId="84" applyFont="1" applyFill="1" applyBorder="1" applyAlignment="1" applyProtection="1">
      <alignment horizontal="left"/>
      <protection hidden="1"/>
    </xf>
    <xf numFmtId="0" fontId="1" fillId="35" borderId="10" xfId="84" applyFont="1" applyFill="1" applyBorder="1" applyAlignment="1" applyProtection="1">
      <alignment horizontal="left"/>
      <protection hidden="1"/>
    </xf>
    <xf numFmtId="0" fontId="1" fillId="0" borderId="34" xfId="84" applyFont="1" applyFill="1" applyBorder="1" applyAlignment="1" applyProtection="1">
      <alignment horizontal="left"/>
      <protection hidden="1"/>
    </xf>
    <xf numFmtId="0" fontId="1" fillId="0" borderId="31" xfId="84" applyFont="1" applyFill="1" applyBorder="1" applyAlignment="1" applyProtection="1">
      <alignment horizontal="left"/>
      <protection hidden="1"/>
    </xf>
    <xf numFmtId="0" fontId="1" fillId="0" borderId="0" xfId="84" applyFont="1" applyFill="1" applyBorder="1" applyAlignment="1" applyProtection="1">
      <alignment horizontal="left"/>
      <protection hidden="1"/>
    </xf>
    <xf numFmtId="0" fontId="1" fillId="0" borderId="35" xfId="84" applyFont="1" applyFill="1" applyBorder="1" applyAlignment="1" applyProtection="1">
      <alignment horizontal="left"/>
      <protection hidden="1"/>
    </xf>
    <xf numFmtId="180" fontId="1" fillId="35" borderId="12" xfId="84" applyNumberFormat="1" applyFont="1" applyFill="1" applyBorder="1" applyAlignment="1" applyProtection="1">
      <alignment horizontal="left"/>
      <protection hidden="1"/>
    </xf>
    <xf numFmtId="0" fontId="1" fillId="0" borderId="36" xfId="84" applyFont="1" applyFill="1" applyBorder="1" applyAlignment="1" applyProtection="1">
      <alignment horizontal="left"/>
      <protection hidden="1"/>
    </xf>
    <xf numFmtId="0" fontId="1" fillId="0" borderId="37" xfId="84" applyFont="1" applyFill="1" applyBorder="1" applyAlignment="1" applyProtection="1">
      <alignment horizontal="left"/>
      <protection hidden="1"/>
    </xf>
    <xf numFmtId="0" fontId="1" fillId="36" borderId="31" xfId="84" applyFont="1" applyFill="1" applyBorder="1" applyAlignment="1" applyProtection="1">
      <alignment horizontal="left"/>
      <protection hidden="1"/>
    </xf>
    <xf numFmtId="0" fontId="1" fillId="36" borderId="0" xfId="84" applyFont="1" applyFill="1" applyBorder="1" applyAlignment="1" applyProtection="1">
      <alignment horizontal="left"/>
      <protection hidden="1"/>
    </xf>
    <xf numFmtId="171" fontId="2" fillId="34" borderId="17" xfId="0" applyNumberFormat="1" applyFont="1" applyFill="1" applyBorder="1" applyAlignment="1" applyProtection="1">
      <alignment/>
      <protection hidden="1"/>
    </xf>
    <xf numFmtId="171" fontId="2" fillId="34" borderId="10" xfId="0" applyNumberFormat="1" applyFont="1" applyFill="1" applyBorder="1" applyAlignment="1" applyProtection="1">
      <alignment/>
      <protection hidden="1"/>
    </xf>
    <xf numFmtId="0" fontId="62" fillId="0" borderId="0" xfId="99" applyFont="1">
      <alignment/>
      <protection/>
    </xf>
    <xf numFmtId="171" fontId="62" fillId="0" borderId="0" xfId="99" applyNumberFormat="1" applyFont="1">
      <alignment/>
      <protection/>
    </xf>
    <xf numFmtId="0" fontId="4" fillId="0" borderId="15" xfId="84" applyFont="1" applyFill="1" applyBorder="1" applyAlignment="1" applyProtection="1">
      <alignment horizontal="left"/>
      <protection hidden="1"/>
    </xf>
    <xf numFmtId="0" fontId="12" fillId="39" borderId="35" xfId="99" applyFont="1" applyFill="1" applyBorder="1" applyAlignment="1">
      <alignment horizontal="center" wrapText="1"/>
      <protection/>
    </xf>
    <xf numFmtId="0" fontId="2" fillId="0" borderId="10" xfId="84" applyFont="1" applyFill="1" applyBorder="1" applyAlignment="1" applyProtection="1">
      <alignment/>
      <protection hidden="1"/>
    </xf>
    <xf numFmtId="0" fontId="1" fillId="0" borderId="10" xfId="84" applyFont="1" applyFill="1" applyBorder="1" applyAlignment="1" applyProtection="1">
      <alignment horizontal="centerContinuous"/>
      <protection hidden="1"/>
    </xf>
    <xf numFmtId="171" fontId="65" fillId="39" borderId="0" xfId="59" applyFont="1" applyFill="1" applyBorder="1" applyAlignment="1">
      <alignment horizontal="center" vertical="center" wrapText="1"/>
    </xf>
    <xf numFmtId="0" fontId="66" fillId="39" borderId="0" xfId="0" applyFont="1" applyFill="1" applyBorder="1" applyAlignment="1">
      <alignment/>
    </xf>
    <xf numFmtId="0" fontId="12" fillId="40" borderId="14" xfId="0" applyFont="1" applyFill="1" applyBorder="1" applyAlignment="1">
      <alignment horizontal="center" wrapText="1"/>
    </xf>
    <xf numFmtId="0" fontId="12" fillId="40" borderId="38" xfId="0" applyFont="1" applyFill="1" applyBorder="1" applyAlignment="1">
      <alignment/>
    </xf>
    <xf numFmtId="0" fontId="66" fillId="40" borderId="0" xfId="0" applyFont="1" applyFill="1" applyBorder="1" applyAlignment="1">
      <alignment vertical="center" wrapText="1"/>
    </xf>
    <xf numFmtId="0" fontId="66" fillId="39" borderId="39" xfId="0" applyFont="1" applyFill="1" applyBorder="1" applyAlignment="1">
      <alignment/>
    </xf>
    <xf numFmtId="171" fontId="0" fillId="40" borderId="0" xfId="0" applyNumberFormat="1" applyFont="1" applyFill="1" applyBorder="1" applyAlignment="1">
      <alignment/>
    </xf>
    <xf numFmtId="0" fontId="0" fillId="0" borderId="0" xfId="84" applyFont="1" applyBorder="1" applyAlignment="1" applyProtection="1">
      <alignment/>
      <protection hidden="1"/>
    </xf>
    <xf numFmtId="0" fontId="0" fillId="0" borderId="14" xfId="84" applyFont="1" applyFill="1" applyBorder="1" applyAlignment="1" applyProtection="1">
      <alignment/>
      <protection hidden="1"/>
    </xf>
    <xf numFmtId="0" fontId="4" fillId="0" borderId="14" xfId="84" applyFont="1" applyFill="1" applyBorder="1" applyAlignment="1" applyProtection="1">
      <alignment horizontal="left"/>
      <protection hidden="1"/>
    </xf>
    <xf numFmtId="184" fontId="12" fillId="39" borderId="40" xfId="0" applyNumberFormat="1" applyFont="1" applyFill="1" applyBorder="1" applyAlignment="1">
      <alignment/>
    </xf>
    <xf numFmtId="0" fontId="0" fillId="40" borderId="38" xfId="0" applyFont="1" applyFill="1" applyBorder="1" applyAlignment="1">
      <alignment/>
    </xf>
    <xf numFmtId="0" fontId="0" fillId="0" borderId="11" xfId="84" applyFont="1" applyFill="1" applyBorder="1" applyAlignment="1" applyProtection="1">
      <alignment/>
      <protection hidden="1"/>
    </xf>
    <xf numFmtId="0" fontId="61" fillId="39" borderId="41" xfId="0" applyFont="1" applyFill="1" applyBorder="1" applyAlignment="1">
      <alignment/>
    </xf>
    <xf numFmtId="0" fontId="61" fillId="39" borderId="42" xfId="0" applyFont="1" applyFill="1" applyBorder="1" applyAlignment="1">
      <alignment/>
    </xf>
    <xf numFmtId="186" fontId="13" fillId="39" borderId="0" xfId="59" applyNumberFormat="1" applyFont="1" applyFill="1" applyBorder="1" applyAlignment="1">
      <alignment wrapText="1"/>
    </xf>
    <xf numFmtId="184" fontId="13" fillId="39" borderId="0" xfId="0" applyNumberFormat="1" applyFont="1" applyFill="1" applyBorder="1" applyAlignment="1">
      <alignment/>
    </xf>
    <xf numFmtId="184" fontId="13" fillId="39" borderId="43" xfId="0" applyNumberFormat="1" applyFont="1" applyFill="1" applyBorder="1" applyAlignment="1">
      <alignment/>
    </xf>
    <xf numFmtId="0" fontId="61" fillId="39" borderId="0" xfId="0" applyFont="1" applyFill="1" applyBorder="1" applyAlignment="1">
      <alignment/>
    </xf>
    <xf numFmtId="0" fontId="66" fillId="0" borderId="0" xfId="0" applyFont="1" applyFill="1" applyAlignment="1" applyProtection="1">
      <alignment/>
      <protection hidden="1"/>
    </xf>
    <xf numFmtId="0" fontId="66" fillId="0" borderId="0" xfId="0" applyFont="1" applyFill="1" applyBorder="1" applyAlignment="1" applyProtection="1">
      <alignment/>
      <protection hidden="1"/>
    </xf>
    <xf numFmtId="179" fontId="63" fillId="0" borderId="0" xfId="0" applyNumberFormat="1" applyFont="1" applyBorder="1" applyAlignment="1" applyProtection="1">
      <alignment/>
      <protection hidden="1"/>
    </xf>
    <xf numFmtId="0" fontId="61" fillId="39" borderId="38" xfId="0" applyFont="1" applyFill="1" applyBorder="1" applyAlignment="1">
      <alignment/>
    </xf>
    <xf numFmtId="0" fontId="0" fillId="39" borderId="39" xfId="0" applyFont="1" applyFill="1" applyBorder="1" applyAlignment="1">
      <alignment/>
    </xf>
    <xf numFmtId="171" fontId="13" fillId="39" borderId="38" xfId="59" applyNumberFormat="1" applyFont="1" applyFill="1" applyBorder="1" applyAlignment="1">
      <alignment/>
    </xf>
    <xf numFmtId="171" fontId="12" fillId="39" borderId="38" xfId="59" applyNumberFormat="1" applyFont="1" applyFill="1" applyBorder="1" applyAlignment="1">
      <alignment/>
    </xf>
    <xf numFmtId="171" fontId="13" fillId="39" borderId="0" xfId="59" applyFont="1" applyFill="1" applyBorder="1" applyAlignment="1">
      <alignment horizontal="center" vertical="center" wrapText="1"/>
    </xf>
    <xf numFmtId="184" fontId="12" fillId="39" borderId="0" xfId="59" applyNumberFormat="1" applyFont="1" applyFill="1" applyBorder="1" applyAlignment="1">
      <alignment horizontal="center" vertical="center" wrapText="1"/>
    </xf>
    <xf numFmtId="171" fontId="12" fillId="39" borderId="0" xfId="59" applyFont="1" applyFill="1" applyBorder="1" applyAlignment="1">
      <alignment horizontal="center" vertical="center" wrapText="1"/>
    </xf>
    <xf numFmtId="186" fontId="13" fillId="39" borderId="0" xfId="59" applyNumberFormat="1" applyFont="1" applyFill="1" applyBorder="1" applyAlignment="1">
      <alignment/>
    </xf>
    <xf numFmtId="2" fontId="0" fillId="40" borderId="44" xfId="0" applyNumberFormat="1" applyFont="1" applyFill="1" applyBorder="1" applyAlignment="1">
      <alignment/>
    </xf>
    <xf numFmtId="0" fontId="5" fillId="0" borderId="14" xfId="84" applyFont="1" applyFill="1" applyBorder="1" applyAlignment="1" applyProtection="1">
      <alignment/>
      <protection hidden="1"/>
    </xf>
    <xf numFmtId="0" fontId="1" fillId="33" borderId="12" xfId="84" applyFont="1" applyFill="1" applyBorder="1" applyAlignment="1" applyProtection="1">
      <alignment/>
      <protection hidden="1"/>
    </xf>
    <xf numFmtId="0" fontId="1" fillId="33" borderId="10" xfId="84" applyFont="1" applyFill="1" applyBorder="1" applyAlignment="1" applyProtection="1">
      <alignment/>
      <protection hidden="1"/>
    </xf>
    <xf numFmtId="186" fontId="0" fillId="40" borderId="0" xfId="0" applyNumberFormat="1" applyFont="1" applyFill="1" applyBorder="1" applyAlignment="1">
      <alignment/>
    </xf>
    <xf numFmtId="2" fontId="0" fillId="40" borderId="43" xfId="0" applyNumberFormat="1" applyFont="1" applyFill="1" applyBorder="1" applyAlignment="1">
      <alignment/>
    </xf>
    <xf numFmtId="0" fontId="0" fillId="0" borderId="0" xfId="84" applyFont="1" applyFill="1" applyBorder="1" applyAlignment="1" applyProtection="1">
      <alignment/>
      <protection hidden="1"/>
    </xf>
    <xf numFmtId="0" fontId="61" fillId="39" borderId="35" xfId="99" applyFont="1" applyFill="1" applyBorder="1" applyAlignment="1">
      <alignment horizontal="center" wrapText="1"/>
      <protection/>
    </xf>
    <xf numFmtId="171" fontId="1" fillId="0" borderId="45" xfId="126" applyNumberFormat="1" applyFont="1" applyFill="1" applyBorder="1" applyAlignment="1" applyProtection="1">
      <alignment/>
      <protection hidden="1"/>
    </xf>
    <xf numFmtId="171" fontId="1" fillId="0" borderId="46" xfId="126" applyNumberFormat="1" applyFont="1" applyFill="1" applyBorder="1" applyAlignment="1" applyProtection="1">
      <alignment/>
      <protection hidden="1"/>
    </xf>
    <xf numFmtId="171" fontId="1" fillId="0" borderId="45" xfId="125" applyNumberFormat="1" applyFont="1" applyFill="1" applyBorder="1" applyAlignment="1" applyProtection="1">
      <alignment/>
      <protection hidden="1"/>
    </xf>
    <xf numFmtId="171" fontId="1" fillId="0" borderId="46" xfId="125" applyNumberFormat="1" applyFont="1" applyFill="1" applyBorder="1" applyAlignment="1" applyProtection="1">
      <alignment/>
      <protection hidden="1"/>
    </xf>
    <xf numFmtId="0" fontId="0" fillId="0" borderId="12" xfId="84" applyFont="1" applyFill="1" applyBorder="1" applyAlignment="1" applyProtection="1">
      <alignment/>
      <protection hidden="1"/>
    </xf>
    <xf numFmtId="181" fontId="1" fillId="36" borderId="13" xfId="84" applyNumberFormat="1" applyFont="1" applyFill="1" applyBorder="1" applyAlignment="1" applyProtection="1">
      <alignment horizontal="right"/>
      <protection hidden="1"/>
    </xf>
    <xf numFmtId="0" fontId="0" fillId="34" borderId="13" xfId="84" applyFont="1" applyFill="1" applyBorder="1" applyAlignment="1" applyProtection="1">
      <alignment/>
      <protection hidden="1"/>
    </xf>
    <xf numFmtId="171" fontId="1" fillId="0" borderId="45" xfId="84" applyNumberFormat="1" applyFont="1" applyFill="1" applyBorder="1" applyAlignment="1" applyProtection="1">
      <alignment/>
      <protection hidden="1"/>
    </xf>
    <xf numFmtId="171" fontId="1" fillId="0" borderId="46" xfId="84" applyNumberFormat="1" applyFont="1" applyFill="1" applyBorder="1" applyAlignment="1" applyProtection="1">
      <alignment/>
      <protection hidden="1"/>
    </xf>
    <xf numFmtId="171" fontId="1" fillId="35" borderId="13" xfId="84" applyNumberFormat="1" applyFont="1" applyFill="1" applyBorder="1" applyAlignment="1" applyProtection="1">
      <alignment/>
      <protection hidden="1"/>
    </xf>
    <xf numFmtId="171" fontId="1" fillId="36" borderId="16" xfId="84" applyNumberFormat="1" applyFont="1" applyFill="1" applyBorder="1" applyAlignment="1" applyProtection="1">
      <alignment/>
      <protection hidden="1"/>
    </xf>
    <xf numFmtId="171" fontId="1" fillId="34" borderId="13" xfId="84" applyNumberFormat="1" applyFont="1" applyFill="1" applyBorder="1" applyAlignment="1" applyProtection="1">
      <alignment/>
      <protection hidden="1"/>
    </xf>
    <xf numFmtId="171" fontId="1" fillId="0" borderId="16" xfId="84" applyNumberFormat="1" applyFont="1" applyFill="1" applyBorder="1" applyAlignment="1" applyProtection="1">
      <alignment/>
      <protection hidden="1"/>
    </xf>
    <xf numFmtId="171" fontId="1" fillId="35" borderId="13" xfId="84" applyNumberFormat="1" applyFont="1" applyFill="1" applyBorder="1" applyAlignment="1" applyProtection="1">
      <alignment horizontal="right"/>
      <protection hidden="1"/>
    </xf>
    <xf numFmtId="195" fontId="1" fillId="36" borderId="13" xfId="84" applyNumberFormat="1" applyFont="1" applyFill="1" applyBorder="1" applyAlignment="1" applyProtection="1">
      <alignment/>
      <protection hidden="1"/>
    </xf>
    <xf numFmtId="0" fontId="0" fillId="0" borderId="12" xfId="84" applyFont="1" applyFill="1" applyBorder="1" applyAlignment="1" applyProtection="1">
      <alignment horizontal="centerContinuous"/>
      <protection hidden="1"/>
    </xf>
    <xf numFmtId="0" fontId="1" fillId="34" borderId="12" xfId="84" applyFont="1" applyFill="1" applyBorder="1" applyAlignment="1" applyProtection="1">
      <alignment horizontal="left" vertical="center"/>
      <protection hidden="1"/>
    </xf>
    <xf numFmtId="0" fontId="1" fillId="34" borderId="12" xfId="84" applyFont="1" applyFill="1" applyBorder="1" applyAlignment="1" applyProtection="1">
      <alignment vertical="center" wrapText="1"/>
      <protection hidden="1"/>
    </xf>
    <xf numFmtId="0" fontId="0" fillId="34" borderId="12" xfId="84" applyFont="1" applyFill="1" applyBorder="1" applyAlignment="1" applyProtection="1">
      <alignment vertical="center"/>
      <protection hidden="1"/>
    </xf>
    <xf numFmtId="0" fontId="0" fillId="0" borderId="0" xfId="84" applyFont="1" applyFill="1" applyAlignment="1" applyProtection="1">
      <alignment/>
      <protection hidden="1"/>
    </xf>
    <xf numFmtId="0" fontId="1" fillId="0" borderId="25" xfId="84" applyFont="1" applyFill="1" applyBorder="1" applyAlignment="1" applyProtection="1">
      <alignment horizontal="left"/>
      <protection locked="0"/>
    </xf>
    <xf numFmtId="0" fontId="1" fillId="0" borderId="26" xfId="84" applyFont="1" applyFill="1" applyBorder="1" applyAlignment="1" applyProtection="1">
      <alignment horizontal="left"/>
      <protection hidden="1"/>
    </xf>
    <xf numFmtId="171" fontId="1" fillId="0" borderId="26" xfId="84" applyNumberFormat="1" applyFont="1" applyFill="1" applyBorder="1" applyAlignment="1" applyProtection="1">
      <alignment/>
      <protection hidden="1"/>
    </xf>
    <xf numFmtId="10" fontId="2" fillId="0" borderId="26" xfId="84" applyNumberFormat="1" applyFont="1" applyFill="1" applyBorder="1" applyAlignment="1" applyProtection="1">
      <alignment horizontal="center"/>
      <protection locked="0"/>
    </xf>
    <xf numFmtId="171" fontId="1" fillId="0" borderId="27" xfId="84" applyNumberFormat="1" applyFont="1" applyFill="1" applyBorder="1" applyAlignment="1" applyProtection="1">
      <alignment/>
      <protection hidden="1"/>
    </xf>
    <xf numFmtId="0" fontId="1" fillId="0" borderId="47" xfId="84" applyFont="1" applyFill="1" applyBorder="1" applyAlignment="1" applyProtection="1">
      <alignment horizontal="left"/>
      <protection locked="0"/>
    </xf>
    <xf numFmtId="0" fontId="1" fillId="0" borderId="48" xfId="84" applyFont="1" applyFill="1" applyBorder="1" applyAlignment="1" applyProtection="1">
      <alignment horizontal="left"/>
      <protection hidden="1"/>
    </xf>
    <xf numFmtId="171" fontId="1" fillId="0" borderId="48" xfId="84" applyNumberFormat="1" applyFont="1" applyFill="1" applyBorder="1" applyAlignment="1" applyProtection="1">
      <alignment/>
      <protection hidden="1"/>
    </xf>
    <xf numFmtId="10" fontId="2" fillId="0" borderId="48" xfId="84" applyNumberFormat="1" applyFont="1" applyFill="1" applyBorder="1" applyAlignment="1" applyProtection="1">
      <alignment horizontal="center"/>
      <protection locked="0"/>
    </xf>
    <xf numFmtId="171" fontId="1" fillId="0" borderId="49" xfId="84" applyNumberFormat="1" applyFont="1" applyFill="1" applyBorder="1" applyAlignment="1" applyProtection="1">
      <alignment/>
      <protection hidden="1"/>
    </xf>
    <xf numFmtId="171" fontId="1" fillId="34" borderId="10" xfId="84" applyNumberFormat="1" applyFont="1" applyFill="1" applyBorder="1" applyAlignment="1" applyProtection="1">
      <alignment/>
      <protection hidden="1"/>
    </xf>
    <xf numFmtId="0" fontId="1" fillId="34" borderId="10" xfId="84" applyFont="1" applyFill="1" applyBorder="1" applyAlignment="1" applyProtection="1">
      <alignment/>
      <protection hidden="1"/>
    </xf>
    <xf numFmtId="0" fontId="0" fillId="34" borderId="10" xfId="84" applyFont="1" applyFill="1" applyBorder="1" applyAlignment="1" applyProtection="1">
      <alignment/>
      <protection hidden="1"/>
    </xf>
    <xf numFmtId="0" fontId="66" fillId="40" borderId="40" xfId="0" applyFont="1" applyFill="1" applyBorder="1" applyAlignment="1">
      <alignment/>
    </xf>
    <xf numFmtId="0" fontId="66" fillId="40" borderId="0" xfId="0" applyFont="1" applyFill="1" applyBorder="1" applyAlignment="1">
      <alignment/>
    </xf>
    <xf numFmtId="0" fontId="66" fillId="0" borderId="0" xfId="0" applyFont="1" applyAlignment="1">
      <alignment/>
    </xf>
    <xf numFmtId="0" fontId="12" fillId="41" borderId="38" xfId="0" applyFont="1" applyFill="1" applyBorder="1" applyAlignment="1">
      <alignment/>
    </xf>
    <xf numFmtId="0" fontId="0" fillId="40" borderId="0" xfId="0" applyFont="1" applyFill="1" applyBorder="1" applyAlignment="1">
      <alignment/>
    </xf>
    <xf numFmtId="171" fontId="0" fillId="41" borderId="0" xfId="0" applyNumberFormat="1" applyFont="1" applyFill="1" applyBorder="1" applyAlignment="1">
      <alignment/>
    </xf>
    <xf numFmtId="186" fontId="0" fillId="41" borderId="0" xfId="0" applyNumberFormat="1" applyFont="1" applyFill="1" applyBorder="1" applyAlignment="1">
      <alignment/>
    </xf>
    <xf numFmtId="184" fontId="12" fillId="39" borderId="35" xfId="0" applyNumberFormat="1" applyFont="1" applyFill="1" applyBorder="1" applyAlignment="1">
      <alignment/>
    </xf>
    <xf numFmtId="184" fontId="12" fillId="39" borderId="40" xfId="99" applyNumberFormat="1" applyFont="1" applyFill="1" applyBorder="1">
      <alignment/>
      <protection/>
    </xf>
    <xf numFmtId="0" fontId="12" fillId="39" borderId="50" xfId="0" applyFont="1" applyFill="1" applyBorder="1" applyAlignment="1">
      <alignment/>
    </xf>
    <xf numFmtId="0" fontId="12" fillId="39" borderId="38" xfId="0" applyFont="1" applyFill="1" applyBorder="1" applyAlignment="1">
      <alignment/>
    </xf>
    <xf numFmtId="0" fontId="0" fillId="0" borderId="0" xfId="0" applyFont="1" applyAlignment="1">
      <alignment/>
    </xf>
    <xf numFmtId="0" fontId="12" fillId="39" borderId="0" xfId="0" applyFont="1" applyFill="1" applyBorder="1" applyAlignment="1">
      <alignment/>
    </xf>
    <xf numFmtId="0" fontId="66" fillId="0" borderId="0" xfId="84" applyFont="1" applyFill="1" applyBorder="1" applyAlignment="1" applyProtection="1">
      <alignment/>
      <protection hidden="1"/>
    </xf>
    <xf numFmtId="179" fontId="63" fillId="0" borderId="0" xfId="84" applyNumberFormat="1" applyFont="1" applyBorder="1" applyAlignment="1" applyProtection="1">
      <alignment/>
      <protection hidden="1"/>
    </xf>
    <xf numFmtId="171" fontId="63" fillId="35" borderId="13" xfId="84" applyNumberFormat="1" applyFont="1" applyFill="1" applyBorder="1" applyAlignment="1" applyProtection="1">
      <alignment/>
      <protection hidden="1"/>
    </xf>
    <xf numFmtId="171" fontId="12" fillId="39" borderId="38" xfId="59" applyFont="1" applyFill="1" applyBorder="1" applyAlignment="1">
      <alignment/>
    </xf>
    <xf numFmtId="171" fontId="13" fillId="39" borderId="0" xfId="59" applyFont="1" applyFill="1" applyBorder="1" applyAlignment="1">
      <alignment horizontal="center" vertical="center" wrapText="1"/>
    </xf>
    <xf numFmtId="184" fontId="12" fillId="39" borderId="0" xfId="59" applyNumberFormat="1" applyFont="1" applyFill="1" applyBorder="1" applyAlignment="1">
      <alignment horizontal="center" vertical="center" wrapText="1"/>
    </xf>
    <xf numFmtId="186" fontId="13" fillId="39" borderId="0" xfId="59" applyNumberFormat="1" applyFont="1" applyFill="1" applyBorder="1" applyAlignment="1">
      <alignment/>
    </xf>
    <xf numFmtId="186" fontId="13" fillId="39" borderId="43" xfId="59" applyNumberFormat="1" applyFont="1" applyFill="1" applyBorder="1" applyAlignment="1">
      <alignment/>
    </xf>
    <xf numFmtId="186" fontId="12" fillId="39" borderId="0" xfId="59" applyNumberFormat="1" applyFont="1" applyFill="1" applyBorder="1" applyAlignment="1">
      <alignment/>
    </xf>
    <xf numFmtId="186" fontId="12" fillId="39" borderId="43" xfId="59" applyNumberFormat="1" applyFont="1" applyFill="1" applyBorder="1" applyAlignment="1">
      <alignment/>
    </xf>
    <xf numFmtId="186" fontId="12" fillId="39" borderId="51" xfId="59" applyNumberFormat="1" applyFont="1" applyFill="1" applyBorder="1" applyAlignment="1">
      <alignment/>
    </xf>
    <xf numFmtId="0" fontId="0" fillId="40" borderId="39" xfId="0" applyFont="1" applyFill="1" applyBorder="1" applyAlignment="1">
      <alignment/>
    </xf>
    <xf numFmtId="0" fontId="12" fillId="40" borderId="41" xfId="0" applyFont="1" applyFill="1" applyBorder="1" applyAlignment="1">
      <alignment/>
    </xf>
    <xf numFmtId="171" fontId="12" fillId="41" borderId="38" xfId="59" applyNumberFormat="1" applyFont="1" applyFill="1" applyBorder="1" applyAlignment="1">
      <alignment/>
    </xf>
    <xf numFmtId="171" fontId="13" fillId="40" borderId="38" xfId="59" applyNumberFormat="1" applyFont="1" applyFill="1" applyBorder="1" applyAlignment="1">
      <alignment horizontal="left"/>
    </xf>
    <xf numFmtId="0" fontId="0" fillId="39" borderId="0" xfId="117" applyFill="1">
      <alignment/>
      <protection/>
    </xf>
    <xf numFmtId="0" fontId="4" fillId="39" borderId="0" xfId="117" applyFont="1" applyFill="1">
      <alignment/>
      <protection/>
    </xf>
    <xf numFmtId="0" fontId="0" fillId="39" borderId="0" xfId="84" applyFont="1" applyFill="1" applyBorder="1">
      <alignment/>
      <protection/>
    </xf>
    <xf numFmtId="182" fontId="0" fillId="39" borderId="0" xfId="84" applyNumberFormat="1" applyFont="1" applyFill="1" applyBorder="1" applyAlignment="1">
      <alignment horizontal="center"/>
      <protection/>
    </xf>
    <xf numFmtId="184" fontId="65" fillId="39" borderId="0" xfId="84" applyNumberFormat="1" applyFont="1" applyFill="1" applyBorder="1" applyAlignment="1" applyProtection="1">
      <alignment horizontal="center"/>
      <protection locked="0"/>
    </xf>
    <xf numFmtId="0" fontId="61" fillId="39" borderId="0" xfId="84" applyFont="1" applyFill="1" applyBorder="1">
      <alignment/>
      <protection/>
    </xf>
    <xf numFmtId="0" fontId="67" fillId="39" borderId="0" xfId="117" applyFont="1" applyFill="1" applyBorder="1">
      <alignment/>
      <protection/>
    </xf>
    <xf numFmtId="0" fontId="0" fillId="39" borderId="0" xfId="117" applyFill="1" applyBorder="1">
      <alignment/>
      <protection/>
    </xf>
    <xf numFmtId="0" fontId="0" fillId="39" borderId="0" xfId="84" applyFill="1" applyBorder="1">
      <alignment/>
      <protection/>
    </xf>
    <xf numFmtId="15" fontId="0" fillId="39" borderId="0" xfId="84" applyNumberFormat="1" applyFill="1" applyBorder="1">
      <alignment/>
      <protection/>
    </xf>
    <xf numFmtId="0" fontId="0" fillId="39" borderId="0" xfId="117" applyFill="1" applyBorder="1" applyProtection="1">
      <alignment/>
      <protection locked="0"/>
    </xf>
    <xf numFmtId="14" fontId="1" fillId="39" borderId="0" xfId="117" applyNumberFormat="1" applyFont="1" applyFill="1" applyBorder="1">
      <alignment/>
      <protection/>
    </xf>
    <xf numFmtId="171" fontId="0" fillId="39" borderId="0" xfId="117" applyNumberFormat="1" applyFill="1" applyBorder="1" applyAlignment="1">
      <alignment horizontal="center"/>
      <protection/>
    </xf>
    <xf numFmtId="171" fontId="1" fillId="39" borderId="0" xfId="117" applyNumberFormat="1" applyFont="1" applyFill="1" applyBorder="1" applyAlignment="1">
      <alignment horizontal="center"/>
      <protection/>
    </xf>
    <xf numFmtId="0" fontId="1" fillId="39" borderId="0" xfId="117" applyFont="1" applyFill="1" applyBorder="1" applyAlignment="1">
      <alignment horizontal="left" vertical="center" wrapText="1"/>
      <protection/>
    </xf>
    <xf numFmtId="171" fontId="0" fillId="39" borderId="0" xfId="117" applyNumberFormat="1" applyFill="1" applyBorder="1" applyAlignment="1">
      <alignment horizontal="center" vertical="center"/>
      <protection/>
    </xf>
    <xf numFmtId="0" fontId="1" fillId="39" borderId="0" xfId="117" applyFont="1" applyFill="1" applyBorder="1" applyAlignment="1">
      <alignment horizontal="center" vertical="center"/>
      <protection/>
    </xf>
    <xf numFmtId="0" fontId="0" fillId="39" borderId="0" xfId="117" applyFill="1" applyBorder="1" applyAlignment="1">
      <alignment horizontal="center" vertical="center"/>
      <protection/>
    </xf>
    <xf numFmtId="2" fontId="0" fillId="39" borderId="0" xfId="117" applyNumberFormat="1" applyFill="1" applyBorder="1" applyAlignment="1">
      <alignment horizontal="center" vertical="center"/>
      <protection/>
    </xf>
    <xf numFmtId="171" fontId="0" fillId="39" borderId="0" xfId="117" applyNumberFormat="1" applyFill="1" applyBorder="1" applyAlignment="1">
      <alignment horizontal="center" vertical="center" wrapText="1"/>
      <protection/>
    </xf>
    <xf numFmtId="0" fontId="0" fillId="39" borderId="0" xfId="117" applyFont="1" applyFill="1" applyBorder="1" applyAlignment="1">
      <alignment horizontal="left" vertical="center"/>
      <protection/>
    </xf>
    <xf numFmtId="0" fontId="1" fillId="39" borderId="0" xfId="117" applyFont="1" applyFill="1" applyBorder="1" applyAlignment="1">
      <alignment horizontal="left" vertical="center"/>
      <protection/>
    </xf>
    <xf numFmtId="0" fontId="0" fillId="39" borderId="0" xfId="117" applyFont="1" applyFill="1" applyBorder="1" applyAlignment="1">
      <alignment horizontal="left" vertical="center" wrapText="1"/>
      <protection/>
    </xf>
    <xf numFmtId="171" fontId="0" fillId="39" borderId="0" xfId="117" applyNumberFormat="1" applyFill="1" applyBorder="1">
      <alignment/>
      <protection/>
    </xf>
    <xf numFmtId="0" fontId="45" fillId="39" borderId="0" xfId="0" applyFont="1" applyFill="1" applyBorder="1" applyAlignment="1">
      <alignment/>
    </xf>
    <xf numFmtId="0" fontId="45" fillId="39" borderId="0" xfId="84" applyFont="1" applyFill="1" applyBorder="1">
      <alignment/>
      <protection/>
    </xf>
    <xf numFmtId="0" fontId="61" fillId="39" borderId="40" xfId="84" applyFont="1" applyFill="1" applyBorder="1">
      <alignment/>
      <protection/>
    </xf>
    <xf numFmtId="0" fontId="61" fillId="39" borderId="40" xfId="84" applyFont="1" applyFill="1" applyBorder="1" applyAlignment="1">
      <alignment horizontal="center"/>
      <protection/>
    </xf>
    <xf numFmtId="171" fontId="0" fillId="39" borderId="0" xfId="117" applyNumberFormat="1" applyFill="1" applyBorder="1" applyAlignment="1">
      <alignment horizontal="right"/>
      <protection/>
    </xf>
    <xf numFmtId="171" fontId="63" fillId="39" borderId="0" xfId="117" applyNumberFormat="1" applyFont="1" applyFill="1" applyBorder="1" applyAlignment="1" applyProtection="1">
      <alignment horizontal="right"/>
      <protection locked="0"/>
    </xf>
    <xf numFmtId="185" fontId="0" fillId="39" borderId="0" xfId="117" applyNumberFormat="1" applyFill="1" applyBorder="1" applyAlignment="1">
      <alignment horizontal="right"/>
      <protection/>
    </xf>
    <xf numFmtId="0" fontId="0" fillId="39" borderId="0" xfId="117" applyFill="1" applyBorder="1" applyAlignment="1">
      <alignment horizontal="right"/>
      <protection/>
    </xf>
    <xf numFmtId="0" fontId="0" fillId="39" borderId="0" xfId="0" applyFill="1" applyAlignment="1">
      <alignment/>
    </xf>
    <xf numFmtId="0" fontId="0" fillId="39" borderId="0" xfId="0" applyFont="1" applyFill="1" applyAlignment="1">
      <alignment/>
    </xf>
    <xf numFmtId="0" fontId="66" fillId="39" borderId="0" xfId="0" applyFont="1" applyFill="1" applyAlignment="1">
      <alignment/>
    </xf>
    <xf numFmtId="185" fontId="1" fillId="39" borderId="35" xfId="117" applyNumberFormat="1" applyFont="1" applyFill="1" applyBorder="1" applyAlignment="1">
      <alignment horizontal="right"/>
      <protection/>
    </xf>
    <xf numFmtId="0" fontId="1" fillId="39" borderId="52" xfId="84" applyFont="1" applyFill="1" applyBorder="1" applyAlignment="1" applyProtection="1">
      <alignment horizontal="left"/>
      <protection hidden="1"/>
    </xf>
    <xf numFmtId="0" fontId="1" fillId="39" borderId="52" xfId="0" applyFont="1" applyFill="1" applyBorder="1" applyAlignment="1" applyProtection="1">
      <alignment horizontal="left" wrapText="1"/>
      <protection hidden="1"/>
    </xf>
    <xf numFmtId="0" fontId="1" fillId="0" borderId="21" xfId="117" applyFont="1" applyBorder="1" applyAlignment="1">
      <alignment horizontal="center" vertical="center" textRotation="90" wrapText="1"/>
      <protection/>
    </xf>
    <xf numFmtId="0" fontId="1" fillId="0" borderId="16" xfId="117" applyFont="1" applyBorder="1" applyAlignment="1">
      <alignment horizontal="center" vertical="center" textRotation="90" wrapText="1"/>
      <protection/>
    </xf>
    <xf numFmtId="0" fontId="1" fillId="0" borderId="19" xfId="117" applyFont="1" applyBorder="1" applyAlignment="1">
      <alignment horizontal="center" vertical="center" textRotation="90" wrapText="1"/>
      <protection/>
    </xf>
    <xf numFmtId="0" fontId="1" fillId="0" borderId="20" xfId="117" applyFont="1" applyBorder="1" applyAlignment="1">
      <alignment vertical="center" wrapText="1"/>
      <protection/>
    </xf>
    <xf numFmtId="0" fontId="1" fillId="0" borderId="12" xfId="117" applyFont="1" applyBorder="1" applyAlignment="1">
      <alignment vertical="center" wrapText="1"/>
      <protection/>
    </xf>
    <xf numFmtId="0" fontId="1" fillId="0" borderId="20" xfId="117" applyFont="1" applyBorder="1" applyAlignment="1">
      <alignment horizontal="center" vertical="center"/>
      <protection/>
    </xf>
    <xf numFmtId="0" fontId="1" fillId="0" borderId="12" xfId="117" applyFont="1" applyBorder="1" applyAlignment="1">
      <alignment horizontal="center" vertical="center"/>
      <protection/>
    </xf>
    <xf numFmtId="0" fontId="1" fillId="39" borderId="0" xfId="84" applyFont="1" applyFill="1" applyBorder="1" applyAlignment="1" applyProtection="1">
      <alignment horizontal="center"/>
      <protection hidden="1"/>
    </xf>
    <xf numFmtId="0" fontId="1" fillId="39" borderId="0" xfId="0" applyFont="1" applyFill="1" applyBorder="1" applyAlignment="1" applyProtection="1">
      <alignment horizontal="center" wrapText="1"/>
      <protection hidden="1"/>
    </xf>
    <xf numFmtId="0" fontId="1" fillId="0" borderId="10" xfId="117" applyFont="1" applyBorder="1" applyAlignment="1">
      <alignment horizontal="center" vertical="center"/>
      <protection/>
    </xf>
    <xf numFmtId="0" fontId="1" fillId="34" borderId="20" xfId="84" applyFont="1" applyFill="1" applyBorder="1" applyAlignment="1" applyProtection="1">
      <alignment horizontal="left" wrapText="1" readingOrder="1"/>
      <protection hidden="1"/>
    </xf>
    <xf numFmtId="0" fontId="1" fillId="34" borderId="10" xfId="84" applyFont="1" applyFill="1" applyBorder="1" applyAlignment="1" applyProtection="1">
      <alignment horizontal="left" wrapText="1" readingOrder="1"/>
      <protection hidden="1"/>
    </xf>
    <xf numFmtId="0" fontId="1" fillId="34" borderId="12" xfId="84" applyFont="1" applyFill="1" applyBorder="1" applyAlignment="1" applyProtection="1">
      <alignment horizontal="left" wrapText="1" readingOrder="1"/>
      <protection hidden="1"/>
    </xf>
    <xf numFmtId="0" fontId="1" fillId="35" borderId="20" xfId="84" applyFont="1" applyFill="1" applyBorder="1" applyAlignment="1" applyProtection="1">
      <alignment horizontal="left" wrapText="1"/>
      <protection hidden="1"/>
    </xf>
    <xf numFmtId="0" fontId="1" fillId="35" borderId="10" xfId="84" applyFont="1" applyFill="1" applyBorder="1" applyAlignment="1" applyProtection="1">
      <alignment horizontal="left" wrapText="1"/>
      <protection hidden="1"/>
    </xf>
    <xf numFmtId="0" fontId="1" fillId="35" borderId="12" xfId="84" applyFont="1" applyFill="1" applyBorder="1" applyAlignment="1" applyProtection="1">
      <alignment horizontal="left" wrapText="1"/>
      <protection hidden="1"/>
    </xf>
    <xf numFmtId="0" fontId="62" fillId="0" borderId="0" xfId="99" applyFont="1" applyAlignment="1">
      <alignment horizontal="center"/>
      <protection/>
    </xf>
    <xf numFmtId="0" fontId="0" fillId="0" borderId="32" xfId="0" applyFont="1" applyFill="1" applyBorder="1" applyAlignment="1" applyProtection="1">
      <alignment horizontal="left" vertical="center"/>
      <protection hidden="1"/>
    </xf>
    <xf numFmtId="0" fontId="0" fillId="0" borderId="17" xfId="0" applyFont="1" applyFill="1" applyBorder="1" applyAlignment="1" applyProtection="1">
      <alignment horizontal="left" vertical="center"/>
      <protection hidden="1"/>
    </xf>
    <xf numFmtId="0" fontId="0" fillId="0" borderId="18" xfId="0" applyFont="1" applyFill="1" applyBorder="1" applyAlignment="1" applyProtection="1">
      <alignment horizontal="left" vertical="center"/>
      <protection hidden="1"/>
    </xf>
    <xf numFmtId="0" fontId="0" fillId="0" borderId="31"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33" xfId="0" applyFont="1" applyFill="1" applyBorder="1" applyAlignment="1" applyProtection="1">
      <alignment horizontal="left" vertical="center"/>
      <protection hidden="1"/>
    </xf>
    <xf numFmtId="0" fontId="0" fillId="0" borderId="15" xfId="0" applyFont="1" applyFill="1" applyBorder="1" applyAlignment="1" applyProtection="1">
      <alignment horizontal="left" vertical="center"/>
      <protection hidden="1"/>
    </xf>
    <xf numFmtId="0" fontId="0" fillId="0"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11" fillId="33" borderId="20" xfId="84" applyFont="1" applyFill="1" applyBorder="1" applyAlignment="1" applyProtection="1">
      <alignment horizontal="left" wrapText="1"/>
      <protection hidden="1"/>
    </xf>
    <xf numFmtId="0" fontId="0" fillId="0" borderId="10" xfId="84" applyBorder="1" applyAlignment="1">
      <alignment wrapText="1"/>
      <protection/>
    </xf>
    <xf numFmtId="0" fontId="11" fillId="33" borderId="10" xfId="84" applyFont="1" applyFill="1" applyBorder="1" applyAlignment="1" applyProtection="1">
      <alignment wrapText="1"/>
      <protection hidden="1"/>
    </xf>
    <xf numFmtId="0" fontId="0" fillId="0" borderId="10" xfId="84" applyBorder="1" applyAlignment="1">
      <alignment horizontal="left" wrapText="1"/>
      <protection/>
    </xf>
    <xf numFmtId="0" fontId="0" fillId="0" borderId="12" xfId="84" applyBorder="1" applyAlignment="1">
      <alignment horizontal="left" wrapText="1"/>
      <protection/>
    </xf>
    <xf numFmtId="0" fontId="1" fillId="34" borderId="20" xfId="84" applyFont="1" applyFill="1" applyBorder="1" applyAlignment="1" applyProtection="1">
      <alignment horizontal="left" wrapText="1"/>
      <protection hidden="1"/>
    </xf>
    <xf numFmtId="0" fontId="1" fillId="34" borderId="10" xfId="84" applyFont="1" applyFill="1" applyBorder="1" applyAlignment="1" applyProtection="1">
      <alignment horizontal="left" wrapText="1"/>
      <protection hidden="1"/>
    </xf>
    <xf numFmtId="0" fontId="1" fillId="34" borderId="12" xfId="84" applyFont="1" applyFill="1" applyBorder="1" applyAlignment="1" applyProtection="1">
      <alignment horizontal="left" wrapText="1"/>
      <protection hidden="1"/>
    </xf>
    <xf numFmtId="0" fontId="0" fillId="39" borderId="38" xfId="0" applyFont="1" applyFill="1" applyBorder="1" applyAlignment="1">
      <alignment horizontal="left" vertical="center" wrapText="1"/>
    </xf>
    <xf numFmtId="0" fontId="0" fillId="39" borderId="0" xfId="0" applyFont="1" applyFill="1" applyBorder="1" applyAlignment="1">
      <alignment horizontal="left" vertical="center" wrapText="1"/>
    </xf>
    <xf numFmtId="179" fontId="1" fillId="35" borderId="20" xfId="84" applyNumberFormat="1" applyFont="1" applyFill="1" applyBorder="1" applyAlignment="1" applyProtection="1">
      <alignment horizontal="left" wrapText="1"/>
      <protection hidden="1"/>
    </xf>
    <xf numFmtId="179" fontId="1" fillId="35" borderId="10" xfId="84" applyNumberFormat="1" applyFont="1" applyFill="1" applyBorder="1" applyAlignment="1" applyProtection="1">
      <alignment horizontal="left" wrapText="1"/>
      <protection hidden="1"/>
    </xf>
    <xf numFmtId="179" fontId="1" fillId="35" borderId="12" xfId="84" applyNumberFormat="1" applyFont="1" applyFill="1" applyBorder="1" applyAlignment="1" applyProtection="1">
      <alignment horizontal="left" wrapText="1"/>
      <protection hidden="1"/>
    </xf>
    <xf numFmtId="0" fontId="0" fillId="0" borderId="10" xfId="84" applyFont="1" applyBorder="1" applyAlignment="1">
      <alignment horizontal="left" wrapText="1"/>
      <protection/>
    </xf>
    <xf numFmtId="0" fontId="0" fillId="0" borderId="12" xfId="84" applyFont="1" applyBorder="1" applyAlignment="1">
      <alignment horizontal="left" wrapText="1"/>
      <protection/>
    </xf>
  </cellXfs>
  <cellStyles count="1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3 3" xfId="50"/>
    <cellStyle name="Comma 3 3 2" xfId="51"/>
    <cellStyle name="Comma 3 4" xfId="52"/>
    <cellStyle name="Comma 4" xfId="53"/>
    <cellStyle name="Comma 4 2" xfId="54"/>
    <cellStyle name="Comma 5" xfId="55"/>
    <cellStyle name="Comma 5 2" xfId="56"/>
    <cellStyle name="Comma 5 3" xfId="57"/>
    <cellStyle name="Comma 5 3 2" xfId="58"/>
    <cellStyle name="Comma 6" xfId="59"/>
    <cellStyle name="Comma 6 2" xfId="60"/>
    <cellStyle name="Comma 6 3" xfId="61"/>
    <cellStyle name="Comma 7" xfId="62"/>
    <cellStyle name="Currency" xfId="63"/>
    <cellStyle name="Currency [0]" xfId="64"/>
    <cellStyle name="Currency 2" xfId="65"/>
    <cellStyle name="Currency 3"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2 2" xfId="76"/>
    <cellStyle name="Hyperlink 2 3" xfId="77"/>
    <cellStyle name="Hyperlink 3" xfId="78"/>
    <cellStyle name="Hyperlink 3 2" xfId="79"/>
    <cellStyle name="Input" xfId="80"/>
    <cellStyle name="Linked Cell" xfId="81"/>
    <cellStyle name="Neutral" xfId="82"/>
    <cellStyle name="Normal 2" xfId="83"/>
    <cellStyle name="Normal 2 2" xfId="84"/>
    <cellStyle name="Normal 2 2 2" xfId="85"/>
    <cellStyle name="Normal 2 2 2 2" xfId="86"/>
    <cellStyle name="Normal 2 2 2 3" xfId="87"/>
    <cellStyle name="Normal 2 2 3" xfId="88"/>
    <cellStyle name="Normal 2 2 4" xfId="89"/>
    <cellStyle name="Normal 2 2 5" xfId="90"/>
    <cellStyle name="Normal 2 3" xfId="91"/>
    <cellStyle name="Normal 2 3 2" xfId="92"/>
    <cellStyle name="Normal 2 3 3" xfId="93"/>
    <cellStyle name="Normal 2 4" xfId="94"/>
    <cellStyle name="Normal 2 5" xfId="95"/>
    <cellStyle name="Normal 2 6" xfId="96"/>
    <cellStyle name="Normal 3" xfId="97"/>
    <cellStyle name="Normal 3 2" xfId="98"/>
    <cellStyle name="Normal 3 2 2" xfId="99"/>
    <cellStyle name="Normal 3 2 3" xfId="100"/>
    <cellStyle name="Normal 3 2 4" xfId="101"/>
    <cellStyle name="Normal 3 2 4 2" xfId="102"/>
    <cellStyle name="Normal 3 2 4 3" xfId="103"/>
    <cellStyle name="Normal 3 2 5" xfId="104"/>
    <cellStyle name="Normal 3 3" xfId="105"/>
    <cellStyle name="Normal 3 4" xfId="106"/>
    <cellStyle name="Normal 3 5" xfId="107"/>
    <cellStyle name="Normal 4" xfId="108"/>
    <cellStyle name="Normal 4 2" xfId="109"/>
    <cellStyle name="Normal 4 2 2" xfId="110"/>
    <cellStyle name="Normal 4 2 3" xfId="111"/>
    <cellStyle name="Normal 4 3" xfId="112"/>
    <cellStyle name="Normal 5" xfId="113"/>
    <cellStyle name="Normal 5 2" xfId="114"/>
    <cellStyle name="Normal 5 3" xfId="115"/>
    <cellStyle name="Normal 5 4" xfId="116"/>
    <cellStyle name="Normal 6" xfId="117"/>
    <cellStyle name="Normal 6 2" xfId="118"/>
    <cellStyle name="Normal 6 3" xfId="119"/>
    <cellStyle name="Normal 6 3 2" xfId="120"/>
    <cellStyle name="Normal 6 3 3" xfId="121"/>
    <cellStyle name="Normal 7" xfId="122"/>
    <cellStyle name="Normal 7 2" xfId="123"/>
    <cellStyle name="Normal 8" xfId="124"/>
    <cellStyle name="Normal 9" xfId="125"/>
    <cellStyle name="Normal 9 2" xfId="126"/>
    <cellStyle name="Note" xfId="127"/>
    <cellStyle name="Output" xfId="128"/>
    <cellStyle name="Percent" xfId="129"/>
    <cellStyle name="Percent 10" xfId="130"/>
    <cellStyle name="Percent 10 2" xfId="131"/>
    <cellStyle name="Percent 10 3" xfId="132"/>
    <cellStyle name="Percent 10 4" xfId="133"/>
    <cellStyle name="Percent 2" xfId="134"/>
    <cellStyle name="Percent 2 2" xfId="135"/>
    <cellStyle name="Percent 2 3" xfId="136"/>
    <cellStyle name="Percent 2 3 2" xfId="137"/>
    <cellStyle name="Percent 2 3 3" xfId="138"/>
    <cellStyle name="Percent 2 3 4" xfId="139"/>
    <cellStyle name="Percent 2 4" xfId="140"/>
    <cellStyle name="Percent 2 5" xfId="141"/>
    <cellStyle name="Percent 3" xfId="142"/>
    <cellStyle name="Percent 3 2" xfId="143"/>
    <cellStyle name="Percent 4" xfId="144"/>
    <cellStyle name="Percent 4 2" xfId="145"/>
    <cellStyle name="Percent 5" xfId="146"/>
    <cellStyle name="Percent 5 2" xfId="147"/>
    <cellStyle name="Percent 5 2 2" xfId="148"/>
    <cellStyle name="Percent 5 2 3" xfId="149"/>
    <cellStyle name="Percent 5 2 3 2" xfId="150"/>
    <cellStyle name="Percent 5 3" xfId="151"/>
    <cellStyle name="Percent 5 3 2" xfId="152"/>
    <cellStyle name="Percent 6" xfId="153"/>
    <cellStyle name="Percent 6 2" xfId="154"/>
    <cellStyle name="Percent 6 3" xfId="155"/>
    <cellStyle name="Percent 7" xfId="156"/>
    <cellStyle name="Percent 7 2" xfId="157"/>
    <cellStyle name="Percent 7 3" xfId="158"/>
    <cellStyle name="Percent 7 4" xfId="159"/>
    <cellStyle name="Percent 7 4 2" xfId="160"/>
    <cellStyle name="Percent 7 5" xfId="161"/>
    <cellStyle name="Percent 7 5 2" xfId="162"/>
    <cellStyle name="Percent 8" xfId="163"/>
    <cellStyle name="Percent 8 2" xfId="164"/>
    <cellStyle name="Percent 8 3" xfId="165"/>
    <cellStyle name="Percent 8 3 2" xfId="166"/>
    <cellStyle name="Percent 9" xfId="167"/>
    <cellStyle name="Title" xfId="168"/>
    <cellStyle name="Total" xfId="169"/>
    <cellStyle name="Warning Text" xfId="170"/>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333333"/>
                </a:solidFill>
              </a:rPr>
              <a:t>Margin Comparison / Marge Vergelyking: Northern Cape Irrigation (R/ha)</a:t>
            </a:r>
          </a:p>
        </c:rich>
      </c:tx>
      <c:layout>
        <c:manualLayout>
          <c:xMode val="factor"/>
          <c:yMode val="factor"/>
          <c:x val="-0.0015"/>
          <c:y val="-0.01025"/>
        </c:manualLayout>
      </c:layout>
      <c:spPr>
        <a:noFill/>
        <a:ln w="3175">
          <a:noFill/>
        </a:ln>
      </c:spPr>
    </c:title>
    <c:plotArea>
      <c:layout>
        <c:manualLayout>
          <c:xMode val="edge"/>
          <c:yMode val="edge"/>
          <c:x val="0.0145"/>
          <c:y val="0.0995"/>
          <c:w val="0.92325"/>
          <c:h val="0.849"/>
        </c:manualLayout>
      </c:layout>
      <c:barChart>
        <c:barDir val="col"/>
        <c:grouping val="clustered"/>
        <c:varyColors val="0"/>
        <c:ser>
          <c:idx val="0"/>
          <c:order val="0"/>
          <c:tx>
            <c:strRef>
              <c:f>'Crop Comparison'!$A$34</c:f>
              <c:strCache>
                <c:ptCount val="1"/>
                <c:pt idx="0">
                  <c:v>3) GROSS MARGIN  (R/ha)</c:v>
                </c:pt>
              </c:strCache>
            </c:strRef>
          </c:tx>
          <c:spPr>
            <a:solidFill>
              <a:srgbClr val="FFFFFF"/>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100" b="1" i="0" u="none" baseline="0">
                      <a:solidFill>
                        <a:srgbClr val="000000"/>
                      </a:solidFill>
                    </a:defRPr>
                  </a:pPr>
                </a:p>
              </c:txPr>
              <c:numFmt formatCode="General" sourceLinked="1"/>
              <c:spPr>
                <a:no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noFill/>
              <a:ln w="3175">
                <a:solidFill>
                  <a:srgbClr val="666699"/>
                </a:solidFill>
              </a:ln>
              <a:effectLst>
                <a:outerShdw dist="35921" dir="2700000" algn="br">
                  <a:prstClr val="black"/>
                </a:outerShdw>
              </a:effectLst>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Comparison'!$B$2:$D$2</c:f>
              <c:strCache/>
            </c:strRef>
          </c:cat>
          <c:val>
            <c:numRef>
              <c:f>'Crop Comparison'!$B$34:$D$34</c:f>
              <c:numCache/>
            </c:numRef>
          </c:val>
        </c:ser>
        <c:ser>
          <c:idx val="1"/>
          <c:order val="1"/>
          <c:tx>
            <c:strRef>
              <c:f>'Crop Comparison'!$A$35</c:f>
              <c:strCache>
                <c:ptCount val="1"/>
                <c:pt idx="0">
                  <c:v>4) NETT MARGIN  (R/ha)</c:v>
                </c:pt>
              </c:strCache>
            </c:strRef>
          </c:tx>
          <c:spPr>
            <a:noFill/>
            <a:ln w="254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12700">
                <a:solidFill>
                  <a:srgbClr val="FF0000"/>
                </a:solid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'Crop Comparison'!$B$2:$D$2</c:f>
              <c:strCache/>
            </c:strRef>
          </c:cat>
          <c:val>
            <c:numRef>
              <c:f>'Crop Comparison'!$B$35:$D$35</c:f>
              <c:numCache/>
            </c:numRef>
          </c:val>
        </c:ser>
        <c:axId val="30913807"/>
        <c:axId val="9788808"/>
      </c:barChart>
      <c:catAx>
        <c:axId val="3091380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50" b="1" i="0" u="none" baseline="0">
                <a:solidFill>
                  <a:srgbClr val="333333"/>
                </a:solidFill>
              </a:defRPr>
            </a:pPr>
          </a:p>
        </c:txPr>
        <c:crossAx val="9788808"/>
        <c:crosses val="autoZero"/>
        <c:auto val="1"/>
        <c:lblOffset val="100"/>
        <c:tickLblSkip val="1"/>
        <c:noMultiLvlLbl val="0"/>
      </c:catAx>
      <c:valAx>
        <c:axId val="978880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0" i="0" u="none" baseline="0">
                <a:solidFill>
                  <a:srgbClr val="333333"/>
                </a:solidFill>
              </a:defRPr>
            </a:pPr>
          </a:p>
        </c:txPr>
        <c:crossAx val="30913807"/>
        <c:crossesAt val="1"/>
        <c:crossBetween val="between"/>
        <c:dispUnits/>
      </c:valAx>
      <c:spPr>
        <a:noFill/>
        <a:ln>
          <a:noFill/>
        </a:ln>
      </c:spPr>
    </c:plotArea>
    <c:legend>
      <c:legendPos val="b"/>
      <c:layout>
        <c:manualLayout>
          <c:xMode val="edge"/>
          <c:yMode val="edge"/>
          <c:x val="0.16175"/>
          <c:y val="0.90175"/>
          <c:w val="0.683"/>
          <c:h val="0.07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1162050</xdr:colOff>
      <xdr:row>3</xdr:row>
      <xdr:rowOff>161925</xdr:rowOff>
    </xdr:from>
    <xdr:to>
      <xdr:col>3</xdr:col>
      <xdr:colOff>133350</xdr:colOff>
      <xdr:row>7</xdr:row>
      <xdr:rowOff>66675</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4657725" y="1028700"/>
          <a:ext cx="4667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971550</xdr:colOff>
      <xdr:row>44</xdr:row>
      <xdr:rowOff>19050</xdr:rowOff>
    </xdr:to>
    <xdr:pic>
      <xdr:nvPicPr>
        <xdr:cNvPr id="1" name="Picture 3" descr="http://www.maizetrust.co.za/images/masthead.jpg"/>
        <xdr:cNvPicPr preferRelativeResize="1">
          <a:picLocks noChangeAspect="1"/>
        </xdr:cNvPicPr>
      </xdr:nvPicPr>
      <xdr:blipFill>
        <a:blip r:embed="rId1"/>
        <a:stretch>
          <a:fillRect/>
        </a:stretch>
      </xdr:blipFill>
      <xdr:spPr>
        <a:xfrm>
          <a:off x="0" y="7867650"/>
          <a:ext cx="971550" cy="676275"/>
        </a:xfrm>
        <a:prstGeom prst="rect">
          <a:avLst/>
        </a:prstGeom>
        <a:noFill/>
        <a:ln w="9525" cmpd="sng">
          <a:noFill/>
        </a:ln>
      </xdr:spPr>
    </xdr:pic>
    <xdr:clientData/>
  </xdr:twoCellAnchor>
  <xdr:twoCellAnchor editAs="oneCell">
    <xdr:from>
      <xdr:col>8</xdr:col>
      <xdr:colOff>171450</xdr:colOff>
      <xdr:row>0</xdr:row>
      <xdr:rowOff>57150</xdr:rowOff>
    </xdr:from>
    <xdr:to>
      <xdr:col>8</xdr:col>
      <xdr:colOff>676275</xdr:colOff>
      <xdr:row>1</xdr:row>
      <xdr:rowOff>171450</xdr:rowOff>
    </xdr:to>
    <xdr:pic>
      <xdr:nvPicPr>
        <xdr:cNvPr id="2" name="Picture 1" descr="L:\Bedryfsbediening\Templates\Graan SA - nuwe logo.jpg"/>
        <xdr:cNvPicPr preferRelativeResize="1">
          <a:picLocks noChangeAspect="1"/>
        </xdr:cNvPicPr>
      </xdr:nvPicPr>
      <xdr:blipFill>
        <a:blip r:embed="rId2"/>
        <a:stretch>
          <a:fillRect/>
        </a:stretch>
      </xdr:blipFill>
      <xdr:spPr>
        <a:xfrm>
          <a:off x="8143875" y="57150"/>
          <a:ext cx="50482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0</xdr:row>
      <xdr:rowOff>142875</xdr:rowOff>
    </xdr:from>
    <xdr:to>
      <xdr:col>8</xdr:col>
      <xdr:colOff>733425</xdr:colOff>
      <xdr:row>2</xdr:row>
      <xdr:rowOff>47625</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9791700" y="142875"/>
          <a:ext cx="5048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0</xdr:row>
      <xdr:rowOff>66675</xdr:rowOff>
    </xdr:from>
    <xdr:to>
      <xdr:col>8</xdr:col>
      <xdr:colOff>495300</xdr:colOff>
      <xdr:row>1</xdr:row>
      <xdr:rowOff>171450</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8810625" y="66675"/>
          <a:ext cx="5143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1</xdr:row>
      <xdr:rowOff>0</xdr:rowOff>
    </xdr:from>
    <xdr:to>
      <xdr:col>4</xdr:col>
      <xdr:colOff>581025</xdr:colOff>
      <xdr:row>3</xdr:row>
      <xdr:rowOff>152400</xdr:rowOff>
    </xdr:to>
    <xdr:pic>
      <xdr:nvPicPr>
        <xdr:cNvPr id="1" name="Picture 1" descr="L:\Bedryfsbediening\Templates\Graan SA - nuwe logo.jpg"/>
        <xdr:cNvPicPr preferRelativeResize="1">
          <a:picLocks noChangeAspect="1"/>
        </xdr:cNvPicPr>
      </xdr:nvPicPr>
      <xdr:blipFill>
        <a:blip r:embed="rId1"/>
        <a:stretch>
          <a:fillRect/>
        </a:stretch>
      </xdr:blipFill>
      <xdr:spPr>
        <a:xfrm>
          <a:off x="6191250" y="190500"/>
          <a:ext cx="504825" cy="723900"/>
        </a:xfrm>
        <a:prstGeom prst="rect">
          <a:avLst/>
        </a:prstGeom>
        <a:noFill/>
        <a:ln w="9525" cmpd="sng">
          <a:noFill/>
        </a:ln>
      </xdr:spPr>
    </xdr:pic>
    <xdr:clientData/>
  </xdr:twoCellAnchor>
  <xdr:twoCellAnchor>
    <xdr:from>
      <xdr:col>0</xdr:col>
      <xdr:colOff>0</xdr:colOff>
      <xdr:row>37</xdr:row>
      <xdr:rowOff>0</xdr:rowOff>
    </xdr:from>
    <xdr:to>
      <xdr:col>4</xdr:col>
      <xdr:colOff>38100</xdr:colOff>
      <xdr:row>55</xdr:row>
      <xdr:rowOff>66675</xdr:rowOff>
    </xdr:to>
    <xdr:graphicFrame>
      <xdr:nvGraphicFramePr>
        <xdr:cNvPr id="2" name="Chart 1"/>
        <xdr:cNvGraphicFramePr/>
      </xdr:nvGraphicFramePr>
      <xdr:xfrm>
        <a:off x="0" y="8229600"/>
        <a:ext cx="6153150" cy="2981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6"/>
  <sheetViews>
    <sheetView tabSelected="1" zoomScale="90" zoomScaleNormal="90" zoomScalePageLayoutView="0" workbookViewId="0" topLeftCell="A1">
      <selection activeCell="G10" sqref="G10"/>
    </sheetView>
  </sheetViews>
  <sheetFormatPr defaultColWidth="9.140625" defaultRowHeight="12.75"/>
  <cols>
    <col min="1" max="1" width="52.421875" style="217" customWidth="1"/>
    <col min="2" max="2" width="19.140625" style="217" bestFit="1" customWidth="1"/>
    <col min="3" max="3" width="3.28125" style="210" customWidth="1"/>
    <col min="4" max="4" width="23.7109375" style="39" customWidth="1"/>
    <col min="5" max="12" width="10.7109375" style="39" customWidth="1"/>
    <col min="13" max="15" width="9.140625" style="39" customWidth="1"/>
    <col min="16" max="16" width="22.7109375" style="39" customWidth="1"/>
    <col min="17" max="17" width="11.7109375" style="39" customWidth="1"/>
    <col min="18" max="26" width="9.421875" style="39" customWidth="1"/>
    <col min="27" max="16384" width="9.140625" style="39" customWidth="1"/>
  </cols>
  <sheetData>
    <row r="1" spans="1:14" s="211" customFormat="1" ht="28.5" customHeight="1">
      <c r="A1" s="216" t="s">
        <v>49</v>
      </c>
      <c r="B1" s="226" t="s">
        <v>113</v>
      </c>
      <c r="C1" s="217"/>
      <c r="D1" s="217"/>
      <c r="E1" s="217"/>
      <c r="F1" s="210"/>
      <c r="G1" s="210"/>
      <c r="H1" s="210"/>
      <c r="I1" s="210"/>
      <c r="J1" s="210"/>
      <c r="K1" s="210"/>
      <c r="L1" s="210"/>
      <c r="M1" s="210"/>
      <c r="N1" s="210"/>
    </row>
    <row r="2" spans="1:14" s="211" customFormat="1" ht="13.5" customHeight="1">
      <c r="A2" s="218" t="s">
        <v>51</v>
      </c>
      <c r="B2" s="219">
        <v>43692</v>
      </c>
      <c r="C2" s="217"/>
      <c r="D2" s="217"/>
      <c r="E2" s="217"/>
      <c r="F2" s="212"/>
      <c r="G2" s="213"/>
      <c r="H2" s="210"/>
      <c r="I2" s="210"/>
      <c r="J2" s="210"/>
      <c r="K2" s="210"/>
      <c r="L2" s="210"/>
      <c r="M2" s="210"/>
      <c r="N2" s="210"/>
    </row>
    <row r="3" spans="1:12" s="211" customFormat="1" ht="26.25" customHeight="1">
      <c r="A3" s="236" t="s">
        <v>1</v>
      </c>
      <c r="B3" s="237" t="s">
        <v>2</v>
      </c>
      <c r="C3" s="217"/>
      <c r="D3" s="237" t="s">
        <v>50</v>
      </c>
      <c r="E3" s="217"/>
      <c r="F3" s="212"/>
      <c r="G3" s="213"/>
      <c r="H3" s="210"/>
      <c r="I3" s="210"/>
      <c r="J3" s="210"/>
      <c r="K3" s="210"/>
      <c r="L3" s="210"/>
    </row>
    <row r="4" spans="1:12" s="211" customFormat="1" ht="13.5" customHeight="1">
      <c r="A4" s="234" t="s">
        <v>114</v>
      </c>
      <c r="B4" s="214">
        <v>2700</v>
      </c>
      <c r="C4" s="220"/>
      <c r="D4" s="214">
        <v>345</v>
      </c>
      <c r="E4" s="217"/>
      <c r="F4" s="212"/>
      <c r="G4" s="213"/>
      <c r="H4" s="210"/>
      <c r="I4" s="210"/>
      <c r="J4" s="210"/>
      <c r="K4" s="210"/>
      <c r="L4" s="210"/>
    </row>
    <row r="5" spans="1:14" s="211" customFormat="1" ht="13.5" customHeight="1">
      <c r="A5" s="234" t="s">
        <v>115</v>
      </c>
      <c r="B5" s="214">
        <v>5300</v>
      </c>
      <c r="C5" s="220"/>
      <c r="D5" s="214">
        <v>63</v>
      </c>
      <c r="E5" s="217"/>
      <c r="F5" s="212"/>
      <c r="G5" s="213"/>
      <c r="H5" s="210"/>
      <c r="I5" s="210"/>
      <c r="J5" s="210"/>
      <c r="K5" s="210"/>
      <c r="L5" s="210"/>
      <c r="M5" s="210"/>
      <c r="N5" s="210"/>
    </row>
    <row r="6" spans="1:14" s="211" customFormat="1" ht="13.5" customHeight="1">
      <c r="A6" s="235" t="s">
        <v>122</v>
      </c>
      <c r="B6" s="214">
        <v>14500</v>
      </c>
      <c r="C6" s="220"/>
      <c r="D6" s="214">
        <v>63</v>
      </c>
      <c r="E6" s="217"/>
      <c r="F6" s="212"/>
      <c r="G6" s="213"/>
      <c r="H6" s="210"/>
      <c r="I6" s="210"/>
      <c r="J6" s="210"/>
      <c r="K6" s="210"/>
      <c r="L6" s="210"/>
      <c r="M6" s="210"/>
      <c r="N6" s="210"/>
    </row>
    <row r="7" spans="1:14" s="211" customFormat="1" ht="13.5" customHeight="1">
      <c r="A7" s="235" t="s">
        <v>123</v>
      </c>
      <c r="B7" s="214">
        <v>12500</v>
      </c>
      <c r="C7" s="220"/>
      <c r="D7" s="214"/>
      <c r="E7" s="217"/>
      <c r="F7" s="212"/>
      <c r="G7" s="213"/>
      <c r="H7" s="210"/>
      <c r="I7" s="210"/>
      <c r="J7" s="210"/>
      <c r="K7" s="210"/>
      <c r="L7" s="210"/>
      <c r="M7" s="210"/>
      <c r="N7" s="210"/>
    </row>
    <row r="8" spans="1:14" s="211" customFormat="1" ht="13.5" customHeight="1">
      <c r="A8" s="235" t="s">
        <v>103</v>
      </c>
      <c r="B8" s="214">
        <v>9500</v>
      </c>
      <c r="C8" s="220"/>
      <c r="D8" s="214"/>
      <c r="E8" s="217"/>
      <c r="F8" s="212"/>
      <c r="G8" s="213"/>
      <c r="H8" s="210"/>
      <c r="I8" s="210"/>
      <c r="J8" s="210"/>
      <c r="K8" s="210"/>
      <c r="L8" s="210"/>
      <c r="M8" s="210"/>
      <c r="N8" s="210"/>
    </row>
    <row r="9" spans="1:14" s="211" customFormat="1" ht="13.5" customHeight="1">
      <c r="A9" s="235" t="s">
        <v>104</v>
      </c>
      <c r="B9" s="214">
        <v>4000</v>
      </c>
      <c r="C9" s="220"/>
      <c r="D9" s="214"/>
      <c r="E9" s="217"/>
      <c r="F9" s="212"/>
      <c r="G9" s="213"/>
      <c r="H9" s="210"/>
      <c r="I9" s="210"/>
      <c r="J9" s="210"/>
      <c r="K9" s="210"/>
      <c r="L9" s="210"/>
      <c r="M9" s="210"/>
      <c r="N9" s="210"/>
    </row>
    <row r="10" spans="1:14" s="211" customFormat="1" ht="13.5" customHeight="1">
      <c r="A10" s="235" t="s">
        <v>105</v>
      </c>
      <c r="B10" s="214">
        <v>2000</v>
      </c>
      <c r="C10" s="217"/>
      <c r="D10" s="217"/>
      <c r="E10" s="217"/>
      <c r="F10" s="210"/>
      <c r="G10" s="210"/>
      <c r="H10" s="210"/>
      <c r="I10" s="210"/>
      <c r="J10" s="210"/>
      <c r="K10" s="210"/>
      <c r="L10" s="210"/>
      <c r="M10" s="210"/>
      <c r="N10" s="210"/>
    </row>
    <row r="11" spans="1:14" s="211" customFormat="1" ht="13.5" customHeight="1">
      <c r="A11" s="215"/>
      <c r="B11" s="214"/>
      <c r="C11" s="210"/>
      <c r="D11" s="210"/>
      <c r="E11" s="210"/>
      <c r="F11" s="210"/>
      <c r="G11" s="210"/>
      <c r="H11" s="210"/>
      <c r="I11" s="210"/>
      <c r="J11" s="210"/>
      <c r="K11" s="210"/>
      <c r="L11" s="210"/>
      <c r="M11" s="210"/>
      <c r="N11" s="210"/>
    </row>
    <row r="12" spans="1:14" s="40" customFormat="1" ht="13.5" customHeight="1" thickBot="1">
      <c r="A12" s="255"/>
      <c r="B12" s="255"/>
      <c r="C12" s="210"/>
      <c r="D12" s="39"/>
      <c r="E12" s="39"/>
      <c r="F12" s="39"/>
      <c r="G12" s="39"/>
      <c r="H12" s="39"/>
      <c r="I12" s="39"/>
      <c r="J12" s="39"/>
      <c r="K12" s="39"/>
      <c r="L12" s="39"/>
      <c r="M12" s="39"/>
      <c r="N12" s="39"/>
    </row>
    <row r="13" spans="1:26" ht="20.25" customHeight="1" thickBot="1">
      <c r="A13" s="246" t="s">
        <v>52</v>
      </c>
      <c r="B13" s="246"/>
      <c r="C13" s="221"/>
      <c r="D13" s="253" t="s">
        <v>108</v>
      </c>
      <c r="E13" s="257"/>
      <c r="F13" s="257"/>
      <c r="G13" s="257"/>
      <c r="H13" s="257"/>
      <c r="I13" s="257"/>
      <c r="J13" s="257"/>
      <c r="K13" s="257"/>
      <c r="L13" s="257"/>
      <c r="M13" s="257"/>
      <c r="N13" s="254"/>
      <c r="P13" s="253" t="s">
        <v>110</v>
      </c>
      <c r="Q13" s="257"/>
      <c r="R13" s="257"/>
      <c r="S13" s="257"/>
      <c r="T13" s="257"/>
      <c r="U13" s="257"/>
      <c r="V13" s="257"/>
      <c r="W13" s="257"/>
      <c r="X13" s="257"/>
      <c r="Y13" s="257"/>
      <c r="Z13" s="254"/>
    </row>
    <row r="14" spans="1:26" ht="13.5" customHeight="1" thickBot="1">
      <c r="A14" s="230" t="s">
        <v>3</v>
      </c>
      <c r="B14" s="240">
        <f>INDEX('Bes-mielies'!S9:U14,MATCH($B$18,Opbrengspeil,0),2)</f>
        <v>29496.19624228359</v>
      </c>
      <c r="C14" s="222"/>
      <c r="D14" s="43"/>
      <c r="E14" s="44"/>
      <c r="F14" s="45"/>
      <c r="G14" s="46"/>
      <c r="H14" s="45"/>
      <c r="I14" s="45"/>
      <c r="J14" s="45" t="s">
        <v>4</v>
      </c>
      <c r="K14" s="47"/>
      <c r="L14" s="45"/>
      <c r="M14" s="47"/>
      <c r="N14" s="45"/>
      <c r="P14" s="43"/>
      <c r="Q14" s="44"/>
      <c r="R14" s="45"/>
      <c r="S14" s="46"/>
      <c r="T14" s="45"/>
      <c r="U14" s="45"/>
      <c r="V14" s="45" t="s">
        <v>4</v>
      </c>
      <c r="W14" s="47"/>
      <c r="X14" s="45"/>
      <c r="Y14" s="47"/>
      <c r="Z14" s="45"/>
    </row>
    <row r="15" spans="1:26" ht="13.5" customHeight="1" thickBot="1">
      <c r="A15" s="230" t="s">
        <v>5</v>
      </c>
      <c r="B15" s="240">
        <f>INDEX('Bes-mielies'!S9:U14,MATCH($B$18,Opbrengspeil,0),3)</f>
        <v>6936.798228388436</v>
      </c>
      <c r="C15" s="222"/>
      <c r="D15" s="253" t="s">
        <v>6</v>
      </c>
      <c r="E15" s="254"/>
      <c r="F15" s="48">
        <f>G15-250</f>
        <v>1700</v>
      </c>
      <c r="G15" s="48">
        <f>H15-250</f>
        <v>1950</v>
      </c>
      <c r="H15" s="48">
        <f>I15-250</f>
        <v>2200</v>
      </c>
      <c r="I15" s="48">
        <f>J15-250</f>
        <v>2450</v>
      </c>
      <c r="J15" s="49">
        <f>B20</f>
        <v>2700</v>
      </c>
      <c r="K15" s="48">
        <f>J15+250</f>
        <v>2950</v>
      </c>
      <c r="L15" s="48">
        <f>K15+250</f>
        <v>3200</v>
      </c>
      <c r="M15" s="48">
        <f>L15+250</f>
        <v>3450</v>
      </c>
      <c r="N15" s="48">
        <f>M15+250</f>
        <v>3700</v>
      </c>
      <c r="P15" s="253" t="s">
        <v>6</v>
      </c>
      <c r="Q15" s="254"/>
      <c r="R15" s="50">
        <f>S15-250</f>
        <v>1700</v>
      </c>
      <c r="S15" s="50">
        <f>T15-250</f>
        <v>1950</v>
      </c>
      <c r="T15" s="50">
        <f>U15-250</f>
        <v>2200</v>
      </c>
      <c r="U15" s="50">
        <f>V15-250</f>
        <v>2450</v>
      </c>
      <c r="V15" s="51">
        <f>J15</f>
        <v>2700</v>
      </c>
      <c r="W15" s="50">
        <f>V15+250</f>
        <v>2950</v>
      </c>
      <c r="X15" s="50">
        <f>W15+250</f>
        <v>3200</v>
      </c>
      <c r="Y15" s="50">
        <f>X15+250</f>
        <v>3450</v>
      </c>
      <c r="Z15" s="50">
        <f>Y15+250</f>
        <v>3700</v>
      </c>
    </row>
    <row r="16" spans="1:26" ht="13.5" customHeight="1" thickBot="1">
      <c r="A16" s="231" t="s">
        <v>7</v>
      </c>
      <c r="B16" s="245">
        <f>B15+B14</f>
        <v>36432.99447067203</v>
      </c>
      <c r="C16" s="223"/>
      <c r="D16" s="251" t="s">
        <v>8</v>
      </c>
      <c r="E16" s="252"/>
      <c r="F16" s="52">
        <f aca="true" t="shared" si="0" ref="F16:N16">F15-$B$21</f>
        <v>1355</v>
      </c>
      <c r="G16" s="52">
        <f t="shared" si="0"/>
        <v>1605</v>
      </c>
      <c r="H16" s="52">
        <f t="shared" si="0"/>
        <v>1855</v>
      </c>
      <c r="I16" s="52">
        <f t="shared" si="0"/>
        <v>2105</v>
      </c>
      <c r="J16" s="53">
        <f>J15-$B$21</f>
        <v>2355</v>
      </c>
      <c r="K16" s="52">
        <f t="shared" si="0"/>
        <v>2605</v>
      </c>
      <c r="L16" s="52">
        <f t="shared" si="0"/>
        <v>2855</v>
      </c>
      <c r="M16" s="52">
        <f t="shared" si="0"/>
        <v>3105</v>
      </c>
      <c r="N16" s="52">
        <f t="shared" si="0"/>
        <v>3355</v>
      </c>
      <c r="P16" s="251" t="s">
        <v>8</v>
      </c>
      <c r="Q16" s="252"/>
      <c r="R16" s="52">
        <f aca="true" t="shared" si="1" ref="R16:Z16">R15-$B$21</f>
        <v>1355</v>
      </c>
      <c r="S16" s="52">
        <f t="shared" si="1"/>
        <v>1605</v>
      </c>
      <c r="T16" s="52">
        <f t="shared" si="1"/>
        <v>1855</v>
      </c>
      <c r="U16" s="52">
        <f t="shared" si="1"/>
        <v>2105</v>
      </c>
      <c r="V16" s="54">
        <f t="shared" si="1"/>
        <v>2355</v>
      </c>
      <c r="W16" s="52">
        <f t="shared" si="1"/>
        <v>2605</v>
      </c>
      <c r="X16" s="52">
        <f t="shared" si="1"/>
        <v>2855</v>
      </c>
      <c r="Y16" s="52">
        <f t="shared" si="1"/>
        <v>3105</v>
      </c>
      <c r="Z16" s="52">
        <f t="shared" si="1"/>
        <v>3355</v>
      </c>
    </row>
    <row r="17" spans="1:26" ht="13.5" customHeight="1" thickBot="1">
      <c r="A17" s="230"/>
      <c r="B17" s="238"/>
      <c r="C17" s="222"/>
      <c r="D17" s="248" t="s">
        <v>9</v>
      </c>
      <c r="E17" s="55">
        <f>E18-0.5</f>
        <v>13</v>
      </c>
      <c r="F17" s="56">
        <f aca="true" t="shared" si="2" ref="F17:N21">F$16-($B$16/$E17)</f>
        <v>-1447.5380362055407</v>
      </c>
      <c r="G17" s="57">
        <f t="shared" si="2"/>
        <v>-1197.5380362055407</v>
      </c>
      <c r="H17" s="57">
        <f t="shared" si="2"/>
        <v>-947.5380362055407</v>
      </c>
      <c r="I17" s="57">
        <f t="shared" si="2"/>
        <v>-697.5380362055407</v>
      </c>
      <c r="J17" s="57">
        <f t="shared" si="2"/>
        <v>-447.5380362055407</v>
      </c>
      <c r="K17" s="57">
        <f t="shared" si="2"/>
        <v>-197.53803620554072</v>
      </c>
      <c r="L17" s="57">
        <f t="shared" si="2"/>
        <v>52.46196379445928</v>
      </c>
      <c r="M17" s="58">
        <f t="shared" si="2"/>
        <v>302.4619637944593</v>
      </c>
      <c r="N17" s="59">
        <f t="shared" si="2"/>
        <v>552.4619637944593</v>
      </c>
      <c r="P17" s="248" t="s">
        <v>9</v>
      </c>
      <c r="Q17" s="55">
        <f>Q18-0.5</f>
        <v>13</v>
      </c>
      <c r="R17" s="56">
        <f>R$16-($B$14/$E17)</f>
        <v>-913.9381724833529</v>
      </c>
      <c r="S17" s="56">
        <f aca="true" t="shared" si="3" ref="S17:Z21">S$16-($B$14/$E17)</f>
        <v>-663.9381724833529</v>
      </c>
      <c r="T17" s="56">
        <f t="shared" si="3"/>
        <v>-413.9381724833529</v>
      </c>
      <c r="U17" s="56">
        <f t="shared" si="3"/>
        <v>-163.9381724833529</v>
      </c>
      <c r="V17" s="56">
        <f t="shared" si="3"/>
        <v>86.0618275166471</v>
      </c>
      <c r="W17" s="56">
        <f t="shared" si="3"/>
        <v>336.0618275166471</v>
      </c>
      <c r="X17" s="56">
        <f t="shared" si="3"/>
        <v>586.0618275166471</v>
      </c>
      <c r="Y17" s="56">
        <f t="shared" si="3"/>
        <v>836.0618275166471</v>
      </c>
      <c r="Z17" s="56">
        <f t="shared" si="3"/>
        <v>1086.061827516647</v>
      </c>
    </row>
    <row r="18" spans="1:26" ht="13.5" customHeight="1" thickBot="1">
      <c r="A18" s="230" t="s">
        <v>10</v>
      </c>
      <c r="B18" s="239">
        <v>14</v>
      </c>
      <c r="C18" s="222"/>
      <c r="D18" s="249"/>
      <c r="E18" s="55">
        <f>E19-0.5</f>
        <v>13.5</v>
      </c>
      <c r="F18" s="60">
        <f t="shared" si="2"/>
        <v>-1343.740331160891</v>
      </c>
      <c r="G18" s="61">
        <f t="shared" si="2"/>
        <v>-1093.740331160891</v>
      </c>
      <c r="H18" s="61">
        <f t="shared" si="2"/>
        <v>-843.740331160891</v>
      </c>
      <c r="I18" s="61">
        <f t="shared" si="2"/>
        <v>-593.740331160891</v>
      </c>
      <c r="J18" s="61">
        <f t="shared" si="2"/>
        <v>-343.74033116089095</v>
      </c>
      <c r="K18" s="62">
        <f t="shared" si="2"/>
        <v>-93.74033116089095</v>
      </c>
      <c r="L18" s="62">
        <f t="shared" si="2"/>
        <v>156.25966883910905</v>
      </c>
      <c r="M18" s="62">
        <f t="shared" si="2"/>
        <v>406.25966883910905</v>
      </c>
      <c r="N18" s="63">
        <f t="shared" si="2"/>
        <v>656.259668839109</v>
      </c>
      <c r="P18" s="249"/>
      <c r="Q18" s="55">
        <f>Q19-0.5</f>
        <v>13.5</v>
      </c>
      <c r="R18" s="56">
        <f>R$16-($B$14/$E18)</f>
        <v>-829.90342535434</v>
      </c>
      <c r="S18" s="56">
        <f t="shared" si="3"/>
        <v>-579.90342535434</v>
      </c>
      <c r="T18" s="56">
        <f t="shared" si="3"/>
        <v>-329.90342535434</v>
      </c>
      <c r="U18" s="56">
        <f t="shared" si="3"/>
        <v>-79.90342535434002</v>
      </c>
      <c r="V18" s="56">
        <f t="shared" si="3"/>
        <v>170.09657464565998</v>
      </c>
      <c r="W18" s="56">
        <f t="shared" si="3"/>
        <v>420.09657464566</v>
      </c>
      <c r="X18" s="56">
        <f t="shared" si="3"/>
        <v>670.09657464566</v>
      </c>
      <c r="Y18" s="56">
        <f t="shared" si="3"/>
        <v>920.09657464566</v>
      </c>
      <c r="Z18" s="56">
        <f t="shared" si="3"/>
        <v>1170.09657464566</v>
      </c>
    </row>
    <row r="19" spans="1:26" ht="13.5" customHeight="1" thickBot="1">
      <c r="A19" s="230"/>
      <c r="B19" s="238"/>
      <c r="C19" s="222"/>
      <c r="D19" s="249"/>
      <c r="E19" s="64">
        <f>B18</f>
        <v>14</v>
      </c>
      <c r="F19" s="60">
        <f t="shared" si="2"/>
        <v>-1247.3567479051449</v>
      </c>
      <c r="G19" s="61">
        <f>G$16-($B$16/$E19)</f>
        <v>-997.3567479051449</v>
      </c>
      <c r="H19" s="61">
        <f t="shared" si="2"/>
        <v>-747.3567479051449</v>
      </c>
      <c r="I19" s="61">
        <f t="shared" si="2"/>
        <v>-497.35674790514486</v>
      </c>
      <c r="J19" s="62">
        <f>J$16-($B$16/$E19)</f>
        <v>-247.35674790514486</v>
      </c>
      <c r="K19" s="62">
        <f t="shared" si="2"/>
        <v>2.643252094855143</v>
      </c>
      <c r="L19" s="62">
        <f t="shared" si="2"/>
        <v>252.64325209485514</v>
      </c>
      <c r="M19" s="62">
        <f t="shared" si="2"/>
        <v>502.64325209485514</v>
      </c>
      <c r="N19" s="63">
        <f t="shared" si="2"/>
        <v>752.6432520948551</v>
      </c>
      <c r="P19" s="249"/>
      <c r="Q19" s="64">
        <f>E19</f>
        <v>14</v>
      </c>
      <c r="R19" s="56">
        <f>R$16-($B$14/$E19)</f>
        <v>-751.8711601631135</v>
      </c>
      <c r="S19" s="56">
        <f t="shared" si="3"/>
        <v>-501.8711601631135</v>
      </c>
      <c r="T19" s="56">
        <f t="shared" si="3"/>
        <v>-251.87116016311347</v>
      </c>
      <c r="U19" s="56">
        <f t="shared" si="3"/>
        <v>-1.8711601631134727</v>
      </c>
      <c r="V19" s="56">
        <f t="shared" si="3"/>
        <v>248.12883983688653</v>
      </c>
      <c r="W19" s="56">
        <f t="shared" si="3"/>
        <v>498.1288398368865</v>
      </c>
      <c r="X19" s="56">
        <f t="shared" si="3"/>
        <v>748.1288398368865</v>
      </c>
      <c r="Y19" s="56">
        <f t="shared" si="3"/>
        <v>998.1288398368865</v>
      </c>
      <c r="Z19" s="56">
        <f t="shared" si="3"/>
        <v>1248.1288398368865</v>
      </c>
    </row>
    <row r="20" spans="1:26" ht="13.5" customHeight="1" thickBot="1">
      <c r="A20" s="230" t="s">
        <v>116</v>
      </c>
      <c r="B20" s="240">
        <f>$B$4</f>
        <v>2700</v>
      </c>
      <c r="C20" s="222"/>
      <c r="D20" s="249"/>
      <c r="E20" s="55">
        <f>E19+0.5</f>
        <v>14.5</v>
      </c>
      <c r="F20" s="60">
        <f t="shared" si="2"/>
        <v>-1157.620308322209</v>
      </c>
      <c r="G20" s="61">
        <f t="shared" si="2"/>
        <v>-907.620308322209</v>
      </c>
      <c r="H20" s="61">
        <f t="shared" si="2"/>
        <v>-657.620308322209</v>
      </c>
      <c r="I20" s="62">
        <f t="shared" si="2"/>
        <v>-407.620308322209</v>
      </c>
      <c r="J20" s="62">
        <f t="shared" si="2"/>
        <v>-157.62030832220898</v>
      </c>
      <c r="K20" s="62">
        <f t="shared" si="2"/>
        <v>92.37969167779102</v>
      </c>
      <c r="L20" s="62">
        <f t="shared" si="2"/>
        <v>342.379691677791</v>
      </c>
      <c r="M20" s="62">
        <f t="shared" si="2"/>
        <v>592.379691677791</v>
      </c>
      <c r="N20" s="63">
        <f t="shared" si="2"/>
        <v>842.379691677791</v>
      </c>
      <c r="P20" s="249"/>
      <c r="Q20" s="55">
        <f>Q19+0.5</f>
        <v>14.5</v>
      </c>
      <c r="R20" s="56">
        <f>R$16-($B$14/$E20)</f>
        <v>-679.2204305023165</v>
      </c>
      <c r="S20" s="56">
        <f t="shared" si="3"/>
        <v>-429.2204305023165</v>
      </c>
      <c r="T20" s="56">
        <f t="shared" si="3"/>
        <v>-179.2204305023165</v>
      </c>
      <c r="U20" s="56">
        <f t="shared" si="3"/>
        <v>70.7795694976835</v>
      </c>
      <c r="V20" s="56">
        <f t="shared" si="3"/>
        <v>320.7795694976835</v>
      </c>
      <c r="W20" s="56">
        <f t="shared" si="3"/>
        <v>570.7795694976835</v>
      </c>
      <c r="X20" s="56">
        <f t="shared" si="3"/>
        <v>820.7795694976835</v>
      </c>
      <c r="Y20" s="56">
        <f t="shared" si="3"/>
        <v>1070.7795694976835</v>
      </c>
      <c r="Z20" s="56">
        <f t="shared" si="3"/>
        <v>1320.7795694976835</v>
      </c>
    </row>
    <row r="21" spans="1:26" ht="13.5" customHeight="1" thickBot="1">
      <c r="A21" s="232" t="s">
        <v>11</v>
      </c>
      <c r="B21" s="240">
        <f>D4</f>
        <v>345</v>
      </c>
      <c r="C21" s="222"/>
      <c r="D21" s="250"/>
      <c r="E21" s="55">
        <f>E20+0.5</f>
        <v>15</v>
      </c>
      <c r="F21" s="65">
        <f t="shared" si="2"/>
        <v>-1073.8662980448016</v>
      </c>
      <c r="G21" s="66">
        <f t="shared" si="2"/>
        <v>-823.8662980448016</v>
      </c>
      <c r="H21" s="67">
        <f t="shared" si="2"/>
        <v>-573.8662980448016</v>
      </c>
      <c r="I21" s="67">
        <f t="shared" si="2"/>
        <v>-323.8662980448016</v>
      </c>
      <c r="J21" s="67">
        <f t="shared" si="2"/>
        <v>-73.86629804480162</v>
      </c>
      <c r="K21" s="67">
        <f t="shared" si="2"/>
        <v>176.13370195519838</v>
      </c>
      <c r="L21" s="67">
        <f t="shared" si="2"/>
        <v>426.1337019551984</v>
      </c>
      <c r="M21" s="67">
        <f t="shared" si="2"/>
        <v>676.1337019551984</v>
      </c>
      <c r="N21" s="68">
        <f>N$16-($B$16/$E21)</f>
        <v>926.1337019551984</v>
      </c>
      <c r="P21" s="250"/>
      <c r="Q21" s="55">
        <f>Q20+0.5</f>
        <v>15</v>
      </c>
      <c r="R21" s="56">
        <f>R$16-($B$14/$E21)</f>
        <v>-611.4130828189059</v>
      </c>
      <c r="S21" s="56">
        <f>S$16-($B$14/$E21)</f>
        <v>-361.4130828189059</v>
      </c>
      <c r="T21" s="56">
        <f t="shared" si="3"/>
        <v>-111.41308281890588</v>
      </c>
      <c r="U21" s="56">
        <f t="shared" si="3"/>
        <v>138.58691718109412</v>
      </c>
      <c r="V21" s="56">
        <f t="shared" si="3"/>
        <v>388.5869171810941</v>
      </c>
      <c r="W21" s="56">
        <f t="shared" si="3"/>
        <v>638.5869171810941</v>
      </c>
      <c r="X21" s="56">
        <f t="shared" si="3"/>
        <v>888.5869171810941</v>
      </c>
      <c r="Y21" s="56">
        <f t="shared" si="3"/>
        <v>1138.5869171810941</v>
      </c>
      <c r="Z21" s="56">
        <f t="shared" si="3"/>
        <v>1388.5869171810941</v>
      </c>
    </row>
    <row r="22" spans="1:24" ht="13.5" customHeight="1">
      <c r="A22" s="224" t="s">
        <v>12</v>
      </c>
      <c r="B22" s="245">
        <f>B20-B21</f>
        <v>2355</v>
      </c>
      <c r="C22" s="222"/>
      <c r="D22" s="69"/>
      <c r="E22" s="70"/>
      <c r="F22" s="71"/>
      <c r="G22" s="71"/>
      <c r="H22" s="71"/>
      <c r="I22" s="71"/>
      <c r="J22" s="71"/>
      <c r="K22" s="71"/>
      <c r="L22" s="71"/>
      <c r="P22" s="69"/>
      <c r="Q22" s="70"/>
      <c r="R22" s="71"/>
      <c r="S22" s="71"/>
      <c r="T22" s="71"/>
      <c r="U22" s="71"/>
      <c r="V22" s="71"/>
      <c r="W22" s="71"/>
      <c r="X22" s="71"/>
    </row>
    <row r="23" spans="1:24" s="42" customFormat="1" ht="13.5" customHeight="1">
      <c r="A23" s="224"/>
      <c r="B23" s="223"/>
      <c r="C23" s="222"/>
      <c r="D23" s="72"/>
      <c r="E23" s="73"/>
      <c r="F23" s="71"/>
      <c r="G23" s="71"/>
      <c r="H23" s="71"/>
      <c r="I23" s="71"/>
      <c r="J23" s="71"/>
      <c r="K23" s="71"/>
      <c r="L23" s="71"/>
      <c r="P23" s="72"/>
      <c r="Q23" s="73"/>
      <c r="R23" s="71"/>
      <c r="S23" s="71"/>
      <c r="T23" s="71"/>
      <c r="U23" s="71"/>
      <c r="V23" s="71"/>
      <c r="W23" s="71"/>
      <c r="X23" s="71"/>
    </row>
    <row r="24" spans="2:24" ht="13.5" customHeight="1">
      <c r="B24" s="233"/>
      <c r="D24" s="69"/>
      <c r="E24" s="70"/>
      <c r="F24" s="71"/>
      <c r="G24" s="71"/>
      <c r="H24" s="71"/>
      <c r="I24" s="71"/>
      <c r="J24" s="71"/>
      <c r="K24" s="71"/>
      <c r="L24" s="71"/>
      <c r="P24" s="69"/>
      <c r="Q24" s="70"/>
      <c r="R24" s="71"/>
      <c r="S24" s="71"/>
      <c r="T24" s="71"/>
      <c r="U24" s="71"/>
      <c r="V24" s="71"/>
      <c r="W24" s="71"/>
      <c r="X24" s="71"/>
    </row>
    <row r="25" spans="1:2" ht="13.5" customHeight="1" thickBot="1">
      <c r="A25" s="256"/>
      <c r="B25" s="256"/>
    </row>
    <row r="26" spans="1:26" ht="19.5" customHeight="1" thickBot="1">
      <c r="A26" s="247" t="s">
        <v>112</v>
      </c>
      <c r="B26" s="247"/>
      <c r="C26" s="221"/>
      <c r="D26" s="253" t="s">
        <v>109</v>
      </c>
      <c r="E26" s="257"/>
      <c r="F26" s="257"/>
      <c r="G26" s="257"/>
      <c r="H26" s="257"/>
      <c r="I26" s="257"/>
      <c r="J26" s="257"/>
      <c r="K26" s="257"/>
      <c r="L26" s="257"/>
      <c r="M26" s="257"/>
      <c r="N26" s="254"/>
      <c r="P26" s="253" t="s">
        <v>111</v>
      </c>
      <c r="Q26" s="257"/>
      <c r="R26" s="257"/>
      <c r="S26" s="257"/>
      <c r="T26" s="257"/>
      <c r="U26" s="257"/>
      <c r="V26" s="257"/>
      <c r="W26" s="257"/>
      <c r="X26" s="257"/>
      <c r="Y26" s="257"/>
      <c r="Z26" s="254"/>
    </row>
    <row r="27" spans="1:26" ht="13.5" customHeight="1" thickBot="1">
      <c r="A27" s="230" t="s">
        <v>3</v>
      </c>
      <c r="B27" s="240">
        <f>INDEX('Bes-soja (vermin bewerk)'!S9:U14,MATCH($B$31,Sojaopbrengspeil,0),2)</f>
        <v>19083.340585277663</v>
      </c>
      <c r="C27" s="225"/>
      <c r="D27" s="43"/>
      <c r="E27" s="44"/>
      <c r="F27" s="45"/>
      <c r="G27" s="46"/>
      <c r="H27" s="45"/>
      <c r="I27" s="45"/>
      <c r="J27" s="45" t="s">
        <v>13</v>
      </c>
      <c r="K27" s="47"/>
      <c r="L27" s="45"/>
      <c r="M27" s="47"/>
      <c r="N27" s="45"/>
      <c r="P27" s="43"/>
      <c r="Q27" s="44"/>
      <c r="R27" s="45"/>
      <c r="S27" s="46"/>
      <c r="T27" s="45"/>
      <c r="U27" s="45"/>
      <c r="V27" s="45" t="s">
        <v>13</v>
      </c>
      <c r="W27" s="47"/>
      <c r="X27" s="45"/>
      <c r="Y27" s="47"/>
      <c r="Z27" s="45"/>
    </row>
    <row r="28" spans="1:26" ht="13.5" customHeight="1" thickBot="1">
      <c r="A28" s="230" t="s">
        <v>5</v>
      </c>
      <c r="B28" s="240">
        <f>INDEX('Bes-soja (vermin bewerk)'!S10:U15,MATCH($B$31,Sojaopbrengspeil,0),3)</f>
        <v>6936.798228388436</v>
      </c>
      <c r="C28" s="225"/>
      <c r="D28" s="253" t="s">
        <v>6</v>
      </c>
      <c r="E28" s="254"/>
      <c r="F28" s="50">
        <f>G28-200</f>
        <v>4500</v>
      </c>
      <c r="G28" s="50">
        <f>H28-200</f>
        <v>4700</v>
      </c>
      <c r="H28" s="50">
        <f>I28-200</f>
        <v>4900</v>
      </c>
      <c r="I28" s="50">
        <f>J28-200</f>
        <v>5100</v>
      </c>
      <c r="J28" s="49">
        <f>B33</f>
        <v>5300</v>
      </c>
      <c r="K28" s="50">
        <f>J28+200</f>
        <v>5500</v>
      </c>
      <c r="L28" s="50">
        <f>K28+200</f>
        <v>5700</v>
      </c>
      <c r="M28" s="50">
        <f>L28+200</f>
        <v>5900</v>
      </c>
      <c r="N28" s="50">
        <f>M28+200</f>
        <v>6100</v>
      </c>
      <c r="P28" s="253" t="s">
        <v>6</v>
      </c>
      <c r="Q28" s="254"/>
      <c r="R28" s="50">
        <f>S28-200</f>
        <v>4500</v>
      </c>
      <c r="S28" s="50">
        <f>T28-200</f>
        <v>4700</v>
      </c>
      <c r="T28" s="50">
        <f>U28-200</f>
        <v>4900</v>
      </c>
      <c r="U28" s="50">
        <f>V28-200</f>
        <v>5100</v>
      </c>
      <c r="V28" s="51">
        <f>J28</f>
        <v>5300</v>
      </c>
      <c r="W28" s="50">
        <f>V28+200</f>
        <v>5500</v>
      </c>
      <c r="X28" s="50">
        <f>W28+200</f>
        <v>5700</v>
      </c>
      <c r="Y28" s="50">
        <f>X28+200</f>
        <v>5900</v>
      </c>
      <c r="Z28" s="50">
        <f>Y28+200</f>
        <v>6100</v>
      </c>
    </row>
    <row r="29" spans="1:26" ht="13.5" customHeight="1" thickBot="1">
      <c r="A29" s="231" t="s">
        <v>7</v>
      </c>
      <c r="B29" s="245">
        <f>B28+B27</f>
        <v>26020.138813666097</v>
      </c>
      <c r="C29" s="226"/>
      <c r="D29" s="251" t="s">
        <v>8</v>
      </c>
      <c r="E29" s="252"/>
      <c r="F29" s="74">
        <f aca="true" t="shared" si="4" ref="F29:N29">F28-$B$34</f>
        <v>4437</v>
      </c>
      <c r="G29" s="52">
        <f t="shared" si="4"/>
        <v>4637</v>
      </c>
      <c r="H29" s="52">
        <f t="shared" si="4"/>
        <v>4837</v>
      </c>
      <c r="I29" s="52">
        <f t="shared" si="4"/>
        <v>5037</v>
      </c>
      <c r="J29" s="54">
        <f t="shared" si="4"/>
        <v>5237</v>
      </c>
      <c r="K29" s="52">
        <f t="shared" si="4"/>
        <v>5437</v>
      </c>
      <c r="L29" s="52">
        <f t="shared" si="4"/>
        <v>5637</v>
      </c>
      <c r="M29" s="52">
        <f t="shared" si="4"/>
        <v>5837</v>
      </c>
      <c r="N29" s="52">
        <f t="shared" si="4"/>
        <v>6037</v>
      </c>
      <c r="P29" s="251" t="s">
        <v>8</v>
      </c>
      <c r="Q29" s="252"/>
      <c r="R29" s="52">
        <f aca="true" t="shared" si="5" ref="R29:Z29">R28-$B$34</f>
        <v>4437</v>
      </c>
      <c r="S29" s="52">
        <f t="shared" si="5"/>
        <v>4637</v>
      </c>
      <c r="T29" s="52">
        <f t="shared" si="5"/>
        <v>4837</v>
      </c>
      <c r="U29" s="52">
        <f t="shared" si="5"/>
        <v>5037</v>
      </c>
      <c r="V29" s="54">
        <f t="shared" si="5"/>
        <v>5237</v>
      </c>
      <c r="W29" s="52">
        <f t="shared" si="5"/>
        <v>5437</v>
      </c>
      <c r="X29" s="52">
        <f t="shared" si="5"/>
        <v>5637</v>
      </c>
      <c r="Y29" s="52">
        <f t="shared" si="5"/>
        <v>5837</v>
      </c>
      <c r="Z29" s="52">
        <f t="shared" si="5"/>
        <v>6037</v>
      </c>
    </row>
    <row r="30" spans="1:26" ht="13.5" customHeight="1" thickBot="1">
      <c r="A30" s="230"/>
      <c r="B30" s="238"/>
      <c r="C30" s="227"/>
      <c r="D30" s="248" t="s">
        <v>9</v>
      </c>
      <c r="E30" s="55">
        <f>E31-0.25</f>
        <v>3.5</v>
      </c>
      <c r="F30" s="56">
        <f>F$29-($B$29/$E30)</f>
        <v>-2997.325375333171</v>
      </c>
      <c r="G30" s="57">
        <f aca="true" t="shared" si="6" ref="F30:N34">G$29-($B$29/$E30)</f>
        <v>-2797.325375333171</v>
      </c>
      <c r="H30" s="57">
        <f t="shared" si="6"/>
        <v>-2597.325375333171</v>
      </c>
      <c r="I30" s="57">
        <f t="shared" si="6"/>
        <v>-2397.325375333171</v>
      </c>
      <c r="J30" s="57">
        <f t="shared" si="6"/>
        <v>-2197.325375333171</v>
      </c>
      <c r="K30" s="57">
        <f t="shared" si="6"/>
        <v>-1997.325375333171</v>
      </c>
      <c r="L30" s="57">
        <f t="shared" si="6"/>
        <v>-1797.325375333171</v>
      </c>
      <c r="M30" s="58">
        <f t="shared" si="6"/>
        <v>-1597.325375333171</v>
      </c>
      <c r="N30" s="59">
        <f t="shared" si="6"/>
        <v>-1397.325375333171</v>
      </c>
      <c r="P30" s="248" t="s">
        <v>9</v>
      </c>
      <c r="Q30" s="55">
        <f>Q31-0.25</f>
        <v>3.5</v>
      </c>
      <c r="R30" s="56">
        <f>R$29-($B$27/$E30)</f>
        <v>-1015.3830243650464</v>
      </c>
      <c r="S30" s="56">
        <f aca="true" t="shared" si="7" ref="S30:Z30">S$29-($B$27/$E30)</f>
        <v>-815.3830243650464</v>
      </c>
      <c r="T30" s="56">
        <f t="shared" si="7"/>
        <v>-615.3830243650464</v>
      </c>
      <c r="U30" s="56">
        <f t="shared" si="7"/>
        <v>-415.38302436504637</v>
      </c>
      <c r="V30" s="56">
        <f t="shared" si="7"/>
        <v>-215.38302436504637</v>
      </c>
      <c r="W30" s="56">
        <f t="shared" si="7"/>
        <v>-15.383024365046367</v>
      </c>
      <c r="X30" s="56">
        <f t="shared" si="7"/>
        <v>184.61697563495363</v>
      </c>
      <c r="Y30" s="56">
        <f t="shared" si="7"/>
        <v>384.61697563495363</v>
      </c>
      <c r="Z30" s="56">
        <f t="shared" si="7"/>
        <v>584.6169756349536</v>
      </c>
    </row>
    <row r="31" spans="1:26" ht="13.5" customHeight="1" thickBot="1">
      <c r="A31" s="230" t="s">
        <v>10</v>
      </c>
      <c r="B31" s="239">
        <f>'Bes-soja (vermin bewerk)'!G5</f>
        <v>4</v>
      </c>
      <c r="C31" s="228"/>
      <c r="D31" s="249"/>
      <c r="E31" s="55">
        <f>E32-0.25</f>
        <v>3.75</v>
      </c>
      <c r="F31" s="60">
        <f t="shared" si="6"/>
        <v>-2501.703683644292</v>
      </c>
      <c r="G31" s="61">
        <f t="shared" si="6"/>
        <v>-2301.703683644292</v>
      </c>
      <c r="H31" s="61">
        <f t="shared" si="6"/>
        <v>-2101.703683644292</v>
      </c>
      <c r="I31" s="61">
        <f t="shared" si="6"/>
        <v>-1901.7036836442921</v>
      </c>
      <c r="J31" s="61">
        <f t="shared" si="6"/>
        <v>-1701.7036836442921</v>
      </c>
      <c r="K31" s="62">
        <f t="shared" si="6"/>
        <v>-1501.7036836442921</v>
      </c>
      <c r="L31" s="62">
        <f t="shared" si="6"/>
        <v>-1301.7036836442921</v>
      </c>
      <c r="M31" s="62">
        <f t="shared" si="6"/>
        <v>-1101.7036836442921</v>
      </c>
      <c r="N31" s="63">
        <f t="shared" si="6"/>
        <v>-901.7036836442921</v>
      </c>
      <c r="P31" s="249"/>
      <c r="Q31" s="55">
        <f>Q32-0.25</f>
        <v>3.75</v>
      </c>
      <c r="R31" s="56">
        <f aca="true" t="shared" si="8" ref="R31:Z34">R$29-($B$27/$E31)</f>
        <v>-651.8908227407101</v>
      </c>
      <c r="S31" s="56">
        <f t="shared" si="8"/>
        <v>-451.89082274071006</v>
      </c>
      <c r="T31" s="56">
        <f t="shared" si="8"/>
        <v>-251.89082274071006</v>
      </c>
      <c r="U31" s="56">
        <f t="shared" si="8"/>
        <v>-51.890822740710064</v>
      </c>
      <c r="V31" s="56">
        <f t="shared" si="8"/>
        <v>148.10917725928994</v>
      </c>
      <c r="W31" s="56">
        <f t="shared" si="8"/>
        <v>348.10917725928994</v>
      </c>
      <c r="X31" s="56">
        <f t="shared" si="8"/>
        <v>548.1091772592899</v>
      </c>
      <c r="Y31" s="56">
        <f t="shared" si="8"/>
        <v>748.1091772592899</v>
      </c>
      <c r="Z31" s="56">
        <f t="shared" si="8"/>
        <v>948.1091772592899</v>
      </c>
    </row>
    <row r="32" spans="1:26" ht="13.5" customHeight="1" thickBot="1">
      <c r="A32" s="230"/>
      <c r="B32" s="238"/>
      <c r="C32" s="227"/>
      <c r="D32" s="249"/>
      <c r="E32" s="64">
        <f>B31</f>
        <v>4</v>
      </c>
      <c r="F32" s="60">
        <f t="shared" si="6"/>
        <v>-2068.0347034165243</v>
      </c>
      <c r="G32" s="61">
        <f t="shared" si="6"/>
        <v>-1868.0347034165243</v>
      </c>
      <c r="H32" s="61">
        <f>H$29-($B$29/$E32)</f>
        <v>-1668.0347034165243</v>
      </c>
      <c r="I32" s="61">
        <f t="shared" si="6"/>
        <v>-1468.0347034165243</v>
      </c>
      <c r="J32" s="62">
        <f t="shared" si="6"/>
        <v>-1268.0347034165243</v>
      </c>
      <c r="K32" s="62">
        <f t="shared" si="6"/>
        <v>-1068.0347034165243</v>
      </c>
      <c r="L32" s="62">
        <f t="shared" si="6"/>
        <v>-868.0347034165243</v>
      </c>
      <c r="M32" s="62">
        <f t="shared" si="6"/>
        <v>-668.0347034165243</v>
      </c>
      <c r="N32" s="63">
        <f t="shared" si="6"/>
        <v>-468.0347034165243</v>
      </c>
      <c r="P32" s="249"/>
      <c r="Q32" s="64">
        <f>E32</f>
        <v>4</v>
      </c>
      <c r="R32" s="56">
        <f>R$29-($B$27/$E32)</f>
        <v>-333.8351463194158</v>
      </c>
      <c r="S32" s="56">
        <f t="shared" si="8"/>
        <v>-133.8351463194158</v>
      </c>
      <c r="T32" s="56">
        <f t="shared" si="8"/>
        <v>66.1648536805842</v>
      </c>
      <c r="U32" s="56">
        <f t="shared" si="8"/>
        <v>266.1648536805842</v>
      </c>
      <c r="V32" s="56">
        <f t="shared" si="8"/>
        <v>466.1648536805842</v>
      </c>
      <c r="W32" s="56">
        <f t="shared" si="8"/>
        <v>666.1648536805842</v>
      </c>
      <c r="X32" s="56">
        <f t="shared" si="8"/>
        <v>866.1648536805842</v>
      </c>
      <c r="Y32" s="56">
        <f t="shared" si="8"/>
        <v>1066.1648536805842</v>
      </c>
      <c r="Z32" s="56">
        <f t="shared" si="8"/>
        <v>1266.1648536805842</v>
      </c>
    </row>
    <row r="33" spans="1:26" ht="13.5" customHeight="1" thickBot="1">
      <c r="A33" s="230" t="s">
        <v>117</v>
      </c>
      <c r="B33" s="240">
        <f>B5</f>
        <v>5300</v>
      </c>
      <c r="C33" s="227"/>
      <c r="D33" s="249"/>
      <c r="E33" s="55">
        <f>E32+0.25</f>
        <v>4.25</v>
      </c>
      <c r="F33" s="60">
        <f t="shared" si="6"/>
        <v>-1685.3856032155527</v>
      </c>
      <c r="G33" s="61">
        <f t="shared" si="6"/>
        <v>-1485.3856032155527</v>
      </c>
      <c r="H33" s="61">
        <f t="shared" si="6"/>
        <v>-1285.3856032155527</v>
      </c>
      <c r="I33" s="62">
        <f t="shared" si="6"/>
        <v>-1085.3856032155527</v>
      </c>
      <c r="J33" s="62">
        <f t="shared" si="6"/>
        <v>-885.3856032155527</v>
      </c>
      <c r="K33" s="62">
        <f t="shared" si="6"/>
        <v>-685.3856032155527</v>
      </c>
      <c r="L33" s="62">
        <f t="shared" si="6"/>
        <v>-485.3856032155527</v>
      </c>
      <c r="M33" s="62">
        <f t="shared" si="6"/>
        <v>-285.3856032155527</v>
      </c>
      <c r="N33" s="63">
        <f t="shared" si="6"/>
        <v>-85.38560321555269</v>
      </c>
      <c r="P33" s="249"/>
      <c r="Q33" s="55">
        <f>Q32+0.25</f>
        <v>4.25</v>
      </c>
      <c r="R33" s="56">
        <f t="shared" si="8"/>
        <v>-53.19778477121508</v>
      </c>
      <c r="S33" s="56">
        <f t="shared" si="8"/>
        <v>146.80221522878492</v>
      </c>
      <c r="T33" s="56">
        <f t="shared" si="8"/>
        <v>346.8022152287849</v>
      </c>
      <c r="U33" s="56">
        <f t="shared" si="8"/>
        <v>546.8022152287849</v>
      </c>
      <c r="V33" s="56">
        <f>V$29-($B$27/$E33)</f>
        <v>746.8022152287849</v>
      </c>
      <c r="W33" s="56">
        <f t="shared" si="8"/>
        <v>946.8022152287849</v>
      </c>
      <c r="X33" s="56">
        <f t="shared" si="8"/>
        <v>1146.802215228785</v>
      </c>
      <c r="Y33" s="56">
        <f t="shared" si="8"/>
        <v>1346.802215228785</v>
      </c>
      <c r="Z33" s="56">
        <f t="shared" si="8"/>
        <v>1546.802215228785</v>
      </c>
    </row>
    <row r="34" spans="1:26" ht="13.5" customHeight="1" thickBot="1">
      <c r="A34" s="232" t="s">
        <v>11</v>
      </c>
      <c r="B34" s="240">
        <f>D5</f>
        <v>63</v>
      </c>
      <c r="C34" s="229"/>
      <c r="D34" s="250"/>
      <c r="E34" s="55">
        <f>E33+0.25</f>
        <v>4.5</v>
      </c>
      <c r="F34" s="65">
        <f t="shared" si="6"/>
        <v>-1345.2530697035772</v>
      </c>
      <c r="G34" s="66">
        <f t="shared" si="6"/>
        <v>-1145.2530697035772</v>
      </c>
      <c r="H34" s="67">
        <f t="shared" si="6"/>
        <v>-945.2530697035772</v>
      </c>
      <c r="I34" s="67">
        <f t="shared" si="6"/>
        <v>-745.2530697035772</v>
      </c>
      <c r="J34" s="67">
        <f t="shared" si="6"/>
        <v>-545.2530697035772</v>
      </c>
      <c r="K34" s="67">
        <f t="shared" si="6"/>
        <v>-345.25306970357724</v>
      </c>
      <c r="L34" s="67">
        <f t="shared" si="6"/>
        <v>-145.25306970357724</v>
      </c>
      <c r="M34" s="67">
        <f t="shared" si="6"/>
        <v>54.74693029642276</v>
      </c>
      <c r="N34" s="68">
        <f t="shared" si="6"/>
        <v>254.74693029642276</v>
      </c>
      <c r="P34" s="250"/>
      <c r="Q34" s="55">
        <f>Q33+0.25</f>
        <v>4.5</v>
      </c>
      <c r="R34" s="56">
        <f t="shared" si="8"/>
        <v>196.25764771607464</v>
      </c>
      <c r="S34" s="56">
        <f t="shared" si="8"/>
        <v>396.25764771607464</v>
      </c>
      <c r="T34" s="56">
        <f t="shared" si="8"/>
        <v>596.2576477160746</v>
      </c>
      <c r="U34" s="56">
        <f t="shared" si="8"/>
        <v>796.2576477160746</v>
      </c>
      <c r="V34" s="56">
        <f t="shared" si="8"/>
        <v>996.2576477160746</v>
      </c>
      <c r="W34" s="56">
        <f t="shared" si="8"/>
        <v>1196.2576477160746</v>
      </c>
      <c r="X34" s="56">
        <f t="shared" si="8"/>
        <v>1396.2576477160746</v>
      </c>
      <c r="Y34" s="56">
        <f t="shared" si="8"/>
        <v>1596.2576477160746</v>
      </c>
      <c r="Z34" s="56">
        <f t="shared" si="8"/>
        <v>1796.2576477160746</v>
      </c>
    </row>
    <row r="35" spans="1:3" ht="13.5" customHeight="1">
      <c r="A35" s="224" t="s">
        <v>12</v>
      </c>
      <c r="B35" s="245">
        <f>B33-B34</f>
        <v>5237</v>
      </c>
      <c r="C35" s="229"/>
    </row>
    <row r="36" ht="13.5" customHeight="1">
      <c r="B36" s="241"/>
    </row>
    <row r="37" ht="13.5" customHeight="1"/>
  </sheetData>
  <sheetProtection selectLockedCells="1"/>
  <mergeCells count="20">
    <mergeCell ref="A12:B12"/>
    <mergeCell ref="A25:B25"/>
    <mergeCell ref="D26:N26"/>
    <mergeCell ref="P26:Z26"/>
    <mergeCell ref="D17:D21"/>
    <mergeCell ref="P17:P21"/>
    <mergeCell ref="D13:N13"/>
    <mergeCell ref="P13:Z13"/>
    <mergeCell ref="D15:E15"/>
    <mergeCell ref="P15:Q15"/>
    <mergeCell ref="A13:B13"/>
    <mergeCell ref="A26:B26"/>
    <mergeCell ref="D30:D34"/>
    <mergeCell ref="P30:P34"/>
    <mergeCell ref="D16:E16"/>
    <mergeCell ref="P16:Q16"/>
    <mergeCell ref="D28:E28"/>
    <mergeCell ref="P28:Q28"/>
    <mergeCell ref="D29:E29"/>
    <mergeCell ref="P29:Q29"/>
  </mergeCells>
  <conditionalFormatting sqref="F17:N21">
    <cfRule type="cellIs" priority="21" dxfId="1" operator="lessThan" stopIfTrue="1">
      <formula>1</formula>
    </cfRule>
    <cfRule type="cellIs" priority="22" dxfId="0" operator="greaterThan" stopIfTrue="1">
      <formula>1</formula>
    </cfRule>
    <cfRule type="cellIs" priority="23" dxfId="1" operator="lessThan" stopIfTrue="1">
      <formula>1</formula>
    </cfRule>
    <cfRule type="cellIs" priority="24" dxfId="0" operator="greaterThan" stopIfTrue="1">
      <formula>1</formula>
    </cfRule>
  </conditionalFormatting>
  <conditionalFormatting sqref="F30:N34">
    <cfRule type="cellIs" priority="17" dxfId="1" operator="lessThan" stopIfTrue="1">
      <formula>1</formula>
    </cfRule>
    <cfRule type="cellIs" priority="18" dxfId="0" operator="greaterThan" stopIfTrue="1">
      <formula>1</formula>
    </cfRule>
    <cfRule type="cellIs" priority="19" dxfId="1" operator="lessThan" stopIfTrue="1">
      <formula>1</formula>
    </cfRule>
    <cfRule type="cellIs" priority="20" dxfId="0" operator="greaterThan" stopIfTrue="1">
      <formula>1</formula>
    </cfRule>
  </conditionalFormatting>
  <conditionalFormatting sqref="R17:Z21">
    <cfRule type="cellIs" priority="13" dxfId="1" operator="lessThan" stopIfTrue="1">
      <formula>1</formula>
    </cfRule>
    <cfRule type="cellIs" priority="14" dxfId="0" operator="greaterThan" stopIfTrue="1">
      <formula>1</formula>
    </cfRule>
    <cfRule type="cellIs" priority="15" dxfId="1" operator="lessThan" stopIfTrue="1">
      <formula>1</formula>
    </cfRule>
    <cfRule type="cellIs" priority="16" dxfId="0" operator="greaterThan" stopIfTrue="1">
      <formula>1</formula>
    </cfRule>
  </conditionalFormatting>
  <conditionalFormatting sqref="R30:Z34">
    <cfRule type="cellIs" priority="9" dxfId="1" operator="lessThan" stopIfTrue="1">
      <formula>1</formula>
    </cfRule>
    <cfRule type="cellIs" priority="10" dxfId="0" operator="greaterThan" stopIfTrue="1">
      <formula>1</formula>
    </cfRule>
    <cfRule type="cellIs" priority="11" dxfId="1" operator="lessThan" stopIfTrue="1">
      <formula>1</formula>
    </cfRule>
    <cfRule type="cellIs" priority="12" dxfId="0" operator="greaterThan" stopIfTrue="1">
      <formula>1</formula>
    </cfRule>
  </conditionalFormatting>
  <dataValidations count="2">
    <dataValidation type="list" allowBlank="1" showInputMessage="1" showErrorMessage="1" sqref="B18">
      <formula1>Opbrengspeil</formula1>
    </dataValidation>
    <dataValidation type="list" allowBlank="1" showInputMessage="1" showErrorMessage="1" sqref="B31">
      <formula1>Sojaopbrengspeil</formula1>
    </dataValidation>
  </dataValidation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U44"/>
  <sheetViews>
    <sheetView zoomScale="85" zoomScaleNormal="85" zoomScaleSheetLayoutView="90" zoomScalePageLayoutView="0" workbookViewId="0" topLeftCell="A1">
      <selection activeCell="A1" sqref="A1:D1"/>
    </sheetView>
  </sheetViews>
  <sheetFormatPr defaultColWidth="9.140625" defaultRowHeight="12.75"/>
  <cols>
    <col min="1" max="1" width="43.140625" style="1" customWidth="1"/>
    <col min="2" max="2" width="12.140625" style="1" customWidth="1"/>
    <col min="3" max="3" width="11.421875" style="1" customWidth="1"/>
    <col min="4" max="4" width="10.57421875" style="1" customWidth="1"/>
    <col min="5" max="5" width="10.140625" style="1" customWidth="1"/>
    <col min="6" max="8" width="10.7109375" style="1" customWidth="1"/>
    <col min="9" max="9" width="11.7109375" style="1" customWidth="1"/>
    <col min="10" max="10" width="11.00390625" style="1" customWidth="1"/>
    <col min="11" max="11" width="10.7109375" style="1" hidden="1" customWidth="1"/>
    <col min="12" max="12" width="11.57421875" style="1" hidden="1" customWidth="1"/>
    <col min="13" max="21" width="12.7109375" style="1" hidden="1" customWidth="1"/>
    <col min="22" max="26" width="12.7109375" style="1" customWidth="1"/>
    <col min="27" max="37" width="9.140625" style="1" customWidth="1"/>
    <col min="38" max="16384" width="9.140625" style="1" customWidth="1"/>
  </cols>
  <sheetData>
    <row r="1" spans="1:10" ht="33" customHeight="1" thickBot="1">
      <c r="A1" s="274" t="s">
        <v>19</v>
      </c>
      <c r="B1" s="275"/>
      <c r="C1" s="275"/>
      <c r="D1" s="275"/>
      <c r="E1" s="276" t="s">
        <v>118</v>
      </c>
      <c r="F1" s="276"/>
      <c r="G1" s="276"/>
      <c r="H1" s="2"/>
      <c r="I1" s="15"/>
      <c r="J1" s="14"/>
    </row>
    <row r="2" spans="1:10" ht="16.5" thickBot="1">
      <c r="A2" s="16"/>
      <c r="B2" s="17"/>
      <c r="C2" s="18"/>
      <c r="D2" s="18"/>
      <c r="E2" s="11"/>
      <c r="F2" s="11"/>
      <c r="G2" s="11"/>
      <c r="H2" s="11"/>
      <c r="I2" s="4"/>
      <c r="J2" s="3"/>
    </row>
    <row r="3" spans="1:9" ht="27" customHeight="1" thickBot="1">
      <c r="A3" s="279" t="s">
        <v>21</v>
      </c>
      <c r="B3" s="277"/>
      <c r="C3" s="277"/>
      <c r="D3" s="31"/>
      <c r="E3" s="103">
        <f>'Pryse + Sensatiwiteitsanalise'!B22</f>
        <v>2355</v>
      </c>
      <c r="F3" s="31" t="s">
        <v>0</v>
      </c>
      <c r="G3" s="31"/>
      <c r="H3" s="29"/>
      <c r="I3" s="32"/>
    </row>
    <row r="4" spans="1:10" ht="13.5" thickBot="1">
      <c r="A4" s="90"/>
      <c r="B4" s="91"/>
      <c r="C4" s="91"/>
      <c r="D4" s="37"/>
      <c r="E4" s="36"/>
      <c r="F4" s="35"/>
      <c r="G4" s="38"/>
      <c r="H4" s="34"/>
      <c r="I4" s="30"/>
      <c r="J4" s="3"/>
    </row>
    <row r="5" spans="1:10" ht="13.5" thickBot="1">
      <c r="A5" s="90" t="s">
        <v>22</v>
      </c>
      <c r="B5" s="91"/>
      <c r="C5" s="91"/>
      <c r="D5" s="33">
        <v>11</v>
      </c>
      <c r="E5" s="33">
        <v>12</v>
      </c>
      <c r="F5" s="33">
        <v>13</v>
      </c>
      <c r="G5" s="33">
        <v>14</v>
      </c>
      <c r="H5" s="33">
        <v>15</v>
      </c>
      <c r="I5" s="33">
        <v>16</v>
      </c>
      <c r="J5" s="3"/>
    </row>
    <row r="6" spans="1:10" ht="13.5" thickBot="1">
      <c r="A6" s="92" t="s">
        <v>23</v>
      </c>
      <c r="B6" s="93"/>
      <c r="C6" s="98"/>
      <c r="D6" s="9">
        <f aca="true" t="shared" si="0" ref="D6:I6">$E$3*D5</f>
        <v>25905</v>
      </c>
      <c r="E6" s="9">
        <f t="shared" si="0"/>
        <v>28260</v>
      </c>
      <c r="F6" s="9">
        <f t="shared" si="0"/>
        <v>30615</v>
      </c>
      <c r="G6" s="9">
        <f t="shared" si="0"/>
        <v>32970</v>
      </c>
      <c r="H6" s="9">
        <f t="shared" si="0"/>
        <v>35325</v>
      </c>
      <c r="I6" s="9">
        <f t="shared" si="0"/>
        <v>37680</v>
      </c>
      <c r="J6" s="3"/>
    </row>
    <row r="7" spans="1:21" ht="15.75" thickBot="1">
      <c r="A7" s="95"/>
      <c r="B7" s="96"/>
      <c r="C7" s="96"/>
      <c r="D7" s="23"/>
      <c r="E7" s="23"/>
      <c r="F7" s="23"/>
      <c r="G7" s="23"/>
      <c r="H7" s="23"/>
      <c r="I7" s="23"/>
      <c r="J7" s="3"/>
      <c r="S7" s="264" t="s">
        <v>53</v>
      </c>
      <c r="T7" s="264"/>
      <c r="U7" s="264"/>
    </row>
    <row r="8" spans="1:21" ht="15.75" thickBot="1">
      <c r="A8" s="258" t="s">
        <v>24</v>
      </c>
      <c r="B8" s="259"/>
      <c r="C8" s="260"/>
      <c r="D8" s="24"/>
      <c r="E8" s="24"/>
      <c r="F8" s="24"/>
      <c r="G8" s="24"/>
      <c r="H8" s="24"/>
      <c r="I8" s="24"/>
      <c r="J8" s="3"/>
      <c r="S8" s="105" t="s">
        <v>54</v>
      </c>
      <c r="T8" s="105" t="s">
        <v>55</v>
      </c>
      <c r="U8" s="105" t="s">
        <v>56</v>
      </c>
    </row>
    <row r="9" spans="1:21" ht="15">
      <c r="A9" s="99" t="s">
        <v>25</v>
      </c>
      <c r="B9" s="100"/>
      <c r="C9" s="100"/>
      <c r="D9" s="149">
        <v>4840.03125</v>
      </c>
      <c r="E9" s="149">
        <v>4840.03125</v>
      </c>
      <c r="F9" s="149">
        <v>4840.03125</v>
      </c>
      <c r="G9" s="149">
        <v>4840.03125</v>
      </c>
      <c r="H9" s="149">
        <v>5377.8125</v>
      </c>
      <c r="I9" s="149">
        <v>5377.8125</v>
      </c>
      <c r="J9" s="3"/>
      <c r="S9" s="106">
        <f>D5</f>
        <v>11</v>
      </c>
      <c r="T9" s="106">
        <f>D26</f>
        <v>28323.99979643537</v>
      </c>
      <c r="U9" s="106">
        <f>D28</f>
        <v>6936.798228388436</v>
      </c>
    </row>
    <row r="10" spans="1:21" ht="15">
      <c r="A10" s="94" t="s">
        <v>26</v>
      </c>
      <c r="B10" s="97"/>
      <c r="C10" s="97"/>
      <c r="D10" s="150">
        <v>9462.4</v>
      </c>
      <c r="E10" s="150">
        <v>9462.4</v>
      </c>
      <c r="F10" s="150">
        <v>9462.4</v>
      </c>
      <c r="G10" s="150">
        <v>9462.4</v>
      </c>
      <c r="H10" s="150">
        <v>9986.949999999999</v>
      </c>
      <c r="I10" s="150">
        <v>9986.949999999999</v>
      </c>
      <c r="J10" s="3"/>
      <c r="S10" s="106">
        <f>E5</f>
        <v>12</v>
      </c>
      <c r="T10" s="106">
        <f>E26</f>
        <v>28844.17060028954</v>
      </c>
      <c r="U10" s="106">
        <f>E28</f>
        <v>6936.798228388436</v>
      </c>
    </row>
    <row r="11" spans="1:21" ht="15">
      <c r="A11" s="94" t="s">
        <v>27</v>
      </c>
      <c r="B11" s="97"/>
      <c r="C11" s="97"/>
      <c r="D11" s="150">
        <v>0</v>
      </c>
      <c r="E11" s="150">
        <v>0</v>
      </c>
      <c r="F11" s="150">
        <v>0</v>
      </c>
      <c r="G11" s="150">
        <v>0</v>
      </c>
      <c r="H11" s="150">
        <v>0</v>
      </c>
      <c r="I11" s="150">
        <v>0</v>
      </c>
      <c r="J11" s="3"/>
      <c r="S11" s="106">
        <f>F5</f>
        <v>13</v>
      </c>
      <c r="T11" s="106">
        <f>F26</f>
        <v>29412.88089985799</v>
      </c>
      <c r="U11" s="106">
        <f>F28</f>
        <v>6936.798228388436</v>
      </c>
    </row>
    <row r="12" spans="1:21" ht="15">
      <c r="A12" s="94" t="s">
        <v>28</v>
      </c>
      <c r="B12" s="97"/>
      <c r="C12" s="97"/>
      <c r="D12" s="150">
        <v>967.4952000000001</v>
      </c>
      <c r="E12" s="150">
        <v>999.1647000000002</v>
      </c>
      <c r="F12" s="150">
        <v>1030.8342000000002</v>
      </c>
      <c r="G12" s="150">
        <v>1062.5037000000002</v>
      </c>
      <c r="H12" s="150">
        <v>1094.1732000000002</v>
      </c>
      <c r="I12" s="150">
        <v>1125.8427000000001</v>
      </c>
      <c r="J12" s="3"/>
      <c r="S12" s="106">
        <f>G5</f>
        <v>14</v>
      </c>
      <c r="T12" s="106">
        <f>G26</f>
        <v>29496.19624228359</v>
      </c>
      <c r="U12" s="106">
        <f>G28</f>
        <v>6936.798228388436</v>
      </c>
    </row>
    <row r="13" spans="1:21" ht="15">
      <c r="A13" s="94" t="s">
        <v>29</v>
      </c>
      <c r="B13" s="97"/>
      <c r="C13" s="97"/>
      <c r="D13" s="150">
        <v>444.23</v>
      </c>
      <c r="E13" s="150">
        <v>450.36</v>
      </c>
      <c r="F13" s="150">
        <v>456.49</v>
      </c>
      <c r="G13" s="150">
        <v>462.62</v>
      </c>
      <c r="H13" s="150">
        <v>468.75</v>
      </c>
      <c r="I13" s="150">
        <v>474.88</v>
      </c>
      <c r="J13" s="3"/>
      <c r="S13" s="106">
        <f>H5</f>
        <v>15</v>
      </c>
      <c r="T13" s="106">
        <f>H26</f>
        <v>31278.08702266624</v>
      </c>
      <c r="U13" s="106">
        <f>H28</f>
        <v>6936.798228388436</v>
      </c>
    </row>
    <row r="14" spans="1:21" ht="15">
      <c r="A14" s="94" t="s">
        <v>30</v>
      </c>
      <c r="B14" s="97"/>
      <c r="C14" s="97"/>
      <c r="D14" s="150">
        <v>254</v>
      </c>
      <c r="E14" s="150">
        <v>254</v>
      </c>
      <c r="F14" s="150">
        <v>254</v>
      </c>
      <c r="G14" s="150">
        <v>254</v>
      </c>
      <c r="H14" s="150">
        <v>254</v>
      </c>
      <c r="I14" s="150">
        <v>254</v>
      </c>
      <c r="J14" s="3"/>
      <c r="S14" s="106">
        <f>I5</f>
        <v>16</v>
      </c>
      <c r="T14" s="106">
        <f>I26</f>
        <v>31895.336817948984</v>
      </c>
      <c r="U14" s="106">
        <f>I28</f>
        <v>6936.798228388436</v>
      </c>
    </row>
    <row r="15" spans="1:10" ht="12.75">
      <c r="A15" s="94" t="s">
        <v>31</v>
      </c>
      <c r="B15" s="97"/>
      <c r="C15" s="97"/>
      <c r="D15" s="150">
        <v>2736.8</v>
      </c>
      <c r="E15" s="150">
        <v>2736.8</v>
      </c>
      <c r="F15" s="150">
        <v>2736.8</v>
      </c>
      <c r="G15" s="150">
        <v>2736.8</v>
      </c>
      <c r="H15" s="150">
        <v>2736.8</v>
      </c>
      <c r="I15" s="150">
        <v>2736.8</v>
      </c>
      <c r="J15" s="3"/>
    </row>
    <row r="16" spans="1:10" ht="12.75">
      <c r="A16" s="94" t="s">
        <v>32</v>
      </c>
      <c r="B16" s="97"/>
      <c r="C16" s="97"/>
      <c r="D16" s="150">
        <v>0</v>
      </c>
      <c r="E16" s="150">
        <v>0</v>
      </c>
      <c r="F16" s="150">
        <v>0</v>
      </c>
      <c r="G16" s="150">
        <v>0</v>
      </c>
      <c r="H16" s="150">
        <v>0</v>
      </c>
      <c r="I16" s="150">
        <v>0</v>
      </c>
      <c r="J16" s="3"/>
    </row>
    <row r="17" spans="1:10" ht="12.75">
      <c r="A17" s="94" t="s">
        <v>33</v>
      </c>
      <c r="B17" s="97"/>
      <c r="C17" s="97"/>
      <c r="D17" s="150">
        <v>3974.824</v>
      </c>
      <c r="E17" s="150">
        <v>4357.360000000001</v>
      </c>
      <c r="F17" s="150">
        <v>4782.400000000001</v>
      </c>
      <c r="G17" s="150">
        <v>4782.400000000001</v>
      </c>
      <c r="H17" s="150">
        <v>5207.4400000000005</v>
      </c>
      <c r="I17" s="150">
        <v>5674.984000000002</v>
      </c>
      <c r="J17" s="3"/>
    </row>
    <row r="18" spans="1:10" ht="12.75">
      <c r="A18" s="94" t="s">
        <v>34</v>
      </c>
      <c r="B18" s="97"/>
      <c r="C18" s="97"/>
      <c r="D18" s="150">
        <v>2114.4982312925167</v>
      </c>
      <c r="E18" s="150">
        <v>2153.230522959184</v>
      </c>
      <c r="F18" s="150">
        <v>2195.577100340136</v>
      </c>
      <c r="G18" s="150">
        <v>2201.780820578231</v>
      </c>
      <c r="H18" s="150">
        <v>2334.46168792517</v>
      </c>
      <c r="I18" s="150">
        <v>2380.4225510204083</v>
      </c>
      <c r="J18" s="3"/>
    </row>
    <row r="19" spans="1:10" ht="12.75">
      <c r="A19" s="94" t="s">
        <v>35</v>
      </c>
      <c r="B19" s="97"/>
      <c r="C19" s="97"/>
      <c r="D19" s="150">
        <v>1400</v>
      </c>
      <c r="E19" s="150">
        <v>1400</v>
      </c>
      <c r="F19" s="150">
        <v>1400</v>
      </c>
      <c r="G19" s="150">
        <v>1400</v>
      </c>
      <c r="H19" s="150">
        <v>1400</v>
      </c>
      <c r="I19" s="150">
        <v>1400</v>
      </c>
      <c r="J19" s="3"/>
    </row>
    <row r="20" spans="1:10" ht="12.75">
      <c r="A20" s="94" t="s">
        <v>36</v>
      </c>
      <c r="B20" s="97"/>
      <c r="C20" s="97"/>
      <c r="D20" s="150">
        <v>386.71875</v>
      </c>
      <c r="E20" s="150">
        <v>421.875</v>
      </c>
      <c r="F20" s="150">
        <v>457.03125</v>
      </c>
      <c r="G20" s="150">
        <v>492.1875</v>
      </c>
      <c r="H20" s="150">
        <v>527.34375</v>
      </c>
      <c r="I20" s="150">
        <v>562.5</v>
      </c>
      <c r="J20" s="3"/>
    </row>
    <row r="21" spans="1:10" ht="12.75">
      <c r="A21" s="94" t="s">
        <v>37</v>
      </c>
      <c r="B21" s="97"/>
      <c r="C21" s="97"/>
      <c r="D21" s="150">
        <v>400</v>
      </c>
      <c r="E21" s="150">
        <v>400</v>
      </c>
      <c r="F21" s="150">
        <v>400</v>
      </c>
      <c r="G21" s="150">
        <v>400</v>
      </c>
      <c r="H21" s="150">
        <v>400</v>
      </c>
      <c r="I21" s="150">
        <v>400</v>
      </c>
      <c r="J21" s="3"/>
    </row>
    <row r="22" spans="1:10" s="13" customFormat="1" ht="12.75">
      <c r="A22" s="94" t="s">
        <v>38</v>
      </c>
      <c r="B22" s="97"/>
      <c r="C22" s="97"/>
      <c r="D22" s="150">
        <v>0</v>
      </c>
      <c r="E22" s="150">
        <v>0</v>
      </c>
      <c r="F22" s="150">
        <v>0</v>
      </c>
      <c r="G22" s="150">
        <v>0</v>
      </c>
      <c r="H22" s="150">
        <v>0</v>
      </c>
      <c r="I22" s="150">
        <v>0</v>
      </c>
      <c r="J22" s="3"/>
    </row>
    <row r="23" spans="1:10" s="13" customFormat="1" ht="12.75">
      <c r="A23" s="94" t="s">
        <v>39</v>
      </c>
      <c r="B23" s="97"/>
      <c r="C23" s="97"/>
      <c r="D23" s="150">
        <v>0</v>
      </c>
      <c r="E23" s="150">
        <v>0</v>
      </c>
      <c r="F23" s="150">
        <v>0</v>
      </c>
      <c r="G23" s="150">
        <v>0</v>
      </c>
      <c r="H23" s="150">
        <v>0</v>
      </c>
      <c r="I23" s="150">
        <v>0</v>
      </c>
      <c r="J23" s="3"/>
    </row>
    <row r="24" spans="1:10" s="13" customFormat="1" ht="12.75">
      <c r="A24" s="94" t="s">
        <v>40</v>
      </c>
      <c r="B24" s="97"/>
      <c r="C24" s="97"/>
      <c r="D24" s="150">
        <v>0</v>
      </c>
      <c r="E24" s="150">
        <v>0</v>
      </c>
      <c r="F24" s="150">
        <v>0</v>
      </c>
      <c r="G24" s="150">
        <v>0</v>
      </c>
      <c r="H24" s="150">
        <v>0</v>
      </c>
      <c r="I24" s="150">
        <v>0</v>
      </c>
      <c r="J24" s="3"/>
    </row>
    <row r="25" spans="1:10" s="13" customFormat="1" ht="13.5" thickBot="1">
      <c r="A25" s="94" t="s">
        <v>41</v>
      </c>
      <c r="B25" s="97"/>
      <c r="C25" s="97"/>
      <c r="D25" s="150">
        <v>1343.002365142857</v>
      </c>
      <c r="E25" s="150">
        <v>1368.9491273303568</v>
      </c>
      <c r="F25" s="150">
        <v>1397.317099517857</v>
      </c>
      <c r="G25" s="150">
        <v>1401.4729717053572</v>
      </c>
      <c r="H25" s="150">
        <v>1490.3558847410713</v>
      </c>
      <c r="I25" s="150">
        <v>1521.1450669285714</v>
      </c>
      <c r="J25" s="3"/>
    </row>
    <row r="26" spans="1:10" s="13" customFormat="1" ht="26.25" customHeight="1" thickBot="1">
      <c r="A26" s="261" t="s">
        <v>42</v>
      </c>
      <c r="B26" s="262"/>
      <c r="C26" s="263"/>
      <c r="D26" s="25">
        <f aca="true" t="shared" si="1" ref="D26:I26">SUM(D9:D25)</f>
        <v>28323.99979643537</v>
      </c>
      <c r="E26" s="25">
        <f t="shared" si="1"/>
        <v>28844.17060028954</v>
      </c>
      <c r="F26" s="25">
        <f t="shared" si="1"/>
        <v>29412.88089985799</v>
      </c>
      <c r="G26" s="25">
        <f t="shared" si="1"/>
        <v>29496.19624228359</v>
      </c>
      <c r="H26" s="25">
        <f t="shared" si="1"/>
        <v>31278.08702266624</v>
      </c>
      <c r="I26" s="25">
        <f t="shared" si="1"/>
        <v>31895.336817948984</v>
      </c>
      <c r="J26" s="3"/>
    </row>
    <row r="27" spans="1:10" s="13" customFormat="1" ht="13.5" thickBot="1">
      <c r="A27" s="101"/>
      <c r="B27" s="102"/>
      <c r="C27" s="102"/>
      <c r="D27" s="26"/>
      <c r="E27" s="26"/>
      <c r="F27" s="26"/>
      <c r="G27" s="26"/>
      <c r="H27" s="26"/>
      <c r="I27" s="26"/>
      <c r="J27" s="3"/>
    </row>
    <row r="28" spans="1:10" s="130" customFormat="1" ht="13.5" thickBot="1">
      <c r="A28" s="284" t="s">
        <v>43</v>
      </c>
      <c r="B28" s="285"/>
      <c r="C28" s="286"/>
      <c r="D28" s="25">
        <v>6936.798228388436</v>
      </c>
      <c r="E28" s="25">
        <v>6936.798228388436</v>
      </c>
      <c r="F28" s="25">
        <v>6936.798228388436</v>
      </c>
      <c r="G28" s="25">
        <v>6936.798228388436</v>
      </c>
      <c r="H28" s="25">
        <v>6936.798228388436</v>
      </c>
      <c r="I28" s="25">
        <v>6936.798228388436</v>
      </c>
      <c r="J28" s="132"/>
    </row>
    <row r="29" spans="1:10" ht="13.5" thickBot="1">
      <c r="A29" s="101"/>
      <c r="B29" s="102"/>
      <c r="C29" s="102"/>
      <c r="D29" s="26"/>
      <c r="E29" s="26"/>
      <c r="F29" s="26"/>
      <c r="G29" s="26"/>
      <c r="H29" s="26"/>
      <c r="I29" s="26"/>
      <c r="J29" s="3"/>
    </row>
    <row r="30" spans="1:10" ht="26.25" customHeight="1" thickBot="1">
      <c r="A30" s="261" t="s">
        <v>44</v>
      </c>
      <c r="B30" s="262"/>
      <c r="C30" s="263"/>
      <c r="D30" s="25">
        <f aca="true" t="shared" si="2" ref="D30:I30">D26+D28</f>
        <v>35260.79802482381</v>
      </c>
      <c r="E30" s="25">
        <f t="shared" si="2"/>
        <v>35780.96882867798</v>
      </c>
      <c r="F30" s="25">
        <f t="shared" si="2"/>
        <v>36349.679128246426</v>
      </c>
      <c r="G30" s="25">
        <f t="shared" si="2"/>
        <v>36432.99447067203</v>
      </c>
      <c r="H30" s="25">
        <f t="shared" si="2"/>
        <v>38214.88525105468</v>
      </c>
      <c r="I30" s="25">
        <f t="shared" si="2"/>
        <v>38832.13504633742</v>
      </c>
      <c r="J30" s="3"/>
    </row>
    <row r="31" spans="1:10" ht="13.5" thickBot="1">
      <c r="A31" s="95"/>
      <c r="B31" s="96"/>
      <c r="C31" s="96"/>
      <c r="D31" s="28"/>
      <c r="E31" s="28"/>
      <c r="F31" s="28"/>
      <c r="G31" s="28"/>
      <c r="H31" s="28"/>
      <c r="I31" s="28"/>
      <c r="J31" s="3"/>
    </row>
    <row r="32" spans="1:10" ht="27" customHeight="1" thickBot="1">
      <c r="A32" s="261" t="s">
        <v>45</v>
      </c>
      <c r="B32" s="287"/>
      <c r="C32" s="288"/>
      <c r="D32" s="25">
        <f aca="true" t="shared" si="3" ref="D32:I32">D30/D5</f>
        <v>3205.527093165801</v>
      </c>
      <c r="E32" s="25">
        <f t="shared" si="3"/>
        <v>2981.7474023898317</v>
      </c>
      <c r="F32" s="25">
        <f t="shared" si="3"/>
        <v>2796.1291637112636</v>
      </c>
      <c r="G32" s="25">
        <f t="shared" si="3"/>
        <v>2602.356747905145</v>
      </c>
      <c r="H32" s="25">
        <f t="shared" si="3"/>
        <v>2547.6590167369786</v>
      </c>
      <c r="I32" s="25">
        <f t="shared" si="3"/>
        <v>2427.0084403960886</v>
      </c>
      <c r="J32" s="3"/>
    </row>
    <row r="33" spans="1:10" ht="13.5" thickBot="1">
      <c r="A33" s="95"/>
      <c r="B33" s="96"/>
      <c r="C33" s="96"/>
      <c r="D33" s="28"/>
      <c r="E33" s="28"/>
      <c r="F33" s="28"/>
      <c r="G33" s="28"/>
      <c r="H33" s="28"/>
      <c r="I33" s="28"/>
      <c r="J33" s="3"/>
    </row>
    <row r="34" spans="1:10" ht="13.5" thickBot="1">
      <c r="A34" s="92" t="s">
        <v>46</v>
      </c>
      <c r="B34" s="93"/>
      <c r="C34" s="93"/>
      <c r="D34" s="25">
        <f>'Pryse + Sensatiwiteitsanalise'!D4</f>
        <v>345</v>
      </c>
      <c r="E34" s="25">
        <f>$D$34</f>
        <v>345</v>
      </c>
      <c r="F34" s="25">
        <f>$D$34</f>
        <v>345</v>
      </c>
      <c r="G34" s="25">
        <f>$D$34</f>
        <v>345</v>
      </c>
      <c r="H34" s="25">
        <f>$D$34</f>
        <v>345</v>
      </c>
      <c r="I34" s="25">
        <f>$D$34</f>
        <v>345</v>
      </c>
      <c r="J34" s="3"/>
    </row>
    <row r="35" spans="1:10" ht="13.5" thickBot="1">
      <c r="A35" s="95"/>
      <c r="B35" s="96"/>
      <c r="C35" s="96"/>
      <c r="D35" s="28"/>
      <c r="E35" s="28"/>
      <c r="F35" s="28"/>
      <c r="G35" s="28"/>
      <c r="H35" s="28"/>
      <c r="I35" s="28"/>
      <c r="J35" s="3"/>
    </row>
    <row r="36" spans="1:10" ht="13.5" thickBot="1">
      <c r="A36" s="279" t="s">
        <v>47</v>
      </c>
      <c r="B36" s="277"/>
      <c r="C36" s="278"/>
      <c r="D36" s="27">
        <f aca="true" t="shared" si="4" ref="D36:I36">D32+D34</f>
        <v>3550.527093165801</v>
      </c>
      <c r="E36" s="27">
        <f t="shared" si="4"/>
        <v>3326.7474023898317</v>
      </c>
      <c r="F36" s="27">
        <f t="shared" si="4"/>
        <v>3141.1291637112636</v>
      </c>
      <c r="G36" s="27">
        <f t="shared" si="4"/>
        <v>2947.356747905145</v>
      </c>
      <c r="H36" s="27">
        <f t="shared" si="4"/>
        <v>2892.6590167369786</v>
      </c>
      <c r="I36" s="27">
        <f t="shared" si="4"/>
        <v>2772.0084403960886</v>
      </c>
      <c r="J36" s="3"/>
    </row>
    <row r="37" spans="1:10" ht="13.5" thickBot="1">
      <c r="A37" s="87" t="s">
        <v>48</v>
      </c>
      <c r="B37" s="88"/>
      <c r="C37" s="89"/>
      <c r="D37" s="27">
        <f>'Pryse + Sensatiwiteitsanalise'!B4</f>
        <v>2700</v>
      </c>
      <c r="E37" s="27">
        <f>$D$37</f>
        <v>2700</v>
      </c>
      <c r="F37" s="27">
        <f>$D$37</f>
        <v>2700</v>
      </c>
      <c r="G37" s="27">
        <f>$D$37</f>
        <v>2700</v>
      </c>
      <c r="H37" s="27">
        <f>$D$37</f>
        <v>2700</v>
      </c>
      <c r="I37" s="27">
        <f>$D$37</f>
        <v>2700</v>
      </c>
      <c r="J37" s="14"/>
    </row>
    <row r="38" spans="1:10" ht="12.75">
      <c r="A38" s="77" t="s">
        <v>18</v>
      </c>
      <c r="B38" s="79"/>
      <c r="C38" s="79"/>
      <c r="D38" s="79"/>
      <c r="E38" s="79"/>
      <c r="F38" s="79"/>
      <c r="G38" s="79"/>
      <c r="H38" s="80"/>
      <c r="I38" s="41"/>
      <c r="J38" s="41"/>
    </row>
    <row r="39" spans="1:10" ht="12.75">
      <c r="A39" s="76" t="s">
        <v>15</v>
      </c>
      <c r="B39" s="82"/>
      <c r="C39" s="82"/>
      <c r="D39" s="82"/>
      <c r="E39" s="82"/>
      <c r="F39" s="82"/>
      <c r="G39" s="82"/>
      <c r="H39" s="83"/>
      <c r="I39" s="41"/>
      <c r="J39" s="41"/>
    </row>
    <row r="40" spans="1:10" ht="13.5" thickBot="1">
      <c r="A40" s="75" t="s">
        <v>16</v>
      </c>
      <c r="B40" s="85"/>
      <c r="C40" s="85"/>
      <c r="D40" s="85"/>
      <c r="E40" s="85"/>
      <c r="F40" s="85"/>
      <c r="G40" s="85"/>
      <c r="H40" s="86"/>
      <c r="I40" s="41"/>
      <c r="J40" s="41"/>
    </row>
    <row r="41" spans="1:10" ht="12.75">
      <c r="A41" s="265" t="s">
        <v>17</v>
      </c>
      <c r="B41" s="266"/>
      <c r="C41" s="266"/>
      <c r="D41" s="266"/>
      <c r="E41" s="266"/>
      <c r="F41" s="266"/>
      <c r="G41" s="266"/>
      <c r="H41" s="267"/>
      <c r="I41"/>
      <c r="J41"/>
    </row>
    <row r="42" spans="1:10" ht="12.75">
      <c r="A42" s="268"/>
      <c r="B42" s="269"/>
      <c r="C42" s="269"/>
      <c r="D42" s="269"/>
      <c r="E42" s="269"/>
      <c r="F42" s="269"/>
      <c r="G42" s="269"/>
      <c r="H42" s="270"/>
      <c r="I42"/>
      <c r="J42"/>
    </row>
    <row r="43" spans="1:10" ht="12.75">
      <c r="A43" s="268"/>
      <c r="B43" s="269"/>
      <c r="C43" s="269"/>
      <c r="D43" s="269"/>
      <c r="E43" s="269"/>
      <c r="F43" s="269"/>
      <c r="G43" s="269"/>
      <c r="H43" s="270"/>
      <c r="I43"/>
      <c r="J43"/>
    </row>
    <row r="44" spans="1:10" ht="13.5" thickBot="1">
      <c r="A44" s="271"/>
      <c r="B44" s="272"/>
      <c r="C44" s="272"/>
      <c r="D44" s="272"/>
      <c r="E44" s="272"/>
      <c r="F44" s="272"/>
      <c r="G44" s="272"/>
      <c r="H44" s="273"/>
      <c r="I44"/>
      <c r="J44"/>
    </row>
  </sheetData>
  <sheetProtection/>
  <mergeCells count="11">
    <mergeCell ref="A1:D1"/>
    <mergeCell ref="E1:G1"/>
    <mergeCell ref="A32:C32"/>
    <mergeCell ref="A36:C36"/>
    <mergeCell ref="A3:C3"/>
    <mergeCell ref="A8:C8"/>
    <mergeCell ref="A26:C26"/>
    <mergeCell ref="A28:C28"/>
    <mergeCell ref="A30:C30"/>
    <mergeCell ref="S7:U7"/>
    <mergeCell ref="A41:H44"/>
  </mergeCells>
  <printOptions/>
  <pageMargins left="0.35433070866141736" right="0.35433070866141736" top="0.5905511811023623" bottom="0.5905511811023623" header="0.31496062992125984" footer="0.31496062992125984"/>
  <pageSetup fitToHeight="0" fitToWidth="1" horizontalDpi="600" verticalDpi="600" orientation="portrait" scale="77" r:id="rId2"/>
  <headerFooter alignWithMargins="0">
    <oddHeader>&amp;C&amp;F</oddHeader>
    <oddFooter>&amp;C&amp;A&amp;RPage &amp;P</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U40"/>
  <sheetViews>
    <sheetView zoomScale="80" zoomScaleNormal="80" zoomScaleSheetLayoutView="70" workbookViewId="0" topLeftCell="A1">
      <selection activeCell="A1" sqref="A1:D1"/>
    </sheetView>
  </sheetViews>
  <sheetFormatPr defaultColWidth="9.140625" defaultRowHeight="12.75"/>
  <cols>
    <col min="1" max="1" width="41.7109375" style="1" customWidth="1"/>
    <col min="2" max="2" width="15.7109375" style="1" bestFit="1" customWidth="1"/>
    <col min="3" max="4" width="14.421875" style="1" customWidth="1"/>
    <col min="5" max="9" width="14.28125" style="1" customWidth="1"/>
    <col min="10" max="10" width="14.421875" style="1" customWidth="1"/>
    <col min="11" max="21" width="12.7109375" style="1" hidden="1" customWidth="1"/>
    <col min="22" max="26" width="12.7109375" style="1" customWidth="1"/>
    <col min="27" max="16384" width="9.140625" style="1" customWidth="1"/>
  </cols>
  <sheetData>
    <row r="1" spans="1:11" ht="33" customHeight="1" thickBot="1">
      <c r="A1" s="274" t="s">
        <v>20</v>
      </c>
      <c r="B1" s="275"/>
      <c r="C1" s="275"/>
      <c r="D1" s="275"/>
      <c r="E1" s="276" t="s">
        <v>118</v>
      </c>
      <c r="F1" s="276"/>
      <c r="G1" s="276"/>
      <c r="H1" s="2"/>
      <c r="I1" s="15"/>
      <c r="J1" s="14"/>
      <c r="K1" s="14"/>
    </row>
    <row r="2" spans="1:11" ht="16.5" thickBot="1">
      <c r="A2" s="16"/>
      <c r="B2" s="17"/>
      <c r="C2" s="18"/>
      <c r="D2" s="18"/>
      <c r="E2" s="11"/>
      <c r="F2" s="11"/>
      <c r="G2" s="11"/>
      <c r="H2" s="11"/>
      <c r="I2" s="4"/>
      <c r="J2" s="3"/>
      <c r="K2" s="14"/>
    </row>
    <row r="3" spans="1:11" ht="27" customHeight="1" thickBot="1">
      <c r="A3" s="279" t="s">
        <v>21</v>
      </c>
      <c r="B3" s="277"/>
      <c r="C3" s="277"/>
      <c r="D3" s="5"/>
      <c r="E3" s="104">
        <f>'Pryse + Sensatiwiteitsanalise'!B35</f>
        <v>5237</v>
      </c>
      <c r="F3" s="5" t="s">
        <v>0</v>
      </c>
      <c r="G3" s="19"/>
      <c r="H3" s="19"/>
      <c r="I3" s="6"/>
      <c r="K3" s="14"/>
    </row>
    <row r="4" spans="1:11" ht="13.5" thickBot="1">
      <c r="A4" s="90"/>
      <c r="B4" s="91"/>
      <c r="C4" s="91"/>
      <c r="D4" s="7"/>
      <c r="E4" s="10"/>
      <c r="F4" s="20"/>
      <c r="G4" s="8"/>
      <c r="H4" s="21"/>
      <c r="I4" s="21"/>
      <c r="J4" s="3"/>
      <c r="K4" s="14"/>
    </row>
    <row r="5" spans="1:11" ht="13.5" thickBot="1">
      <c r="A5" s="90" t="s">
        <v>22</v>
      </c>
      <c r="B5" s="91"/>
      <c r="C5" s="91"/>
      <c r="D5" s="22">
        <v>2.5</v>
      </c>
      <c r="E5" s="22">
        <v>3</v>
      </c>
      <c r="F5" s="22">
        <v>3.5</v>
      </c>
      <c r="G5" s="22">
        <v>4</v>
      </c>
      <c r="H5" s="22">
        <v>4.5</v>
      </c>
      <c r="I5" s="22">
        <v>5</v>
      </c>
      <c r="J5" s="3"/>
      <c r="K5" s="14"/>
    </row>
    <row r="6" spans="1:11" ht="13.5" thickBot="1">
      <c r="A6" s="92" t="s">
        <v>23</v>
      </c>
      <c r="B6" s="93"/>
      <c r="C6" s="98"/>
      <c r="D6" s="9">
        <f aca="true" t="shared" si="0" ref="D6:I6">$E$3*D5</f>
        <v>13092.5</v>
      </c>
      <c r="E6" s="9">
        <f t="shared" si="0"/>
        <v>15711</v>
      </c>
      <c r="F6" s="9">
        <f t="shared" si="0"/>
        <v>18329.5</v>
      </c>
      <c r="G6" s="9">
        <f t="shared" si="0"/>
        <v>20948</v>
      </c>
      <c r="H6" s="9">
        <f t="shared" si="0"/>
        <v>23566.5</v>
      </c>
      <c r="I6" s="9">
        <f t="shared" si="0"/>
        <v>26185</v>
      </c>
      <c r="J6" s="3"/>
      <c r="K6" s="14"/>
    </row>
    <row r="7" spans="1:21" ht="15.75" thickBot="1">
      <c r="A7" s="95"/>
      <c r="B7" s="96"/>
      <c r="C7" s="96"/>
      <c r="D7" s="23"/>
      <c r="E7" s="23"/>
      <c r="F7" s="23"/>
      <c r="G7" s="23"/>
      <c r="H7" s="23"/>
      <c r="I7" s="23"/>
      <c r="J7" s="3"/>
      <c r="K7" s="14"/>
      <c r="S7" s="264" t="s">
        <v>57</v>
      </c>
      <c r="T7" s="264"/>
      <c r="U7" s="264"/>
    </row>
    <row r="8" spans="1:21" ht="15.75" thickBot="1">
      <c r="A8" s="258" t="s">
        <v>24</v>
      </c>
      <c r="B8" s="259"/>
      <c r="C8" s="260"/>
      <c r="D8" s="24"/>
      <c r="E8" s="24"/>
      <c r="F8" s="24"/>
      <c r="G8" s="24"/>
      <c r="H8" s="24"/>
      <c r="I8" s="24"/>
      <c r="J8" s="3"/>
      <c r="K8" s="14"/>
      <c r="S8" s="105" t="s">
        <v>54</v>
      </c>
      <c r="T8" s="105" t="s">
        <v>55</v>
      </c>
      <c r="U8" s="105" t="s">
        <v>56</v>
      </c>
    </row>
    <row r="9" spans="1:21" ht="15">
      <c r="A9" s="99" t="s">
        <v>25</v>
      </c>
      <c r="B9" s="100"/>
      <c r="C9" s="100"/>
      <c r="D9" s="151">
        <v>1592.8875</v>
      </c>
      <c r="E9" s="151">
        <v>1592.8875</v>
      </c>
      <c r="F9" s="151">
        <v>1592.8875</v>
      </c>
      <c r="G9" s="151">
        <v>1592.8875</v>
      </c>
      <c r="H9" s="151">
        <v>1689.48</v>
      </c>
      <c r="I9" s="151">
        <v>1786.0725</v>
      </c>
      <c r="J9" s="3"/>
      <c r="K9" s="14"/>
      <c r="S9" s="106">
        <f>D5</f>
        <v>2.5</v>
      </c>
      <c r="T9" s="106">
        <f>D26</f>
        <v>15900.476422596383</v>
      </c>
      <c r="U9" s="106">
        <f>D28</f>
        <v>6936.798228388436</v>
      </c>
    </row>
    <row r="10" spans="1:21" ht="15">
      <c r="A10" s="94" t="s">
        <v>26</v>
      </c>
      <c r="B10" s="97"/>
      <c r="C10" s="97"/>
      <c r="D10" s="152">
        <v>4203.75</v>
      </c>
      <c r="E10" s="152">
        <v>4735.3</v>
      </c>
      <c r="F10" s="152">
        <v>5266.85</v>
      </c>
      <c r="G10" s="152">
        <v>5798.4</v>
      </c>
      <c r="H10" s="152">
        <v>6329.95</v>
      </c>
      <c r="I10" s="152">
        <v>6861.5</v>
      </c>
      <c r="J10" s="3"/>
      <c r="K10" s="14"/>
      <c r="S10" s="106">
        <f>E5</f>
        <v>3</v>
      </c>
      <c r="T10" s="106">
        <f>E26</f>
        <v>17086.42049821995</v>
      </c>
      <c r="U10" s="106">
        <f>E28</f>
        <v>6936.798228388436</v>
      </c>
    </row>
    <row r="11" spans="1:21" ht="15">
      <c r="A11" s="94" t="s">
        <v>27</v>
      </c>
      <c r="B11" s="97"/>
      <c r="C11" s="97"/>
      <c r="D11" s="152">
        <v>0</v>
      </c>
      <c r="E11" s="152">
        <v>0</v>
      </c>
      <c r="F11" s="152">
        <v>0</v>
      </c>
      <c r="G11" s="152">
        <v>0</v>
      </c>
      <c r="H11" s="152">
        <v>0</v>
      </c>
      <c r="I11" s="152">
        <v>0</v>
      </c>
      <c r="J11" s="3"/>
      <c r="K11" s="14"/>
      <c r="S11" s="106">
        <f>F5</f>
        <v>3.5</v>
      </c>
      <c r="T11" s="106">
        <f>F26</f>
        <v>18319.235581867197</v>
      </c>
      <c r="U11" s="106">
        <f>F28</f>
        <v>6936.798228388436</v>
      </c>
    </row>
    <row r="12" spans="1:21" ht="15">
      <c r="A12" s="94" t="s">
        <v>28</v>
      </c>
      <c r="B12" s="97"/>
      <c r="C12" s="97"/>
      <c r="D12" s="152">
        <v>662.1597</v>
      </c>
      <c r="E12" s="152">
        <v>681.67695</v>
      </c>
      <c r="F12" s="152">
        <v>701.1942</v>
      </c>
      <c r="G12" s="152">
        <v>720.71145</v>
      </c>
      <c r="H12" s="152">
        <v>740.2287</v>
      </c>
      <c r="I12" s="152">
        <v>759.74595</v>
      </c>
      <c r="J12" s="3"/>
      <c r="K12" s="14"/>
      <c r="S12" s="106">
        <f>G5</f>
        <v>4</v>
      </c>
      <c r="T12" s="106">
        <f>G26</f>
        <v>19083.340585277663</v>
      </c>
      <c r="U12" s="106">
        <f>G28</f>
        <v>6936.798228388436</v>
      </c>
    </row>
    <row r="13" spans="1:21" ht="15">
      <c r="A13" s="94" t="s">
        <v>29</v>
      </c>
      <c r="B13" s="97"/>
      <c r="C13" s="97"/>
      <c r="D13" s="152">
        <v>320.59499999999997</v>
      </c>
      <c r="E13" s="152">
        <v>323.65999999999997</v>
      </c>
      <c r="F13" s="152">
        <v>326.72499999999997</v>
      </c>
      <c r="G13" s="152">
        <v>329.78999999999996</v>
      </c>
      <c r="H13" s="152">
        <v>332.85499999999996</v>
      </c>
      <c r="I13" s="152">
        <v>335.91999999999996</v>
      </c>
      <c r="J13" s="3"/>
      <c r="K13" s="14"/>
      <c r="S13" s="106">
        <f>H5</f>
        <v>4.5</v>
      </c>
      <c r="T13" s="106">
        <f>H26</f>
        <v>19767.753075692857</v>
      </c>
      <c r="U13" s="106">
        <f>H28</f>
        <v>6936.798228388436</v>
      </c>
    </row>
    <row r="14" spans="1:21" ht="15">
      <c r="A14" s="94" t="s">
        <v>30</v>
      </c>
      <c r="B14" s="97"/>
      <c r="C14" s="97"/>
      <c r="D14" s="152">
        <v>397.5</v>
      </c>
      <c r="E14" s="152">
        <v>397.5</v>
      </c>
      <c r="F14" s="152">
        <v>397.5</v>
      </c>
      <c r="G14" s="152">
        <v>397.5</v>
      </c>
      <c r="H14" s="152">
        <v>397.5</v>
      </c>
      <c r="I14" s="152">
        <v>397.5</v>
      </c>
      <c r="J14" s="3"/>
      <c r="K14" s="14"/>
      <c r="S14" s="106">
        <f>I5</f>
        <v>5</v>
      </c>
      <c r="T14" s="106">
        <f>I26</f>
        <v>21808.875255915198</v>
      </c>
      <c r="U14" s="106">
        <f>I28</f>
        <v>6936.798228388436</v>
      </c>
    </row>
    <row r="15" spans="1:11" ht="12.75">
      <c r="A15" s="94" t="s">
        <v>31</v>
      </c>
      <c r="B15" s="97"/>
      <c r="C15" s="97"/>
      <c r="D15" s="152">
        <v>1240.0500000000002</v>
      </c>
      <c r="E15" s="152">
        <v>1240.0500000000002</v>
      </c>
      <c r="F15" s="152">
        <v>1240.0500000000002</v>
      </c>
      <c r="G15" s="152">
        <v>1240.0500000000002</v>
      </c>
      <c r="H15" s="152">
        <v>646.15</v>
      </c>
      <c r="I15" s="152">
        <v>1240.0500000000002</v>
      </c>
      <c r="J15" s="3"/>
      <c r="K15" s="14"/>
    </row>
    <row r="16" spans="1:11" ht="12.75">
      <c r="A16" s="94" t="s">
        <v>32</v>
      </c>
      <c r="B16" s="97"/>
      <c r="C16" s="97"/>
      <c r="D16" s="152">
        <v>0</v>
      </c>
      <c r="E16" s="152">
        <v>0</v>
      </c>
      <c r="F16" s="152">
        <v>0</v>
      </c>
      <c r="G16" s="152">
        <v>0</v>
      </c>
      <c r="H16" s="152">
        <v>0</v>
      </c>
      <c r="I16" s="152">
        <v>0</v>
      </c>
      <c r="J16" s="3"/>
      <c r="K16" s="14"/>
    </row>
    <row r="17" spans="1:11" ht="12.75">
      <c r="A17" s="94" t="s">
        <v>33</v>
      </c>
      <c r="B17" s="97"/>
      <c r="C17" s="97"/>
      <c r="D17" s="152">
        <v>3974.824</v>
      </c>
      <c r="E17" s="152">
        <v>4357.360000000001</v>
      </c>
      <c r="F17" s="152">
        <v>4782.400000000001</v>
      </c>
      <c r="G17" s="152">
        <v>4782.400000000001</v>
      </c>
      <c r="H17" s="152">
        <v>5207.4400000000005</v>
      </c>
      <c r="I17" s="152">
        <v>5674.984000000002</v>
      </c>
      <c r="J17" s="3"/>
      <c r="K17" s="14"/>
    </row>
    <row r="18" spans="1:11" ht="12.75">
      <c r="A18" s="94" t="s">
        <v>34</v>
      </c>
      <c r="B18" s="97"/>
      <c r="C18" s="97"/>
      <c r="D18" s="152">
        <v>691.5060483101013</v>
      </c>
      <c r="E18" s="152">
        <v>742.8450186175291</v>
      </c>
      <c r="F18" s="152">
        <v>796.2130131754822</v>
      </c>
      <c r="G18" s="152">
        <v>829.290765228184</v>
      </c>
      <c r="H18" s="152">
        <v>858.9186652663739</v>
      </c>
      <c r="I18" s="152">
        <v>947.2779000381901</v>
      </c>
      <c r="J18" s="3"/>
      <c r="K18" s="14"/>
    </row>
    <row r="19" spans="1:11" ht="12.75">
      <c r="A19" s="94" t="s">
        <v>35</v>
      </c>
      <c r="B19" s="97"/>
      <c r="C19" s="97"/>
      <c r="D19" s="152">
        <v>1400</v>
      </c>
      <c r="E19" s="152">
        <v>1400</v>
      </c>
      <c r="F19" s="152">
        <v>1400</v>
      </c>
      <c r="G19" s="152">
        <v>1400</v>
      </c>
      <c r="H19" s="152">
        <v>1400</v>
      </c>
      <c r="I19" s="152">
        <v>1400</v>
      </c>
      <c r="J19" s="3"/>
      <c r="K19" s="14"/>
    </row>
    <row r="20" spans="1:11" ht="12.75">
      <c r="A20" s="94" t="s">
        <v>36</v>
      </c>
      <c r="B20" s="97"/>
      <c r="C20" s="97"/>
      <c r="D20" s="152">
        <v>693.9025</v>
      </c>
      <c r="E20" s="152">
        <v>832.683</v>
      </c>
      <c r="F20" s="152">
        <v>971.4635</v>
      </c>
      <c r="G20" s="152">
        <v>1110.244</v>
      </c>
      <c r="H20" s="152">
        <v>1249.0245</v>
      </c>
      <c r="I20" s="152">
        <v>1387.805</v>
      </c>
      <c r="J20" s="3"/>
      <c r="K20" s="14"/>
    </row>
    <row r="21" spans="1:11" ht="12.75">
      <c r="A21" s="94" t="s">
        <v>37</v>
      </c>
      <c r="B21" s="97"/>
      <c r="C21" s="97"/>
      <c r="D21" s="152">
        <v>0</v>
      </c>
      <c r="E21" s="152">
        <v>0</v>
      </c>
      <c r="F21" s="152">
        <v>0</v>
      </c>
      <c r="G21" s="152">
        <v>0</v>
      </c>
      <c r="H21" s="152">
        <v>0</v>
      </c>
      <c r="I21" s="152">
        <v>0</v>
      </c>
      <c r="J21" s="3"/>
      <c r="K21" s="14"/>
    </row>
    <row r="22" spans="1:11" s="13" customFormat="1" ht="12.75">
      <c r="A22" s="94" t="s">
        <v>38</v>
      </c>
      <c r="B22" s="97"/>
      <c r="C22" s="97"/>
      <c r="D22" s="152">
        <v>0</v>
      </c>
      <c r="E22" s="152">
        <v>0</v>
      </c>
      <c r="F22" s="152">
        <v>0</v>
      </c>
      <c r="G22" s="152">
        <v>0</v>
      </c>
      <c r="H22" s="152">
        <v>0</v>
      </c>
      <c r="I22" s="152">
        <v>0</v>
      </c>
      <c r="J22" s="3"/>
      <c r="K22" s="12"/>
    </row>
    <row r="23" spans="1:11" s="13" customFormat="1" ht="12.75">
      <c r="A23" s="94" t="s">
        <v>39</v>
      </c>
      <c r="B23" s="97"/>
      <c r="C23" s="97"/>
      <c r="D23" s="152">
        <v>0</v>
      </c>
      <c r="E23" s="152">
        <v>0</v>
      </c>
      <c r="F23" s="152">
        <v>0</v>
      </c>
      <c r="G23" s="152">
        <v>0</v>
      </c>
      <c r="H23" s="152">
        <v>0</v>
      </c>
      <c r="I23" s="152">
        <v>0</v>
      </c>
      <c r="J23" s="3"/>
      <c r="K23" s="12"/>
    </row>
    <row r="24" spans="1:11" s="13" customFormat="1" ht="12.75">
      <c r="A24" s="94" t="s">
        <v>40</v>
      </c>
      <c r="B24" s="97"/>
      <c r="C24" s="97"/>
      <c r="D24" s="152">
        <v>0</v>
      </c>
      <c r="E24" s="152">
        <v>0</v>
      </c>
      <c r="F24" s="152">
        <v>0</v>
      </c>
      <c r="G24" s="152">
        <v>0</v>
      </c>
      <c r="H24" s="152">
        <v>0</v>
      </c>
      <c r="I24" s="152">
        <v>0</v>
      </c>
      <c r="J24" s="3"/>
      <c r="K24" s="12"/>
    </row>
    <row r="25" spans="1:11" s="13" customFormat="1" ht="13.5" thickBot="1">
      <c r="A25" s="94" t="s">
        <v>41</v>
      </c>
      <c r="B25" s="97"/>
      <c r="C25" s="97"/>
      <c r="D25" s="152">
        <v>723.3016742862804</v>
      </c>
      <c r="E25" s="152">
        <v>782.4580296024202</v>
      </c>
      <c r="F25" s="152">
        <v>843.9523686917128</v>
      </c>
      <c r="G25" s="152">
        <v>882.0668700494795</v>
      </c>
      <c r="H25" s="152">
        <v>916.2062104264845</v>
      </c>
      <c r="I25" s="152">
        <v>1018.0199058770053</v>
      </c>
      <c r="J25" s="3"/>
      <c r="K25" s="12"/>
    </row>
    <row r="26" spans="1:11" s="13" customFormat="1" ht="26.25" customHeight="1" thickBot="1">
      <c r="A26" s="261" t="s">
        <v>42</v>
      </c>
      <c r="B26" s="262"/>
      <c r="C26" s="263"/>
      <c r="D26" s="25">
        <f aca="true" t="shared" si="1" ref="D26:I26">SUM(D9:D25)</f>
        <v>15900.476422596383</v>
      </c>
      <c r="E26" s="25">
        <f t="shared" si="1"/>
        <v>17086.42049821995</v>
      </c>
      <c r="F26" s="25">
        <f t="shared" si="1"/>
        <v>18319.235581867197</v>
      </c>
      <c r="G26" s="25">
        <f t="shared" si="1"/>
        <v>19083.340585277663</v>
      </c>
      <c r="H26" s="25">
        <f t="shared" si="1"/>
        <v>19767.753075692857</v>
      </c>
      <c r="I26" s="25">
        <f t="shared" si="1"/>
        <v>21808.875255915198</v>
      </c>
      <c r="J26" s="3"/>
      <c r="K26" s="12"/>
    </row>
    <row r="27" spans="1:11" s="13" customFormat="1" ht="13.5" thickBot="1">
      <c r="A27" s="101"/>
      <c r="B27" s="102"/>
      <c r="C27" s="102"/>
      <c r="D27" s="26"/>
      <c r="E27" s="26"/>
      <c r="F27" s="26"/>
      <c r="G27" s="26"/>
      <c r="H27" s="26"/>
      <c r="I27" s="26"/>
      <c r="J27" s="3"/>
      <c r="K27" s="12"/>
    </row>
    <row r="28" spans="1:11" s="130" customFormat="1" ht="13.5" thickBot="1">
      <c r="A28" s="284" t="s">
        <v>43</v>
      </c>
      <c r="B28" s="285"/>
      <c r="C28" s="286"/>
      <c r="D28" s="25">
        <v>6936.798228388436</v>
      </c>
      <c r="E28" s="25">
        <v>6936.798228388436</v>
      </c>
      <c r="F28" s="25">
        <v>6936.798228388436</v>
      </c>
      <c r="G28" s="25">
        <v>6936.798228388436</v>
      </c>
      <c r="H28" s="25">
        <v>6936.798228388436</v>
      </c>
      <c r="I28" s="25">
        <v>6936.798228388436</v>
      </c>
      <c r="J28" s="132"/>
      <c r="K28" s="131"/>
    </row>
    <row r="29" spans="1:11" ht="13.5" thickBot="1">
      <c r="A29" s="101"/>
      <c r="B29" s="102"/>
      <c r="C29" s="102"/>
      <c r="D29" s="26"/>
      <c r="E29" s="26"/>
      <c r="F29" s="26"/>
      <c r="G29" s="26"/>
      <c r="H29" s="26"/>
      <c r="I29" s="26"/>
      <c r="J29" s="3"/>
      <c r="K29" s="14"/>
    </row>
    <row r="30" spans="1:11" ht="26.25" customHeight="1" thickBot="1">
      <c r="A30" s="261" t="s">
        <v>44</v>
      </c>
      <c r="B30" s="262"/>
      <c r="C30" s="263"/>
      <c r="D30" s="25">
        <f aca="true" t="shared" si="2" ref="D30:I30">D26+D28</f>
        <v>22837.27465098482</v>
      </c>
      <c r="E30" s="25">
        <f t="shared" si="2"/>
        <v>24023.218726608386</v>
      </c>
      <c r="F30" s="25">
        <f t="shared" si="2"/>
        <v>25256.033810255634</v>
      </c>
      <c r="G30" s="25">
        <f t="shared" si="2"/>
        <v>26020.138813666097</v>
      </c>
      <c r="H30" s="25">
        <f t="shared" si="2"/>
        <v>26704.551304081295</v>
      </c>
      <c r="I30" s="25">
        <f t="shared" si="2"/>
        <v>28745.673484303632</v>
      </c>
      <c r="J30" s="3"/>
      <c r="K30" s="14"/>
    </row>
    <row r="31" spans="1:11" ht="13.5" thickBot="1">
      <c r="A31" s="95"/>
      <c r="B31" s="96"/>
      <c r="C31" s="96"/>
      <c r="D31" s="28"/>
      <c r="E31" s="28"/>
      <c r="F31" s="28"/>
      <c r="G31" s="28"/>
      <c r="H31" s="28"/>
      <c r="I31" s="28"/>
      <c r="J31" s="3"/>
      <c r="K31" s="14"/>
    </row>
    <row r="32" spans="1:11" ht="27" customHeight="1" thickBot="1">
      <c r="A32" s="261" t="s">
        <v>45</v>
      </c>
      <c r="B32" s="277"/>
      <c r="C32" s="278"/>
      <c r="D32" s="25">
        <f aca="true" t="shared" si="3" ref="D32:I32">D30/D5</f>
        <v>9134.909860393927</v>
      </c>
      <c r="E32" s="25">
        <f t="shared" si="3"/>
        <v>8007.7395755361285</v>
      </c>
      <c r="F32" s="25">
        <f t="shared" si="3"/>
        <v>7216.0096600730385</v>
      </c>
      <c r="G32" s="25">
        <f t="shared" si="3"/>
        <v>6505.034703416524</v>
      </c>
      <c r="H32" s="25">
        <f t="shared" si="3"/>
        <v>5934.344734240288</v>
      </c>
      <c r="I32" s="25">
        <f t="shared" si="3"/>
        <v>5749.134696860727</v>
      </c>
      <c r="J32" s="3"/>
      <c r="K32" s="14"/>
    </row>
    <row r="33" spans="1:11" ht="13.5" thickBot="1">
      <c r="A33" s="95"/>
      <c r="B33" s="96"/>
      <c r="C33" s="96"/>
      <c r="D33" s="28"/>
      <c r="E33" s="28"/>
      <c r="F33" s="28"/>
      <c r="G33" s="28"/>
      <c r="H33" s="28"/>
      <c r="I33" s="28"/>
      <c r="J33" s="3"/>
      <c r="K33" s="14"/>
    </row>
    <row r="34" spans="1:11" ht="13.5" thickBot="1">
      <c r="A34" s="92" t="s">
        <v>46</v>
      </c>
      <c r="B34" s="93"/>
      <c r="C34" s="93"/>
      <c r="D34" s="25">
        <f>'Pryse + Sensatiwiteitsanalise'!D5</f>
        <v>63</v>
      </c>
      <c r="E34" s="25">
        <f>'Pryse + Sensatiwiteitsanalise'!E5</f>
        <v>0</v>
      </c>
      <c r="F34" s="25">
        <f>'Pryse + Sensatiwiteitsanalise'!F5</f>
        <v>0</v>
      </c>
      <c r="G34" s="25">
        <f>'Pryse + Sensatiwiteitsanalise'!G5</f>
        <v>0</v>
      </c>
      <c r="H34" s="25">
        <f>'Pryse + Sensatiwiteitsanalise'!H5</f>
        <v>0</v>
      </c>
      <c r="I34" s="25">
        <f>'Pryse + Sensatiwiteitsanalise'!I5</f>
        <v>0</v>
      </c>
      <c r="J34" s="3"/>
      <c r="K34" s="3"/>
    </row>
    <row r="35" spans="1:11" ht="13.5" thickBot="1">
      <c r="A35" s="95"/>
      <c r="B35" s="96"/>
      <c r="C35" s="96"/>
      <c r="D35" s="28"/>
      <c r="E35" s="28"/>
      <c r="F35" s="28"/>
      <c r="G35" s="28"/>
      <c r="H35" s="28"/>
      <c r="I35" s="28"/>
      <c r="J35" s="3"/>
      <c r="K35" s="3"/>
    </row>
    <row r="36" spans="1:10" ht="13.5" thickBot="1">
      <c r="A36" s="279" t="s">
        <v>47</v>
      </c>
      <c r="B36" s="277"/>
      <c r="C36" s="278"/>
      <c r="D36" s="27">
        <f aca="true" t="shared" si="4" ref="D36:I36">D32+D34</f>
        <v>9197.909860393927</v>
      </c>
      <c r="E36" s="27">
        <f t="shared" si="4"/>
        <v>8007.7395755361285</v>
      </c>
      <c r="F36" s="27">
        <f t="shared" si="4"/>
        <v>7216.0096600730385</v>
      </c>
      <c r="G36" s="27">
        <f t="shared" si="4"/>
        <v>6505.034703416524</v>
      </c>
      <c r="H36" s="27">
        <f t="shared" si="4"/>
        <v>5934.344734240288</v>
      </c>
      <c r="I36" s="27">
        <f t="shared" si="4"/>
        <v>5749.134696860727</v>
      </c>
      <c r="J36" s="3"/>
    </row>
    <row r="37" spans="1:10" ht="13.5" thickBot="1">
      <c r="A37" s="87" t="s">
        <v>48</v>
      </c>
      <c r="B37" s="88"/>
      <c r="C37" s="89"/>
      <c r="D37" s="27">
        <f>'Pryse + Sensatiwiteitsanalise'!B5</f>
        <v>5300</v>
      </c>
      <c r="E37" s="27">
        <f>$D$37</f>
        <v>5300</v>
      </c>
      <c r="F37" s="27">
        <f>$D$37</f>
        <v>5300</v>
      </c>
      <c r="G37" s="27">
        <f>$D$37</f>
        <v>5300</v>
      </c>
      <c r="H37" s="27">
        <f>$D$37</f>
        <v>5300</v>
      </c>
      <c r="I37" s="27">
        <f>$D$37</f>
        <v>5300</v>
      </c>
      <c r="J37" s="14"/>
    </row>
    <row r="38" spans="1:10" ht="15">
      <c r="A38" s="78" t="s">
        <v>14</v>
      </c>
      <c r="B38" s="79"/>
      <c r="C38" s="79"/>
      <c r="D38" s="79"/>
      <c r="E38" s="79"/>
      <c r="F38" s="79"/>
      <c r="G38" s="79"/>
      <c r="H38" s="80"/>
      <c r="I38" s="41"/>
      <c r="J38" s="41"/>
    </row>
    <row r="39" spans="1:10" ht="15">
      <c r="A39" s="81" t="s">
        <v>15</v>
      </c>
      <c r="B39" s="82"/>
      <c r="C39" s="82"/>
      <c r="D39" s="82"/>
      <c r="E39" s="82"/>
      <c r="F39" s="82"/>
      <c r="G39" s="82"/>
      <c r="H39" s="83"/>
      <c r="I39" s="41"/>
      <c r="J39" s="41"/>
    </row>
    <row r="40" spans="1:10" ht="15.75" thickBot="1">
      <c r="A40" s="84" t="s">
        <v>16</v>
      </c>
      <c r="B40" s="85"/>
      <c r="C40" s="85"/>
      <c r="D40" s="85"/>
      <c r="E40" s="85"/>
      <c r="F40" s="85"/>
      <c r="G40" s="85"/>
      <c r="H40" s="86"/>
      <c r="I40" s="41"/>
      <c r="J40" s="41"/>
    </row>
  </sheetData>
  <sheetProtection/>
  <mergeCells count="10">
    <mergeCell ref="S7:U7"/>
    <mergeCell ref="A1:D1"/>
    <mergeCell ref="E1:G1"/>
    <mergeCell ref="A32:C32"/>
    <mergeCell ref="A36:C36"/>
    <mergeCell ref="A3:C3"/>
    <mergeCell ref="A8:C8"/>
    <mergeCell ref="A26:C26"/>
    <mergeCell ref="A28:C28"/>
    <mergeCell ref="A30:C30"/>
  </mergeCells>
  <printOptions/>
  <pageMargins left="0.31496062992125984" right="0.31496062992125984" top="0.5511811023622047" bottom="0.5511811023622047" header="0.31496062992125984" footer="0.31496062992125984"/>
  <pageSetup fitToHeight="0" fitToWidth="1" horizontalDpi="600" verticalDpi="600" orientation="portrait" scale="64" r:id="rId2"/>
  <headerFooter>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K48"/>
  <sheetViews>
    <sheetView zoomScale="85" zoomScaleNormal="85" zoomScalePageLayoutView="0" workbookViewId="0" topLeftCell="A1">
      <selection activeCell="A1" sqref="A1:D1"/>
    </sheetView>
  </sheetViews>
  <sheetFormatPr defaultColWidth="9.140625" defaultRowHeight="12.75"/>
  <cols>
    <col min="1" max="1" width="54.00390625" style="0" customWidth="1"/>
    <col min="4" max="4" width="21.7109375" style="0" customWidth="1"/>
    <col min="5" max="5" width="11.00390625" style="0" customWidth="1"/>
  </cols>
  <sheetData>
    <row r="1" spans="1:11" ht="33.75" customHeight="1" thickBot="1">
      <c r="A1" s="274" t="s">
        <v>107</v>
      </c>
      <c r="B1" s="275"/>
      <c r="C1" s="275"/>
      <c r="D1" s="275"/>
      <c r="E1" s="276" t="s">
        <v>118</v>
      </c>
      <c r="F1" s="276"/>
      <c r="G1" s="276"/>
      <c r="H1" s="144"/>
      <c r="I1" s="143"/>
      <c r="J1" s="118"/>
      <c r="K1" s="147"/>
    </row>
    <row r="2" spans="1:11" ht="16.5" thickBot="1">
      <c r="A2" s="107"/>
      <c r="B2" s="120"/>
      <c r="C2" s="142"/>
      <c r="D2" s="142"/>
      <c r="E2" s="123"/>
      <c r="F2" s="119"/>
      <c r="G2" s="119"/>
      <c r="H2" s="119"/>
      <c r="I2" s="123"/>
      <c r="J2" s="147"/>
      <c r="K2" s="41"/>
    </row>
    <row r="3" spans="1:11" ht="26.25" thickBot="1">
      <c r="A3" s="165" t="s">
        <v>92</v>
      </c>
      <c r="B3" s="89"/>
      <c r="C3" s="89"/>
      <c r="D3" s="166" t="s">
        <v>93</v>
      </c>
      <c r="E3" s="167" t="s">
        <v>94</v>
      </c>
      <c r="F3" s="89"/>
      <c r="G3" s="89"/>
      <c r="H3" s="89"/>
      <c r="I3" s="89"/>
      <c r="J3" s="147"/>
      <c r="K3" s="147"/>
    </row>
    <row r="4" spans="1:11" ht="12.75">
      <c r="A4" s="169" t="s">
        <v>120</v>
      </c>
      <c r="B4" s="170"/>
      <c r="C4" s="170"/>
      <c r="D4" s="171">
        <f>'Pryse + Sensatiwiteitsanalise'!B6-D41</f>
        <v>14437</v>
      </c>
      <c r="E4" s="172">
        <v>0.5</v>
      </c>
      <c r="F4" s="171"/>
      <c r="G4" s="171"/>
      <c r="H4" s="171"/>
      <c r="I4" s="173"/>
      <c r="J4" s="147"/>
      <c r="K4" s="147"/>
    </row>
    <row r="5" spans="1:11" ht="12.75">
      <c r="A5" s="169" t="s">
        <v>121</v>
      </c>
      <c r="B5" s="170"/>
      <c r="C5" s="170"/>
      <c r="D5" s="171">
        <f>'Pryse + Sensatiwiteitsanalise'!B7-D42</f>
        <v>12500</v>
      </c>
      <c r="E5" s="172">
        <v>0.16</v>
      </c>
      <c r="F5" s="171"/>
      <c r="G5" s="171"/>
      <c r="H5" s="171"/>
      <c r="I5" s="173"/>
      <c r="J5" s="147"/>
      <c r="K5" s="147"/>
    </row>
    <row r="6" spans="1:11" ht="12.75">
      <c r="A6" s="169" t="s">
        <v>95</v>
      </c>
      <c r="B6" s="170"/>
      <c r="C6" s="170"/>
      <c r="D6" s="171">
        <f>'Pryse + Sensatiwiteitsanalise'!B8</f>
        <v>9500</v>
      </c>
      <c r="E6" s="172">
        <v>0.18</v>
      </c>
      <c r="F6" s="171"/>
      <c r="G6" s="171"/>
      <c r="H6" s="171"/>
      <c r="I6" s="173"/>
      <c r="J6" s="147"/>
      <c r="K6" s="147"/>
    </row>
    <row r="7" spans="1:11" ht="12.75">
      <c r="A7" s="169" t="s">
        <v>96</v>
      </c>
      <c r="B7" s="170"/>
      <c r="C7" s="170"/>
      <c r="D7" s="171">
        <f>'Pryse + Sensatiwiteitsanalise'!B9</f>
        <v>4000</v>
      </c>
      <c r="E7" s="172">
        <v>0.1</v>
      </c>
      <c r="F7" s="171"/>
      <c r="G7" s="171"/>
      <c r="H7" s="171"/>
      <c r="I7" s="173"/>
      <c r="J7" s="147"/>
      <c r="K7" s="147"/>
    </row>
    <row r="8" spans="1:11" ht="12.75">
      <c r="A8" s="169" t="s">
        <v>97</v>
      </c>
      <c r="B8" s="170"/>
      <c r="C8" s="170"/>
      <c r="D8" s="171">
        <f>'Pryse + Sensatiwiteitsanalise'!B10</f>
        <v>2000</v>
      </c>
      <c r="E8" s="172">
        <v>0.06</v>
      </c>
      <c r="F8" s="171"/>
      <c r="G8" s="171"/>
      <c r="H8" s="171"/>
      <c r="I8" s="173"/>
      <c r="J8" s="147"/>
      <c r="K8" s="147"/>
    </row>
    <row r="9" spans="1:11" ht="13.5" thickBot="1">
      <c r="A9" s="174" t="s">
        <v>98</v>
      </c>
      <c r="B9" s="175"/>
      <c r="C9" s="175"/>
      <c r="D9" s="171"/>
      <c r="E9" s="177"/>
      <c r="F9" s="176"/>
      <c r="G9" s="176"/>
      <c r="H9" s="176"/>
      <c r="I9" s="178"/>
      <c r="J9" s="147"/>
      <c r="K9" s="147"/>
    </row>
    <row r="10" spans="1:11" ht="13.5" thickBot="1">
      <c r="A10" s="279" t="s">
        <v>99</v>
      </c>
      <c r="B10" s="280"/>
      <c r="C10" s="280"/>
      <c r="D10" s="179">
        <f>(D4*E4)+(D6*E6)+(D7*E7)+(D8*E8)</f>
        <v>9448.5</v>
      </c>
      <c r="E10" s="180" t="s">
        <v>0</v>
      </c>
      <c r="F10" s="180"/>
      <c r="G10" s="181"/>
      <c r="H10" s="181"/>
      <c r="I10" s="89"/>
      <c r="J10" s="168"/>
      <c r="K10" s="147"/>
    </row>
    <row r="11" spans="1:11" ht="13.5" thickBot="1">
      <c r="A11" s="90"/>
      <c r="B11" s="91"/>
      <c r="C11" s="91"/>
      <c r="D11" s="110"/>
      <c r="E11" s="164"/>
      <c r="F11" s="109"/>
      <c r="G11" s="91"/>
      <c r="H11" s="153"/>
      <c r="I11" s="153"/>
      <c r="J11" s="147"/>
      <c r="K11" s="147"/>
    </row>
    <row r="12" spans="1:11" ht="13.5" thickBot="1">
      <c r="A12" s="90" t="s">
        <v>22</v>
      </c>
      <c r="B12" s="91"/>
      <c r="C12" s="91"/>
      <c r="D12" s="163">
        <v>3.5</v>
      </c>
      <c r="E12" s="163">
        <v>0</v>
      </c>
      <c r="F12" s="163">
        <v>0</v>
      </c>
      <c r="G12" s="163">
        <v>0</v>
      </c>
      <c r="H12" s="163">
        <v>0</v>
      </c>
      <c r="I12" s="163">
        <v>0</v>
      </c>
      <c r="J12" s="147"/>
      <c r="K12" s="147"/>
    </row>
    <row r="13" spans="1:11" ht="13.5" thickBot="1">
      <c r="A13" s="92" t="s">
        <v>23</v>
      </c>
      <c r="B13" s="93"/>
      <c r="C13" s="98"/>
      <c r="D13" s="162">
        <f>D10*D12</f>
        <v>33069.75</v>
      </c>
      <c r="E13" s="162">
        <v>0</v>
      </c>
      <c r="F13" s="162">
        <v>0</v>
      </c>
      <c r="G13" s="162">
        <v>0</v>
      </c>
      <c r="H13" s="162">
        <v>0</v>
      </c>
      <c r="I13" s="162">
        <v>0</v>
      </c>
      <c r="J13" s="147"/>
      <c r="K13" s="147"/>
    </row>
    <row r="14" spans="1:11" ht="13.5" thickBot="1">
      <c r="A14" s="95"/>
      <c r="B14" s="96"/>
      <c r="C14" s="96"/>
      <c r="D14" s="154"/>
      <c r="E14" s="154"/>
      <c r="F14" s="154"/>
      <c r="G14" s="154"/>
      <c r="H14" s="154"/>
      <c r="I14" s="154"/>
      <c r="J14" s="147"/>
      <c r="K14" s="147"/>
    </row>
    <row r="15" spans="1:11" ht="13.5" thickBot="1">
      <c r="A15" s="258" t="s">
        <v>24</v>
      </c>
      <c r="B15" s="259"/>
      <c r="C15" s="260"/>
      <c r="D15" s="155"/>
      <c r="E15" s="155"/>
      <c r="F15" s="155"/>
      <c r="G15" s="155"/>
      <c r="H15" s="155"/>
      <c r="I15" s="155"/>
      <c r="J15" s="147"/>
      <c r="K15" s="147"/>
    </row>
    <row r="16" spans="1:11" ht="12.75">
      <c r="A16" s="99" t="s">
        <v>25</v>
      </c>
      <c r="B16" s="100"/>
      <c r="C16" s="100"/>
      <c r="D16" s="151">
        <v>3413</v>
      </c>
      <c r="E16" s="156">
        <v>0</v>
      </c>
      <c r="F16" s="156">
        <v>0</v>
      </c>
      <c r="G16" s="156">
        <v>0</v>
      </c>
      <c r="H16" s="156">
        <v>0</v>
      </c>
      <c r="I16" s="156">
        <v>0</v>
      </c>
      <c r="J16" s="147"/>
      <c r="K16" s="147"/>
    </row>
    <row r="17" spans="1:11" ht="12.75">
      <c r="A17" s="94" t="s">
        <v>26</v>
      </c>
      <c r="B17" s="97"/>
      <c r="C17" s="97"/>
      <c r="D17" s="152">
        <v>6843.5</v>
      </c>
      <c r="E17" s="157">
        <v>0</v>
      </c>
      <c r="F17" s="157">
        <v>0</v>
      </c>
      <c r="G17" s="157">
        <v>0</v>
      </c>
      <c r="H17" s="157">
        <v>0</v>
      </c>
      <c r="I17" s="157">
        <v>0</v>
      </c>
      <c r="J17" s="147"/>
      <c r="K17" s="147"/>
    </row>
    <row r="18" spans="1:11" ht="12.75">
      <c r="A18" s="94" t="s">
        <v>27</v>
      </c>
      <c r="B18" s="97"/>
      <c r="C18" s="97"/>
      <c r="D18" s="152">
        <v>700</v>
      </c>
      <c r="E18" s="157">
        <v>0</v>
      </c>
      <c r="F18" s="157">
        <v>0</v>
      </c>
      <c r="G18" s="157">
        <v>0</v>
      </c>
      <c r="H18" s="157">
        <v>0</v>
      </c>
      <c r="I18" s="157">
        <v>0</v>
      </c>
      <c r="J18" s="147"/>
      <c r="K18" s="147"/>
    </row>
    <row r="19" spans="1:11" ht="12.75">
      <c r="A19" s="94" t="s">
        <v>28</v>
      </c>
      <c r="B19" s="97"/>
      <c r="C19" s="97"/>
      <c r="D19" s="152">
        <v>1123.6123499999999</v>
      </c>
      <c r="E19" s="157">
        <v>0</v>
      </c>
      <c r="F19" s="157">
        <v>0</v>
      </c>
      <c r="G19" s="157">
        <v>0</v>
      </c>
      <c r="H19" s="157">
        <v>0</v>
      </c>
      <c r="I19" s="157">
        <v>0</v>
      </c>
      <c r="J19" s="147"/>
      <c r="K19" s="147"/>
    </row>
    <row r="20" spans="1:11" ht="12.75">
      <c r="A20" s="94" t="s">
        <v>29</v>
      </c>
      <c r="B20" s="97"/>
      <c r="C20" s="97"/>
      <c r="D20" s="152">
        <v>399.5771781376518</v>
      </c>
      <c r="E20" s="157">
        <v>0</v>
      </c>
      <c r="F20" s="157">
        <v>0</v>
      </c>
      <c r="G20" s="157">
        <v>0</v>
      </c>
      <c r="H20" s="157">
        <v>0</v>
      </c>
      <c r="I20" s="157">
        <v>0</v>
      </c>
      <c r="J20" s="147"/>
      <c r="K20" s="147"/>
    </row>
    <row r="21" spans="1:11" ht="12.75">
      <c r="A21" s="94" t="s">
        <v>30</v>
      </c>
      <c r="B21" s="97"/>
      <c r="C21" s="97"/>
      <c r="D21" s="152">
        <v>295.546</v>
      </c>
      <c r="E21" s="157">
        <v>0</v>
      </c>
      <c r="F21" s="157">
        <v>0</v>
      </c>
      <c r="G21" s="157">
        <v>0</v>
      </c>
      <c r="H21" s="157">
        <v>0</v>
      </c>
      <c r="I21" s="157">
        <v>0</v>
      </c>
      <c r="J21" s="147"/>
      <c r="K21" s="147"/>
    </row>
    <row r="22" spans="1:11" ht="12.75">
      <c r="A22" s="94" t="s">
        <v>31</v>
      </c>
      <c r="B22" s="97"/>
      <c r="C22" s="97"/>
      <c r="D22" s="152">
        <v>4718.299999999999</v>
      </c>
      <c r="E22" s="157">
        <v>0</v>
      </c>
      <c r="F22" s="157">
        <v>0</v>
      </c>
      <c r="G22" s="157">
        <v>0</v>
      </c>
      <c r="H22" s="157">
        <v>0</v>
      </c>
      <c r="I22" s="157">
        <v>0</v>
      </c>
      <c r="J22" s="147"/>
      <c r="K22" s="147"/>
    </row>
    <row r="23" spans="1:11" ht="12.75">
      <c r="A23" s="94" t="s">
        <v>32</v>
      </c>
      <c r="B23" s="97"/>
      <c r="C23" s="97"/>
      <c r="D23" s="152">
        <v>0</v>
      </c>
      <c r="E23" s="157">
        <v>0</v>
      </c>
      <c r="F23" s="157">
        <v>0</v>
      </c>
      <c r="G23" s="157">
        <v>0</v>
      </c>
      <c r="H23" s="157">
        <v>0</v>
      </c>
      <c r="I23" s="157">
        <v>0</v>
      </c>
      <c r="J23" s="147"/>
      <c r="K23" s="147"/>
    </row>
    <row r="24" spans="1:11" s="1" customFormat="1" ht="12.75">
      <c r="A24" s="94" t="s">
        <v>33</v>
      </c>
      <c r="B24" s="97"/>
      <c r="C24" s="97"/>
      <c r="D24" s="152">
        <v>4351.200000000001</v>
      </c>
      <c r="E24" s="152"/>
      <c r="F24" s="152"/>
      <c r="G24" s="152"/>
      <c r="H24" s="152"/>
      <c r="I24" s="152"/>
      <c r="J24" s="3"/>
      <c r="K24" s="14"/>
    </row>
    <row r="25" spans="1:11" ht="12.75">
      <c r="A25" s="94" t="s">
        <v>34</v>
      </c>
      <c r="B25" s="97"/>
      <c r="C25" s="97"/>
      <c r="D25" s="152">
        <v>0</v>
      </c>
      <c r="E25" s="157">
        <v>0</v>
      </c>
      <c r="F25" s="157">
        <v>0</v>
      </c>
      <c r="G25" s="157">
        <v>0</v>
      </c>
      <c r="H25" s="157">
        <v>0</v>
      </c>
      <c r="I25" s="157">
        <v>0</v>
      </c>
      <c r="J25" s="147"/>
      <c r="K25" s="147"/>
    </row>
    <row r="26" spans="1:11" ht="12.75">
      <c r="A26" s="94" t="s">
        <v>35</v>
      </c>
      <c r="B26" s="97"/>
      <c r="C26" s="97"/>
      <c r="D26" s="152">
        <v>3500</v>
      </c>
      <c r="E26" s="157">
        <v>0</v>
      </c>
      <c r="F26" s="157">
        <v>0</v>
      </c>
      <c r="G26" s="157">
        <v>0</v>
      </c>
      <c r="H26" s="157">
        <v>0</v>
      </c>
      <c r="I26" s="157">
        <v>0</v>
      </c>
      <c r="J26" s="147"/>
      <c r="K26" s="147"/>
    </row>
    <row r="27" spans="1:11" ht="12.75">
      <c r="A27" s="94" t="s">
        <v>36</v>
      </c>
      <c r="B27" s="97"/>
      <c r="C27" s="97"/>
      <c r="D27" s="152">
        <v>499.5475</v>
      </c>
      <c r="E27" s="157">
        <v>0</v>
      </c>
      <c r="F27" s="157">
        <v>0</v>
      </c>
      <c r="G27" s="157">
        <v>0</v>
      </c>
      <c r="H27" s="157">
        <v>0</v>
      </c>
      <c r="I27" s="157">
        <v>0</v>
      </c>
      <c r="J27" s="147"/>
      <c r="K27" s="147"/>
    </row>
    <row r="28" spans="1:11" ht="12.75">
      <c r="A28" s="94" t="s">
        <v>37</v>
      </c>
      <c r="B28" s="97"/>
      <c r="C28" s="97"/>
      <c r="D28" s="152">
        <v>0</v>
      </c>
      <c r="E28" s="157">
        <v>0</v>
      </c>
      <c r="F28" s="157">
        <v>0</v>
      </c>
      <c r="G28" s="157">
        <v>0</v>
      </c>
      <c r="H28" s="157">
        <v>0</v>
      </c>
      <c r="I28" s="157">
        <v>0</v>
      </c>
      <c r="J28" s="147"/>
      <c r="K28" s="147"/>
    </row>
    <row r="29" spans="1:11" ht="12.75">
      <c r="A29" s="94" t="s">
        <v>38</v>
      </c>
      <c r="B29" s="97"/>
      <c r="C29" s="97"/>
      <c r="D29" s="152">
        <v>0</v>
      </c>
      <c r="E29" s="157">
        <v>0</v>
      </c>
      <c r="F29" s="157">
        <v>0</v>
      </c>
      <c r="G29" s="157">
        <v>0</v>
      </c>
      <c r="H29" s="157">
        <v>0</v>
      </c>
      <c r="I29" s="157">
        <v>0</v>
      </c>
      <c r="J29" s="147"/>
      <c r="K29" s="147"/>
    </row>
    <row r="30" spans="1:11" ht="12.75">
      <c r="A30" s="94" t="s">
        <v>39</v>
      </c>
      <c r="B30" s="97"/>
      <c r="C30" s="97"/>
      <c r="D30" s="152">
        <v>0</v>
      </c>
      <c r="E30" s="157">
        <v>0</v>
      </c>
      <c r="F30" s="157">
        <v>0</v>
      </c>
      <c r="G30" s="157">
        <v>0</v>
      </c>
      <c r="H30" s="157">
        <v>0</v>
      </c>
      <c r="I30" s="157">
        <v>0</v>
      </c>
      <c r="J30" s="147"/>
      <c r="K30" s="147"/>
    </row>
    <row r="31" spans="1:11" ht="12.75">
      <c r="A31" s="94" t="s">
        <v>40</v>
      </c>
      <c r="B31" s="97"/>
      <c r="C31" s="97"/>
      <c r="D31" s="152">
        <v>0</v>
      </c>
      <c r="E31" s="157">
        <v>0</v>
      </c>
      <c r="F31" s="157">
        <v>0</v>
      </c>
      <c r="G31" s="157">
        <v>0</v>
      </c>
      <c r="H31" s="157">
        <v>0</v>
      </c>
      <c r="I31" s="157">
        <v>0</v>
      </c>
      <c r="J31" s="147"/>
      <c r="K31" s="147"/>
    </row>
    <row r="32" spans="1:11" ht="13.5" thickBot="1">
      <c r="A32" s="94" t="s">
        <v>41</v>
      </c>
      <c r="B32" s="97"/>
      <c r="C32" s="97"/>
      <c r="D32" s="152">
        <v>1173.0748589772268</v>
      </c>
      <c r="E32" s="157">
        <v>0</v>
      </c>
      <c r="F32" s="157">
        <v>0</v>
      </c>
      <c r="G32" s="157">
        <v>0</v>
      </c>
      <c r="H32" s="157">
        <v>0</v>
      </c>
      <c r="I32" s="157">
        <v>0</v>
      </c>
      <c r="J32" s="147"/>
      <c r="K32" s="147"/>
    </row>
    <row r="33" spans="1:11" ht="13.5" thickBot="1">
      <c r="A33" s="261" t="s">
        <v>42</v>
      </c>
      <c r="B33" s="262"/>
      <c r="C33" s="263"/>
      <c r="D33" s="158">
        <f>SUM(D16:D32)</f>
        <v>27017.35788711488</v>
      </c>
      <c r="E33" s="158"/>
      <c r="F33" s="158">
        <v>0</v>
      </c>
      <c r="G33" s="158">
        <v>0</v>
      </c>
      <c r="H33" s="158">
        <v>0</v>
      </c>
      <c r="I33" s="158">
        <v>0</v>
      </c>
      <c r="J33" s="147"/>
      <c r="K33" s="147"/>
    </row>
    <row r="34" spans="1:11" ht="13.5" thickBot="1">
      <c r="A34" s="101"/>
      <c r="B34" s="102"/>
      <c r="C34" s="102"/>
      <c r="D34" s="159"/>
      <c r="E34" s="159"/>
      <c r="F34" s="159"/>
      <c r="G34" s="159"/>
      <c r="H34" s="159"/>
      <c r="I34" s="159"/>
      <c r="J34" s="147"/>
      <c r="K34" s="147"/>
    </row>
    <row r="35" spans="1:11" s="184" customFormat="1" ht="13.5" thickBot="1">
      <c r="A35" s="284" t="s">
        <v>43</v>
      </c>
      <c r="B35" s="285"/>
      <c r="C35" s="286"/>
      <c r="D35" s="158">
        <v>6936.798228388436</v>
      </c>
      <c r="E35" s="158">
        <v>0</v>
      </c>
      <c r="F35" s="197">
        <v>0</v>
      </c>
      <c r="G35" s="197">
        <v>0</v>
      </c>
      <c r="H35" s="197">
        <v>0</v>
      </c>
      <c r="I35" s="197">
        <v>0</v>
      </c>
      <c r="J35" s="196"/>
      <c r="K35" s="195"/>
    </row>
    <row r="36" spans="1:11" ht="13.5" thickBot="1">
      <c r="A36" s="101"/>
      <c r="B36" s="102"/>
      <c r="C36" s="102"/>
      <c r="D36" s="159"/>
      <c r="E36" s="159"/>
      <c r="F36" s="159"/>
      <c r="G36" s="159"/>
      <c r="H36" s="159"/>
      <c r="I36" s="159"/>
      <c r="J36" s="147"/>
      <c r="K36" s="147"/>
    </row>
    <row r="37" spans="1:11" ht="13.5" thickBot="1">
      <c r="A37" s="261" t="s">
        <v>44</v>
      </c>
      <c r="B37" s="262"/>
      <c r="C37" s="263"/>
      <c r="D37" s="158">
        <f>D33+D35</f>
        <v>33954.15611550331</v>
      </c>
      <c r="E37" s="158">
        <v>0</v>
      </c>
      <c r="F37" s="158">
        <v>0</v>
      </c>
      <c r="G37" s="158">
        <v>0</v>
      </c>
      <c r="H37" s="158">
        <v>0</v>
      </c>
      <c r="I37" s="158">
        <v>0</v>
      </c>
      <c r="J37" s="147"/>
      <c r="K37" s="147"/>
    </row>
    <row r="38" spans="1:11" ht="13.5" thickBot="1">
      <c r="A38" s="95"/>
      <c r="B38" s="96"/>
      <c r="C38" s="96"/>
      <c r="D38" s="161"/>
      <c r="E38" s="161"/>
      <c r="F38" s="161"/>
      <c r="G38" s="161"/>
      <c r="H38" s="161"/>
      <c r="I38" s="161"/>
      <c r="J38" s="147"/>
      <c r="K38" s="147"/>
    </row>
    <row r="39" spans="1:11" ht="13.5" thickBot="1">
      <c r="A39" s="261" t="s">
        <v>45</v>
      </c>
      <c r="B39" s="262"/>
      <c r="C39" s="263"/>
      <c r="D39" s="158">
        <f>D37/D12</f>
        <v>9701.187461572375</v>
      </c>
      <c r="E39" s="158">
        <v>0</v>
      </c>
      <c r="F39" s="158">
        <v>0</v>
      </c>
      <c r="G39" s="158">
        <v>0</v>
      </c>
      <c r="H39" s="158">
        <v>0</v>
      </c>
      <c r="I39" s="158">
        <v>0</v>
      </c>
      <c r="J39" s="147"/>
      <c r="K39" s="147"/>
    </row>
    <row r="40" spans="1:11" ht="13.5" thickBot="1">
      <c r="A40" s="95"/>
      <c r="B40" s="96"/>
      <c r="C40" s="96"/>
      <c r="D40" s="161"/>
      <c r="E40" s="161"/>
      <c r="F40" s="161"/>
      <c r="G40" s="161"/>
      <c r="H40" s="161"/>
      <c r="I40" s="161"/>
      <c r="J40" s="147"/>
      <c r="K40" s="147"/>
    </row>
    <row r="41" spans="1:11" ht="13.5" thickBot="1">
      <c r="A41" s="92" t="s">
        <v>46</v>
      </c>
      <c r="B41" s="93"/>
      <c r="C41" s="93"/>
      <c r="D41" s="158">
        <f>'Pryse + Sensatiwiteitsanalise'!D6</f>
        <v>63</v>
      </c>
      <c r="E41" s="158">
        <v>0</v>
      </c>
      <c r="F41" s="158">
        <v>0</v>
      </c>
      <c r="G41" s="158">
        <v>0</v>
      </c>
      <c r="H41" s="158">
        <v>0</v>
      </c>
      <c r="I41" s="158">
        <v>0</v>
      </c>
      <c r="J41" s="147"/>
      <c r="K41" s="147"/>
    </row>
    <row r="42" spans="1:11" ht="13.5" thickBot="1">
      <c r="A42" s="95"/>
      <c r="B42" s="96"/>
      <c r="C42" s="96"/>
      <c r="D42" s="161"/>
      <c r="E42" s="161"/>
      <c r="F42" s="161"/>
      <c r="G42" s="161"/>
      <c r="H42" s="161"/>
      <c r="I42" s="161"/>
      <c r="J42" s="147"/>
      <c r="K42" s="147"/>
    </row>
    <row r="43" spans="1:11" ht="13.5" thickBot="1">
      <c r="A43" s="279" t="s">
        <v>100</v>
      </c>
      <c r="B43" s="280"/>
      <c r="C43" s="281"/>
      <c r="D43" s="160">
        <f>D39+D41</f>
        <v>9764.187461572375</v>
      </c>
      <c r="E43" s="160">
        <v>0</v>
      </c>
      <c r="F43" s="160">
        <v>0</v>
      </c>
      <c r="G43" s="160">
        <v>0</v>
      </c>
      <c r="H43" s="160">
        <v>0</v>
      </c>
      <c r="I43" s="160">
        <v>0</v>
      </c>
      <c r="J43" s="147"/>
      <c r="K43" s="147"/>
    </row>
    <row r="44" spans="1:11" ht="13.5" thickBot="1">
      <c r="A44" s="87" t="s">
        <v>101</v>
      </c>
      <c r="B44" s="88"/>
      <c r="C44" s="89"/>
      <c r="D44" s="160">
        <f>D4</f>
        <v>14437</v>
      </c>
      <c r="E44" s="160">
        <v>0</v>
      </c>
      <c r="F44" s="160">
        <v>0</v>
      </c>
      <c r="G44" s="160">
        <v>0</v>
      </c>
      <c r="H44" s="160">
        <v>0</v>
      </c>
      <c r="I44" s="160">
        <v>0</v>
      </c>
      <c r="J44" s="118"/>
      <c r="K44" s="147"/>
    </row>
    <row r="45" spans="1:11" ht="13.5" thickBot="1">
      <c r="A45" s="87" t="s">
        <v>102</v>
      </c>
      <c r="B45" s="88"/>
      <c r="C45" s="89"/>
      <c r="D45" s="160">
        <f>D10</f>
        <v>9448.5</v>
      </c>
      <c r="E45" s="160"/>
      <c r="F45" s="160"/>
      <c r="G45" s="160"/>
      <c r="H45" s="160"/>
      <c r="I45" s="160"/>
      <c r="J45" s="147"/>
      <c r="K45" s="41"/>
    </row>
    <row r="46" spans="1:11" ht="15">
      <c r="A46" s="78" t="s">
        <v>14</v>
      </c>
      <c r="B46" s="79"/>
      <c r="C46" s="79"/>
      <c r="D46" s="79"/>
      <c r="E46" s="79"/>
      <c r="F46" s="79"/>
      <c r="G46" s="79"/>
      <c r="H46" s="80"/>
      <c r="I46" s="41"/>
      <c r="J46" s="41"/>
      <c r="K46" s="41"/>
    </row>
    <row r="47" spans="1:11" ht="15">
      <c r="A47" s="81" t="s">
        <v>15</v>
      </c>
      <c r="B47" s="82"/>
      <c r="C47" s="82"/>
      <c r="D47" s="82"/>
      <c r="E47" s="82"/>
      <c r="F47" s="82"/>
      <c r="G47" s="82"/>
      <c r="H47" s="83"/>
      <c r="I47" s="41"/>
      <c r="J47" s="41"/>
      <c r="K47" s="41"/>
    </row>
    <row r="48" spans="1:11" ht="15.75" thickBot="1">
      <c r="A48" s="84" t="s">
        <v>16</v>
      </c>
      <c r="B48" s="85"/>
      <c r="C48" s="85"/>
      <c r="D48" s="85"/>
      <c r="E48" s="85"/>
      <c r="F48" s="85"/>
      <c r="G48" s="85"/>
      <c r="H48" s="86"/>
      <c r="I48" s="41"/>
      <c r="J48" s="41"/>
      <c r="K48" s="41"/>
    </row>
  </sheetData>
  <sheetProtection/>
  <mergeCells count="9">
    <mergeCell ref="A1:D1"/>
    <mergeCell ref="E1:G1"/>
    <mergeCell ref="A39:C39"/>
    <mergeCell ref="A43:C43"/>
    <mergeCell ref="A15:C15"/>
    <mergeCell ref="A33:C33"/>
    <mergeCell ref="A35:C35"/>
    <mergeCell ref="A37:C37"/>
    <mergeCell ref="A10:C1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87"/>
  <sheetViews>
    <sheetView zoomScale="85" zoomScaleNormal="85" zoomScalePageLayoutView="0" workbookViewId="0" topLeftCell="A1">
      <selection activeCell="A1" sqref="A1"/>
    </sheetView>
  </sheetViews>
  <sheetFormatPr defaultColWidth="9.140625" defaultRowHeight="12.75"/>
  <cols>
    <col min="1" max="1" width="45.140625" style="0" customWidth="1"/>
    <col min="2" max="2" width="14.140625" style="0" customWidth="1"/>
    <col min="3" max="3" width="16.57421875" style="184" customWidth="1"/>
    <col min="4" max="4" width="15.8515625" style="184" customWidth="1"/>
  </cols>
  <sheetData>
    <row r="1" spans="1:5" ht="15">
      <c r="A1" s="124" t="s">
        <v>119</v>
      </c>
      <c r="B1" s="134"/>
      <c r="C1" s="116"/>
      <c r="D1" s="112"/>
      <c r="E1" s="242"/>
    </row>
    <row r="2" spans="1:5" ht="30">
      <c r="A2" s="125" t="s">
        <v>58</v>
      </c>
      <c r="B2" s="148" t="s">
        <v>59</v>
      </c>
      <c r="C2" s="108" t="s">
        <v>60</v>
      </c>
      <c r="D2" s="108" t="s">
        <v>91</v>
      </c>
      <c r="E2" s="242"/>
    </row>
    <row r="3" spans="1:5" ht="15">
      <c r="A3" s="136" t="s">
        <v>61</v>
      </c>
      <c r="B3" s="129"/>
      <c r="C3" s="194"/>
      <c r="D3" s="194"/>
      <c r="E3" s="242"/>
    </row>
    <row r="4" spans="1:5" ht="15">
      <c r="A4" s="135" t="s">
        <v>62</v>
      </c>
      <c r="B4" s="137">
        <f>'Bes-mielies'!G5</f>
        <v>14</v>
      </c>
      <c r="C4" s="199">
        <f>'Bes-soja (vermin bewerk)'!G5</f>
        <v>4</v>
      </c>
      <c r="D4" s="199">
        <f>'Bes-Grondbone'!D12</f>
        <v>3.5</v>
      </c>
      <c r="E4" s="242"/>
    </row>
    <row r="5" spans="1:5" ht="15">
      <c r="A5" s="135" t="s">
        <v>63</v>
      </c>
      <c r="B5" s="127">
        <f>'Pryse + Sensatiwiteitsanalise'!B4</f>
        <v>2700</v>
      </c>
      <c r="C5" s="127">
        <f>'Pryse + Sensatiwiteitsanalise'!B5</f>
        <v>5300</v>
      </c>
      <c r="D5" s="127">
        <f>'Bes-Grondbone'!D10</f>
        <v>9448.5</v>
      </c>
      <c r="E5" s="242"/>
    </row>
    <row r="6" spans="1:5" ht="15">
      <c r="A6" s="135" t="s">
        <v>64</v>
      </c>
      <c r="B6" s="127">
        <f>'Pryse + Sensatiwiteitsanalise'!D4</f>
        <v>345</v>
      </c>
      <c r="C6" s="127">
        <f>'Pryse + Sensatiwiteitsanalise'!D5</f>
        <v>63</v>
      </c>
      <c r="D6" s="127">
        <f>'Pryse + Sensatiwiteitsanalise'!D6</f>
        <v>63</v>
      </c>
      <c r="E6" s="242"/>
    </row>
    <row r="7" spans="1:5" ht="15.75" thickBot="1">
      <c r="A7" s="135" t="s">
        <v>65</v>
      </c>
      <c r="B7" s="128">
        <f>B5-B6</f>
        <v>2355</v>
      </c>
      <c r="C7" s="128">
        <f>C5-C6</f>
        <v>5237</v>
      </c>
      <c r="D7" s="128">
        <f>D5-D6</f>
        <v>9385.5</v>
      </c>
      <c r="E7" s="242"/>
    </row>
    <row r="8" spans="1:5" ht="15.75" thickTop="1">
      <c r="A8" s="133" t="s">
        <v>66</v>
      </c>
      <c r="B8" s="138">
        <f>B4*B7</f>
        <v>32970</v>
      </c>
      <c r="C8" s="200">
        <f>C4*C7</f>
        <v>20948</v>
      </c>
      <c r="D8" s="200">
        <f>D4*D7</f>
        <v>32849.25</v>
      </c>
      <c r="E8" s="242"/>
    </row>
    <row r="9" spans="1:5" ht="15">
      <c r="A9" s="135"/>
      <c r="B9" s="139"/>
      <c r="C9" s="111"/>
      <c r="D9" s="111"/>
      <c r="E9" s="242"/>
    </row>
    <row r="10" spans="1:5" ht="15">
      <c r="A10" s="136" t="s">
        <v>67</v>
      </c>
      <c r="B10" s="139"/>
      <c r="C10" s="111"/>
      <c r="D10" s="111"/>
      <c r="E10" s="242"/>
    </row>
    <row r="11" spans="1:5" ht="15">
      <c r="A11" s="140" t="s">
        <v>25</v>
      </c>
      <c r="B11" s="201">
        <f>'Bes-mielies'!G9</f>
        <v>4840.03125</v>
      </c>
      <c r="C11" s="201">
        <f>'Bes-soja (vermin bewerk)'!G9</f>
        <v>1592.8875</v>
      </c>
      <c r="D11" s="201">
        <f>'Bes-Grondbone'!D16</f>
        <v>3413</v>
      </c>
      <c r="E11" s="243"/>
    </row>
    <row r="12" spans="1:5" ht="15">
      <c r="A12" s="140" t="s">
        <v>26</v>
      </c>
      <c r="B12" s="201">
        <f>'Bes-mielies'!G10</f>
        <v>9462.4</v>
      </c>
      <c r="C12" s="201">
        <f>'Bes-soja (vermin bewerk)'!G10</f>
        <v>5798.4</v>
      </c>
      <c r="D12" s="201">
        <f>'Bes-Grondbone'!D17</f>
        <v>6843.5</v>
      </c>
      <c r="E12" s="243"/>
    </row>
    <row r="13" spans="1:5" ht="15">
      <c r="A13" s="140" t="s">
        <v>27</v>
      </c>
      <c r="B13" s="201">
        <f>'Bes-mielies'!G11</f>
        <v>0</v>
      </c>
      <c r="C13" s="201">
        <f>'Bes-soja (vermin bewerk)'!G11</f>
        <v>0</v>
      </c>
      <c r="D13" s="201">
        <f>'Bes-Grondbone'!D18</f>
        <v>700</v>
      </c>
      <c r="E13" s="243"/>
    </row>
    <row r="14" spans="1:5" ht="15">
      <c r="A14" s="140" t="s">
        <v>28</v>
      </c>
      <c r="B14" s="201">
        <f>'Bes-mielies'!G12</f>
        <v>1062.5037000000002</v>
      </c>
      <c r="C14" s="201">
        <f>'Bes-soja (vermin bewerk)'!G12</f>
        <v>720.71145</v>
      </c>
      <c r="D14" s="201">
        <f>'Bes-Grondbone'!D19</f>
        <v>1123.6123499999999</v>
      </c>
      <c r="E14" s="243"/>
    </row>
    <row r="15" spans="1:5" ht="15">
      <c r="A15" s="140" t="s">
        <v>29</v>
      </c>
      <c r="B15" s="201">
        <f>'Bes-mielies'!G13</f>
        <v>462.62</v>
      </c>
      <c r="C15" s="201">
        <f>'Bes-soja (vermin bewerk)'!G13</f>
        <v>329.78999999999996</v>
      </c>
      <c r="D15" s="201">
        <f>'Bes-Grondbone'!D20</f>
        <v>399.5771781376518</v>
      </c>
      <c r="E15" s="243"/>
    </row>
    <row r="16" spans="1:5" ht="15">
      <c r="A16" s="140" t="s">
        <v>30</v>
      </c>
      <c r="B16" s="201">
        <f>'Bes-mielies'!G14</f>
        <v>254</v>
      </c>
      <c r="C16" s="201">
        <f>'Bes-soja (vermin bewerk)'!G14</f>
        <v>397.5</v>
      </c>
      <c r="D16" s="201">
        <f>'Bes-Grondbone'!D21</f>
        <v>295.546</v>
      </c>
      <c r="E16" s="243"/>
    </row>
    <row r="17" spans="1:5" ht="15">
      <c r="A17" s="140" t="s">
        <v>31</v>
      </c>
      <c r="B17" s="201">
        <f>'Bes-mielies'!G15</f>
        <v>2736.8</v>
      </c>
      <c r="C17" s="201">
        <f>'Bes-soja (vermin bewerk)'!G15</f>
        <v>1240.0500000000002</v>
      </c>
      <c r="D17" s="201">
        <f>'Bes-Grondbone'!D22</f>
        <v>4718.299999999999</v>
      </c>
      <c r="E17" s="243"/>
    </row>
    <row r="18" spans="1:5" ht="15">
      <c r="A18" s="140" t="s">
        <v>32</v>
      </c>
      <c r="B18" s="201">
        <f>'Bes-mielies'!G16</f>
        <v>0</v>
      </c>
      <c r="C18" s="201">
        <f>'Bes-soja (vermin bewerk)'!G16</f>
        <v>0</v>
      </c>
      <c r="D18" s="201">
        <f>'Bes-Grondbone'!D23</f>
        <v>0</v>
      </c>
      <c r="E18" s="243"/>
    </row>
    <row r="19" spans="1:5" ht="15">
      <c r="A19" s="140" t="s">
        <v>33</v>
      </c>
      <c r="B19" s="201">
        <f>'Bes-mielies'!G17</f>
        <v>4782.400000000001</v>
      </c>
      <c r="C19" s="201">
        <f>'Bes-soja (vermin bewerk)'!G17</f>
        <v>4782.400000000001</v>
      </c>
      <c r="D19" s="201">
        <f>'Bes-Grondbone'!D24</f>
        <v>4351.200000000001</v>
      </c>
      <c r="E19" s="243"/>
    </row>
    <row r="20" spans="1:5" ht="15">
      <c r="A20" s="140" t="s">
        <v>34</v>
      </c>
      <c r="B20" s="201">
        <f>'Bes-mielies'!G18</f>
        <v>2201.780820578231</v>
      </c>
      <c r="C20" s="201">
        <f>'Bes-soja (vermin bewerk)'!G18</f>
        <v>829.290765228184</v>
      </c>
      <c r="D20" s="201">
        <f>'Bes-Grondbone'!D25</f>
        <v>0</v>
      </c>
      <c r="E20" s="243"/>
    </row>
    <row r="21" spans="1:5" ht="15">
      <c r="A21" s="140" t="s">
        <v>35</v>
      </c>
      <c r="B21" s="201">
        <f>'Bes-mielies'!G19</f>
        <v>1400</v>
      </c>
      <c r="C21" s="201">
        <f>'Bes-soja (vermin bewerk)'!G19</f>
        <v>1400</v>
      </c>
      <c r="D21" s="201">
        <f>'Bes-Grondbone'!D26</f>
        <v>3500</v>
      </c>
      <c r="E21" s="243"/>
    </row>
    <row r="22" spans="1:5" ht="15">
      <c r="A22" s="140" t="s">
        <v>36</v>
      </c>
      <c r="B22" s="201">
        <f>'Bes-mielies'!G20</f>
        <v>492.1875</v>
      </c>
      <c r="C22" s="201">
        <f>'Bes-soja (vermin bewerk)'!G20</f>
        <v>1110.244</v>
      </c>
      <c r="D22" s="201">
        <f>'Bes-Grondbone'!D27</f>
        <v>499.5475</v>
      </c>
      <c r="E22" s="243"/>
    </row>
    <row r="23" spans="1:5" ht="15">
      <c r="A23" s="140" t="s">
        <v>37</v>
      </c>
      <c r="B23" s="201">
        <f>'Bes-mielies'!G21</f>
        <v>400</v>
      </c>
      <c r="C23" s="201">
        <f>'Bes-soja (vermin bewerk)'!G21</f>
        <v>0</v>
      </c>
      <c r="D23" s="201">
        <f>'Bes-Grondbone'!D28</f>
        <v>0</v>
      </c>
      <c r="E23" s="243"/>
    </row>
    <row r="24" spans="1:5" ht="15">
      <c r="A24" s="140" t="s">
        <v>38</v>
      </c>
      <c r="B24" s="201">
        <f>'Bes-mielies'!G22</f>
        <v>0</v>
      </c>
      <c r="C24" s="201">
        <f>'Bes-soja (vermin bewerk)'!G22</f>
        <v>0</v>
      </c>
      <c r="D24" s="201">
        <f>'Bes-Grondbone'!D29</f>
        <v>0</v>
      </c>
      <c r="E24" s="243"/>
    </row>
    <row r="25" spans="1:5" ht="15">
      <c r="A25" s="140" t="s">
        <v>39</v>
      </c>
      <c r="B25" s="201">
        <f>'Bes-mielies'!G23</f>
        <v>0</v>
      </c>
      <c r="C25" s="201">
        <f>'Bes-soja (vermin bewerk)'!G23</f>
        <v>0</v>
      </c>
      <c r="D25" s="201">
        <f>'Bes-Grondbone'!D30</f>
        <v>0</v>
      </c>
      <c r="E25" s="243"/>
    </row>
    <row r="26" spans="1:5" ht="30">
      <c r="A26" s="126" t="s">
        <v>40</v>
      </c>
      <c r="B26" s="201">
        <f>'Bes-mielies'!G24</f>
        <v>0</v>
      </c>
      <c r="C26" s="201">
        <f>'Bes-soja (vermin bewerk)'!G24</f>
        <v>0</v>
      </c>
      <c r="D26" s="201">
        <f>'Bes-Grondbone'!D31</f>
        <v>0</v>
      </c>
      <c r="E26" s="243"/>
    </row>
    <row r="27" spans="1:5" ht="30.75" thickBot="1">
      <c r="A27" s="126" t="s">
        <v>41</v>
      </c>
      <c r="B27" s="202">
        <f>'Bes-mielies'!G25</f>
        <v>1401.4729717053572</v>
      </c>
      <c r="C27" s="202">
        <f>'Bes-soja (vermin bewerk)'!G25</f>
        <v>882.0668700494795</v>
      </c>
      <c r="D27" s="202">
        <f>'Bes-Grondbone'!D32</f>
        <v>1173.0748589772268</v>
      </c>
      <c r="E27" s="243"/>
    </row>
    <row r="28" spans="1:5" ht="15.75" thickTop="1">
      <c r="A28" s="192" t="s">
        <v>68</v>
      </c>
      <c r="B28" s="203">
        <f>SUM(B11:B27)</f>
        <v>29496.19624228359</v>
      </c>
      <c r="C28" s="203">
        <f>SUM(C11:C27)</f>
        <v>19083.340585277663</v>
      </c>
      <c r="D28" s="203">
        <f>SUM(D11:D27)</f>
        <v>27017.35788711488</v>
      </c>
      <c r="E28" s="243"/>
    </row>
    <row r="29" spans="1:5" ht="15.75" thickBot="1">
      <c r="A29" s="192"/>
      <c r="B29" s="204"/>
      <c r="C29" s="204"/>
      <c r="D29" s="204"/>
      <c r="E29" s="242"/>
    </row>
    <row r="30" spans="1:5" ht="15.75" thickTop="1">
      <c r="A30" s="192" t="s">
        <v>69</v>
      </c>
      <c r="B30" s="203">
        <f>'Bes-mielies'!D28</f>
        <v>6936.798228388436</v>
      </c>
      <c r="C30" s="203">
        <f>'Bes-soja (vermin bewerk)'!D28</f>
        <v>6936.798228388436</v>
      </c>
      <c r="D30" s="203">
        <f>'Bes-Grondbone'!D35</f>
        <v>6936.798228388436</v>
      </c>
      <c r="E30" s="242"/>
    </row>
    <row r="31" spans="1:5" ht="15">
      <c r="A31" s="192"/>
      <c r="B31" s="203"/>
      <c r="C31" s="203"/>
      <c r="D31" s="203"/>
      <c r="E31" s="242"/>
    </row>
    <row r="32" spans="1:5" s="184" customFormat="1" ht="15.75" thickBot="1">
      <c r="A32" s="192" t="s">
        <v>70</v>
      </c>
      <c r="B32" s="205">
        <f>B28+B30</f>
        <v>36432.99447067203</v>
      </c>
      <c r="C32" s="205">
        <f>C28+C30</f>
        <v>26020.138813666097</v>
      </c>
      <c r="D32" s="205">
        <f>D28+D30</f>
        <v>33954.15611550331</v>
      </c>
      <c r="E32" s="244"/>
    </row>
    <row r="33" spans="1:5" s="184" customFormat="1" ht="16.5" thickBot="1" thickTop="1">
      <c r="A33" s="198"/>
      <c r="B33" s="204"/>
      <c r="C33" s="204"/>
      <c r="D33" s="204"/>
      <c r="E33" s="244"/>
    </row>
    <row r="34" spans="1:5" s="184" customFormat="1" ht="15.75" thickTop="1">
      <c r="A34" s="191" t="s">
        <v>71</v>
      </c>
      <c r="B34" s="190">
        <f>B8-B28</f>
        <v>3473.8037577164105</v>
      </c>
      <c r="C34" s="190">
        <f>C8-C28</f>
        <v>1864.6594147223368</v>
      </c>
      <c r="D34" s="190">
        <f>D8-D28</f>
        <v>5831.892112885122</v>
      </c>
      <c r="E34" s="244"/>
    </row>
    <row r="35" spans="1:5" s="184" customFormat="1" ht="15">
      <c r="A35" s="191" t="s">
        <v>72</v>
      </c>
      <c r="B35" s="190">
        <f>B8-B32</f>
        <v>-3462.994470672027</v>
      </c>
      <c r="C35" s="190">
        <f>C8-C32</f>
        <v>-5072.138813666097</v>
      </c>
      <c r="D35" s="190">
        <f>D8-D32</f>
        <v>-1104.9061155033123</v>
      </c>
      <c r="E35" s="244"/>
    </row>
    <row r="36" spans="1:5" s="184" customFormat="1" ht="15">
      <c r="A36" s="191"/>
      <c r="B36" s="121"/>
      <c r="C36" s="121"/>
      <c r="D36" s="189"/>
      <c r="E36" s="244"/>
    </row>
    <row r="37" spans="1:5" s="184" customFormat="1" ht="55.5" customHeight="1">
      <c r="A37" s="282" t="s">
        <v>106</v>
      </c>
      <c r="B37" s="283"/>
      <c r="C37" s="283"/>
      <c r="D37" s="283"/>
      <c r="E37" s="244"/>
    </row>
    <row r="38" spans="1:5" s="184" customFormat="1" ht="12.75">
      <c r="A38" s="115"/>
      <c r="B38" s="115"/>
      <c r="C38" s="115"/>
      <c r="D38" s="115"/>
      <c r="E38" s="244"/>
    </row>
    <row r="39" spans="1:5" s="184" customFormat="1" ht="12.75">
      <c r="A39" s="183"/>
      <c r="B39" s="183"/>
      <c r="C39" s="183"/>
      <c r="D39" s="183"/>
      <c r="E39" s="244"/>
    </row>
    <row r="40" spans="1:5" s="184" customFormat="1" ht="12.75">
      <c r="A40" s="183"/>
      <c r="B40" s="183"/>
      <c r="C40" s="183"/>
      <c r="D40" s="183"/>
      <c r="E40" s="244"/>
    </row>
    <row r="41" spans="1:5" s="184" customFormat="1" ht="12.75">
      <c r="A41" s="183"/>
      <c r="B41" s="183"/>
      <c r="C41" s="183"/>
      <c r="D41" s="183"/>
      <c r="E41" s="244"/>
    </row>
    <row r="42" spans="1:5" s="184" customFormat="1" ht="12.75">
      <c r="A42" s="183"/>
      <c r="B42" s="183"/>
      <c r="C42" s="183"/>
      <c r="D42" s="183"/>
      <c r="E42" s="244"/>
    </row>
    <row r="43" spans="1:5" s="184" customFormat="1" ht="12.75">
      <c r="A43" s="183"/>
      <c r="B43" s="183"/>
      <c r="C43" s="183"/>
      <c r="D43" s="183"/>
      <c r="E43" s="244"/>
    </row>
    <row r="44" spans="1:5" s="184" customFormat="1" ht="12.75">
      <c r="A44" s="183"/>
      <c r="B44" s="183"/>
      <c r="C44" s="183"/>
      <c r="D44" s="183"/>
      <c r="E44" s="244"/>
    </row>
    <row r="45" spans="1:5" s="184" customFormat="1" ht="12.75">
      <c r="A45" s="183"/>
      <c r="B45" s="183"/>
      <c r="C45" s="183"/>
      <c r="D45" s="183"/>
      <c r="E45" s="244"/>
    </row>
    <row r="46" spans="1:5" s="184" customFormat="1" ht="12.75">
      <c r="A46" s="183"/>
      <c r="B46" s="183"/>
      <c r="C46" s="183"/>
      <c r="D46" s="183"/>
      <c r="E46" s="244"/>
    </row>
    <row r="47" spans="1:5" s="184" customFormat="1" ht="12.75">
      <c r="A47" s="183"/>
      <c r="B47" s="183"/>
      <c r="C47" s="183"/>
      <c r="D47" s="183"/>
      <c r="E47" s="244"/>
    </row>
    <row r="48" spans="1:5" s="184" customFormat="1" ht="12.75">
      <c r="A48" s="183"/>
      <c r="B48" s="183"/>
      <c r="C48" s="183"/>
      <c r="D48" s="183"/>
      <c r="E48" s="244"/>
    </row>
    <row r="49" spans="1:5" s="184" customFormat="1" ht="12.75">
      <c r="A49" s="183"/>
      <c r="B49" s="183"/>
      <c r="C49" s="183"/>
      <c r="D49" s="183"/>
      <c r="E49" s="244"/>
    </row>
    <row r="50" spans="1:5" s="184" customFormat="1" ht="12.75">
      <c r="A50" s="183"/>
      <c r="B50" s="183"/>
      <c r="C50" s="183"/>
      <c r="D50" s="183"/>
      <c r="E50" s="244"/>
    </row>
    <row r="51" spans="1:5" s="184" customFormat="1" ht="12.75">
      <c r="A51" s="183"/>
      <c r="B51" s="183"/>
      <c r="C51" s="183"/>
      <c r="D51" s="183"/>
      <c r="E51" s="244"/>
    </row>
    <row r="52" spans="1:5" s="184" customFormat="1" ht="12.75">
      <c r="A52" s="183"/>
      <c r="B52" s="183"/>
      <c r="C52" s="183"/>
      <c r="D52" s="183"/>
      <c r="E52" s="244"/>
    </row>
    <row r="53" spans="1:5" s="184" customFormat="1" ht="12.75">
      <c r="A53" s="183"/>
      <c r="B53" s="183"/>
      <c r="C53" s="183"/>
      <c r="D53" s="183"/>
      <c r="E53" s="244"/>
    </row>
    <row r="54" spans="1:5" s="184" customFormat="1" ht="12.75">
      <c r="A54" s="183"/>
      <c r="B54" s="183"/>
      <c r="C54" s="183"/>
      <c r="D54" s="183"/>
      <c r="E54" s="244"/>
    </row>
    <row r="55" spans="1:5" s="184" customFormat="1" ht="12.75">
      <c r="A55" s="183"/>
      <c r="B55" s="183"/>
      <c r="C55" s="183"/>
      <c r="D55" s="183"/>
      <c r="E55" s="244"/>
    </row>
    <row r="56" spans="1:5" s="184" customFormat="1" ht="12.75">
      <c r="A56" s="183"/>
      <c r="B56" s="183"/>
      <c r="C56" s="183"/>
      <c r="D56" s="183"/>
      <c r="E56" s="244"/>
    </row>
    <row r="57" spans="1:5" s="184" customFormat="1" ht="12.75">
      <c r="A57" s="183"/>
      <c r="B57" s="183"/>
      <c r="C57" s="183"/>
      <c r="D57" s="182"/>
      <c r="E57" s="244"/>
    </row>
    <row r="58" spans="1:5" s="184" customFormat="1" ht="15">
      <c r="A58" s="207" t="s">
        <v>73</v>
      </c>
      <c r="B58" s="206"/>
      <c r="C58" s="206"/>
      <c r="D58" s="186"/>
      <c r="E58" s="244"/>
    </row>
    <row r="59" spans="1:5" s="184" customFormat="1" ht="15.75" thickBot="1">
      <c r="A59" s="114"/>
      <c r="B59" s="113" t="str">
        <f>B2</f>
        <v>Irr-Maize</v>
      </c>
      <c r="C59" s="113" t="str">
        <f>C2</f>
        <v>Irr-Soy</v>
      </c>
      <c r="D59" s="113" t="str">
        <f>D2</f>
        <v>Irr-Groundnuts</v>
      </c>
      <c r="E59" s="244"/>
    </row>
    <row r="60" spans="1:5" s="184" customFormat="1" ht="15">
      <c r="A60" s="209" t="s">
        <v>63</v>
      </c>
      <c r="B60" s="145">
        <f>B5</f>
        <v>2700</v>
      </c>
      <c r="C60" s="145">
        <f>C5</f>
        <v>5300</v>
      </c>
      <c r="D60" s="145">
        <f>D5</f>
        <v>9448.5</v>
      </c>
      <c r="E60" s="244"/>
    </row>
    <row r="61" spans="1:5" s="184" customFormat="1" ht="12.75">
      <c r="A61" s="122" t="s">
        <v>74</v>
      </c>
      <c r="B61" s="117">
        <f>B4</f>
        <v>14</v>
      </c>
      <c r="C61" s="117">
        <f>C4</f>
        <v>4</v>
      </c>
      <c r="D61" s="117">
        <f>D4</f>
        <v>3.5</v>
      </c>
      <c r="E61" s="244"/>
    </row>
    <row r="62" spans="1:5" s="184" customFormat="1" ht="12.75">
      <c r="A62" s="122"/>
      <c r="B62" s="117"/>
      <c r="C62" s="117"/>
      <c r="D62" s="117"/>
      <c r="E62" s="244"/>
    </row>
    <row r="63" spans="1:5" s="184" customFormat="1" ht="15">
      <c r="A63" s="208" t="s">
        <v>61</v>
      </c>
      <c r="B63" s="187"/>
      <c r="C63" s="187"/>
      <c r="D63" s="187"/>
      <c r="E63" s="244"/>
    </row>
    <row r="64" spans="1:5" s="184" customFormat="1" ht="12.75">
      <c r="A64" s="122" t="s">
        <v>75</v>
      </c>
      <c r="B64" s="145">
        <f>B7</f>
        <v>2355</v>
      </c>
      <c r="C64" s="145">
        <f>C7</f>
        <v>5237</v>
      </c>
      <c r="D64" s="145">
        <f>D7</f>
        <v>9385.5</v>
      </c>
      <c r="E64" s="244"/>
    </row>
    <row r="65" spans="1:5" s="184" customFormat="1" ht="12.75">
      <c r="A65" s="122" t="s">
        <v>76</v>
      </c>
      <c r="B65" s="145">
        <f>B64/B61</f>
        <v>168.21428571428572</v>
      </c>
      <c r="C65" s="145">
        <f>C64/C61</f>
        <v>1309.25</v>
      </c>
      <c r="D65" s="145">
        <f>D64/D61</f>
        <v>2681.5714285714284</v>
      </c>
      <c r="E65" s="244"/>
    </row>
    <row r="66" spans="1:5" s="184" customFormat="1" ht="12.75">
      <c r="A66" s="122"/>
      <c r="B66" s="145"/>
      <c r="C66" s="145"/>
      <c r="D66" s="145"/>
      <c r="E66" s="244"/>
    </row>
    <row r="67" spans="1:5" s="184" customFormat="1" ht="15">
      <c r="A67" s="208" t="s">
        <v>77</v>
      </c>
      <c r="B67" s="187"/>
      <c r="C67" s="187"/>
      <c r="D67" s="187"/>
      <c r="E67" s="244"/>
    </row>
    <row r="68" spans="1:5" s="184" customFormat="1" ht="12.75">
      <c r="A68" s="122" t="s">
        <v>78</v>
      </c>
      <c r="B68" s="145">
        <f>B28</f>
        <v>29496.19624228359</v>
      </c>
      <c r="C68" s="145">
        <v>13535.76168116106</v>
      </c>
      <c r="D68" s="145">
        <v>12612.04357</v>
      </c>
      <c r="E68" s="244"/>
    </row>
    <row r="69" spans="1:5" s="184" customFormat="1" ht="12.75">
      <c r="A69" s="122" t="s">
        <v>79</v>
      </c>
      <c r="B69" s="145">
        <f>B68/B61</f>
        <v>2106.8711601631135</v>
      </c>
      <c r="C69" s="145">
        <v>3867.3604803317317</v>
      </c>
      <c r="D69" s="145">
        <v>1801.7205099999999</v>
      </c>
      <c r="E69" s="244"/>
    </row>
    <row r="70" spans="1:5" s="184" customFormat="1" ht="12.75">
      <c r="A70" s="122"/>
      <c r="B70" s="145"/>
      <c r="C70" s="145"/>
      <c r="D70" s="145"/>
      <c r="E70" s="244"/>
    </row>
    <row r="71" spans="1:5" s="184" customFormat="1" ht="12.75">
      <c r="A71" s="122" t="s">
        <v>80</v>
      </c>
      <c r="B71" s="145">
        <f>B32</f>
        <v>36432.99447067203</v>
      </c>
      <c r="C71" s="145">
        <f>C32</f>
        <v>26020.138813666097</v>
      </c>
      <c r="D71" s="145">
        <f>D32</f>
        <v>33954.15611550331</v>
      </c>
      <c r="E71" s="244"/>
    </row>
    <row r="72" spans="1:5" s="184" customFormat="1" ht="12.75">
      <c r="A72" s="122" t="s">
        <v>81</v>
      </c>
      <c r="B72" s="145">
        <f>B71/B61</f>
        <v>2602.356747905145</v>
      </c>
      <c r="C72" s="145">
        <f>C71/C61</f>
        <v>6505.034703416524</v>
      </c>
      <c r="D72" s="145">
        <f>D71/D61</f>
        <v>9701.187461572375</v>
      </c>
      <c r="E72" s="244"/>
    </row>
    <row r="73" spans="1:5" s="184" customFormat="1" ht="12.75">
      <c r="A73" s="122"/>
      <c r="B73" s="145"/>
      <c r="C73" s="145"/>
      <c r="D73" s="145"/>
      <c r="E73" s="243"/>
    </row>
    <row r="74" spans="1:5" s="184" customFormat="1" ht="15">
      <c r="A74" s="185" t="s">
        <v>82</v>
      </c>
      <c r="B74" s="188"/>
      <c r="C74" s="188"/>
      <c r="D74" s="188"/>
      <c r="E74" s="243"/>
    </row>
    <row r="75" spans="1:5" s="184" customFormat="1" ht="12.75">
      <c r="A75" s="122" t="s">
        <v>83</v>
      </c>
      <c r="B75" s="145">
        <f>B34</f>
        <v>3473.8037577164105</v>
      </c>
      <c r="C75" s="145">
        <f>C34</f>
        <v>1864.6594147223368</v>
      </c>
      <c r="D75" s="145">
        <f>D34</f>
        <v>5831.892112885122</v>
      </c>
      <c r="E75" s="243"/>
    </row>
    <row r="76" spans="1:5" s="184" customFormat="1" ht="12.75">
      <c r="A76" s="122" t="s">
        <v>84</v>
      </c>
      <c r="B76" s="145">
        <f>B75/B61</f>
        <v>248.12883983688647</v>
      </c>
      <c r="C76" s="145">
        <f>C75/C61</f>
        <v>466.1648536805842</v>
      </c>
      <c r="D76" s="145">
        <f>D75/D61</f>
        <v>1666.254889395749</v>
      </c>
      <c r="E76" s="243"/>
    </row>
    <row r="77" spans="1:5" s="184" customFormat="1" ht="12.75">
      <c r="A77" s="122"/>
      <c r="B77" s="145"/>
      <c r="C77" s="145"/>
      <c r="D77" s="145"/>
      <c r="E77" s="243"/>
    </row>
    <row r="78" spans="1:5" s="184" customFormat="1" ht="12.75">
      <c r="A78" s="122" t="s">
        <v>85</v>
      </c>
      <c r="B78" s="145">
        <f>B35</f>
        <v>-3462.994470672027</v>
      </c>
      <c r="C78" s="145">
        <f>C35</f>
        <v>-5072.138813666097</v>
      </c>
      <c r="D78" s="145">
        <f>D35</f>
        <v>-1104.9061155033123</v>
      </c>
      <c r="E78" s="243"/>
    </row>
    <row r="79" spans="1:5" s="184" customFormat="1" ht="12.75">
      <c r="A79" s="122" t="s">
        <v>86</v>
      </c>
      <c r="B79" s="145">
        <f>B78/B61</f>
        <v>-247.3567479051448</v>
      </c>
      <c r="C79" s="145">
        <f>C78/C61</f>
        <v>-1268.0347034165243</v>
      </c>
      <c r="D79" s="145">
        <f>D78/D61</f>
        <v>-315.68746157237496</v>
      </c>
      <c r="E79" s="243"/>
    </row>
    <row r="80" spans="1:5" s="184" customFormat="1" ht="12.75">
      <c r="A80" s="122"/>
      <c r="B80" s="145"/>
      <c r="C80" s="145"/>
      <c r="D80" s="145"/>
      <c r="E80" s="243"/>
    </row>
    <row r="81" spans="1:5" s="193" customFormat="1" ht="15">
      <c r="A81" s="185" t="s">
        <v>87</v>
      </c>
      <c r="B81" s="188"/>
      <c r="C81" s="188"/>
      <c r="D81" s="188"/>
      <c r="E81" s="243"/>
    </row>
    <row r="82" spans="1:5" s="193" customFormat="1" ht="13.5" thickBot="1">
      <c r="A82" s="122" t="s">
        <v>88</v>
      </c>
      <c r="B82" s="146">
        <f>B68/B64</f>
        <v>12.524924094387936</v>
      </c>
      <c r="C82" s="146">
        <f>C68/C64</f>
        <v>2.5846403821197366</v>
      </c>
      <c r="D82" s="146">
        <f>D68/D64</f>
        <v>1.3437796142986522</v>
      </c>
      <c r="E82" s="243"/>
    </row>
    <row r="83" spans="1:5" s="184" customFormat="1" ht="14.25" thickBot="1" thickTop="1">
      <c r="A83" s="122" t="s">
        <v>89</v>
      </c>
      <c r="B83" s="141">
        <f>B69+B6</f>
        <v>2451.8711601631135</v>
      </c>
      <c r="C83" s="141">
        <f>C69+C6</f>
        <v>3930.3604803317317</v>
      </c>
      <c r="D83" s="141">
        <f>D69+D6</f>
        <v>1864.7205099999999</v>
      </c>
      <c r="E83" s="244"/>
    </row>
    <row r="84" spans="1:5" s="193" customFormat="1" ht="15.75" thickTop="1">
      <c r="A84" s="185" t="s">
        <v>90</v>
      </c>
      <c r="B84" s="188"/>
      <c r="C84" s="188"/>
      <c r="D84" s="188"/>
      <c r="E84" s="243"/>
    </row>
    <row r="85" spans="1:5" s="193" customFormat="1" ht="13.5" thickBot="1">
      <c r="A85" s="122" t="s">
        <v>88</v>
      </c>
      <c r="B85" s="146">
        <f>B71/B64</f>
        <v>15.470485974807655</v>
      </c>
      <c r="C85" s="146">
        <f>C71/C64</f>
        <v>4.96851991859196</v>
      </c>
      <c r="D85" s="146">
        <f>D71/D64</f>
        <v>3.617724800543744</v>
      </c>
      <c r="E85" s="243"/>
    </row>
    <row r="86" spans="1:5" s="184" customFormat="1" ht="14.25" thickBot="1" thickTop="1">
      <c r="A86" s="122" t="s">
        <v>89</v>
      </c>
      <c r="B86" s="141">
        <f>B72+B6</f>
        <v>2947.356747905145</v>
      </c>
      <c r="C86" s="141">
        <f>C72+C6</f>
        <v>6568.034703416524</v>
      </c>
      <c r="D86" s="141">
        <f>D72+D6</f>
        <v>9764.187461572375</v>
      </c>
      <c r="E86" s="244"/>
    </row>
    <row r="87" spans="1:4" s="184" customFormat="1" ht="13.5" thickTop="1">
      <c r="A87" s="193"/>
      <c r="B87" s="193"/>
      <c r="C87" s="193"/>
      <c r="D87" s="193"/>
    </row>
  </sheetData>
  <sheetProtection/>
  <mergeCells count="1">
    <mergeCell ref="A37:D3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2016-07-25T08:19:03Z</cp:lastPrinted>
  <dcterms:created xsi:type="dcterms:W3CDTF">2007-01-09T12:07:13Z</dcterms:created>
  <dcterms:modified xsi:type="dcterms:W3CDTF">2019-10-13T17:08:36Z</dcterms:modified>
  <cp:category/>
  <cp:version/>
  <cp:contentType/>
  <cp:contentStatus/>
</cp:coreProperties>
</file>