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15" windowWidth="11355" windowHeight="4635" tabRatio="904" activeTab="0"/>
  </bookViews>
  <sheets>
    <sheet name="Pryse + Sensatiwiteitsanalise" sheetId="1" r:id="rId1"/>
    <sheet name="W-Roundup R mielies " sheetId="2" r:id="rId2"/>
    <sheet name="W-BT Mielies vermin till" sheetId="3" state="hidden" r:id="rId3"/>
    <sheet name="Mielie Vermin Bewerk" sheetId="4" r:id="rId4"/>
    <sheet name="Sojabone" sheetId="5" r:id="rId5"/>
    <sheet name="Sojabone verminderde bewerking" sheetId="6" state="hidden" r:id="rId6"/>
    <sheet name="Sojabone Vermin bewerk" sheetId="7" r:id="rId7"/>
    <sheet name="Graansorghum" sheetId="8" r:id="rId8"/>
    <sheet name="Bes-mielies" sheetId="9" r:id="rId9"/>
    <sheet name="Crop Comparison" sheetId="10" r:id="rId10"/>
  </sheets>
  <externalReferences>
    <externalReference r:id="rId13"/>
    <externalReference r:id="rId14"/>
  </externalReferences>
  <definedNames>
    <definedName name="_xlfn.AGGREGATE" hidden="1">#NAME?</definedName>
    <definedName name="Opbrengspeil" localSheetId="3">'Mielie Vermin Bewerk'!$K$9:$K$14</definedName>
    <definedName name="Opbrengspeil">'W-Roundup R mielies '!$K$9:$K$14</definedName>
    <definedName name="_xlnm.Print_Area" localSheetId="8">'Bes-mielies'!$A$1:$I$44</definedName>
    <definedName name="_xlnm.Print_Area" localSheetId="9">'Crop Comparison'!$A$1:$H$57</definedName>
    <definedName name="_xlnm.Print_Area" localSheetId="7">'Graansorghum'!$A$1:$I$39</definedName>
    <definedName name="_xlnm.Print_Area" localSheetId="3">'Mielie Vermin Bewerk'!$A$1:$I$43</definedName>
    <definedName name="_xlnm.Print_Area" localSheetId="4">'Sojabone'!$A$1:$I$39</definedName>
    <definedName name="_xlnm.Print_Area" localSheetId="6">'Sojabone Vermin bewerk'!$A$1:$I$39</definedName>
    <definedName name="_xlnm.Print_Area" localSheetId="5">'Sojabone verminderde bewerking'!$A$1:$I$39</definedName>
    <definedName name="_xlnm.Print_Area" localSheetId="2">'W-BT Mielies vermin till'!$A$1:$I$43</definedName>
    <definedName name="_xlnm.Print_Area" localSheetId="1">'W-Roundup R mielies '!$A$1:$I$43</definedName>
    <definedName name="RRLopbrengspeil">'[1]W-RR mielies Laer opbrengs '!$M$9:$M$14</definedName>
    <definedName name="Sojaopbrengspeil" localSheetId="6">'Sojabone Vermin bewerk'!$K$9:$K$14</definedName>
    <definedName name="Sojaopbrengspeil">'Sojabone'!$K$9:$K$14</definedName>
    <definedName name="Sojaverminopbrengspeil">'Sojabone verminderde bewerking'!$K$9:$K$14</definedName>
    <definedName name="Sorgopbrengspeil">'Graansorghum'!$K$9:$K$13</definedName>
    <definedName name="Verminopbrengspeil">'W-BT Mielies vermin till'!$K$9:$K$14</definedName>
  </definedNames>
  <calcPr fullCalcOnLoad="1"/>
</workbook>
</file>

<file path=xl/comments1.xml><?xml version="1.0" encoding="utf-8"?>
<comments xmlns="http://schemas.openxmlformats.org/spreadsheetml/2006/main">
  <authors>
    <author>Petru Fourie</author>
  </authors>
  <commentList>
    <comment ref="D3" authorId="0">
      <text>
        <r>
          <rPr>
            <b/>
            <sz val="9"/>
            <rFont val="Tahoma"/>
            <family val="2"/>
          </rPr>
          <t>Petru Fourie:</t>
        </r>
        <r>
          <rPr>
            <sz val="9"/>
            <rFont val="Tahoma"/>
            <family val="2"/>
          </rPr>
          <t xml:space="preserve">
Include location diff, marketing cost etc</t>
        </r>
      </text>
    </comment>
  </commentList>
</comments>
</file>

<file path=xl/sharedStrings.xml><?xml version="1.0" encoding="utf-8"?>
<sst xmlns="http://schemas.openxmlformats.org/spreadsheetml/2006/main" count="450" uniqueCount="123">
  <si>
    <t>Rand/ton</t>
  </si>
  <si>
    <t>Gewas</t>
  </si>
  <si>
    <t>SAFEX pryse (R/ton)</t>
  </si>
  <si>
    <t>Lopendekoste / Variable cost (R/ha)</t>
  </si>
  <si>
    <t>Huidig</t>
  </si>
  <si>
    <t>Oorhoofse koste / Overhead cost (R/ha)</t>
  </si>
  <si>
    <t>SAFEX prys / price(R/ton)</t>
  </si>
  <si>
    <t>Totale Koste / Total cost (R/ha)</t>
  </si>
  <si>
    <t>Produsenteprys/ Producer price</t>
  </si>
  <si>
    <t>Opbrengs / Yield (t/ha)</t>
  </si>
  <si>
    <t>Gemid Opbrengs / Average Yield (t/ha)</t>
  </si>
  <si>
    <t xml:space="preserve">Aftrekkings / Deductions </t>
  </si>
  <si>
    <t>Produsenteprys/ Producer price (R/ton)</t>
  </si>
  <si>
    <t>Huidige</t>
  </si>
  <si>
    <t>Produsent prys raming vir droëland SOJABONE vir die                                                   / Producer price framework for dry land SOYBEANS for the</t>
  </si>
  <si>
    <t>Produsent prys raming vir droëland GRAANSORGHUM vir die                                                                 Producer price framework for dry land GRAIN SORGHUM for the</t>
  </si>
  <si>
    <t>Huidige Produkprys op plaas vir beste graad / Current product price for the best grade (R/TON) (Safex min bemarkingskoste/marketing cost)</t>
  </si>
  <si>
    <t>Beplanningsopbrengs / Estimated yields (ton/ha)</t>
  </si>
  <si>
    <t>Bruto produksiewaarde / Gross production value (R/ha)</t>
  </si>
  <si>
    <t>Direk Toedeelbare veranderlike koste / Direct Allocated Variable costs (R/ha)</t>
  </si>
  <si>
    <t>Saad / Seed</t>
  </si>
  <si>
    <t>Kunsmis / Fertiliser</t>
  </si>
  <si>
    <t>Kalk / Lime</t>
  </si>
  <si>
    <t>Brandstof / Fuel</t>
  </si>
  <si>
    <t>Reparasie / Reparation</t>
  </si>
  <si>
    <t>Onkruiddoders / Herbicide</t>
  </si>
  <si>
    <t>Plaagdoder / Pest control</t>
  </si>
  <si>
    <t>Insetversekering / Input insurance</t>
  </si>
  <si>
    <t>Besproeiingskoste / Irrigation cost</t>
  </si>
  <si>
    <t>Graanprysverskansing / Grain hedging</t>
  </si>
  <si>
    <t>Kontrakstroop / Contract Harvesting</t>
  </si>
  <si>
    <t>Oesversekering / Harvest insurance</t>
  </si>
  <si>
    <t>Lugspuit / Aerial spray</t>
  </si>
  <si>
    <t>Losarbeid / Casual labour</t>
  </si>
  <si>
    <t>Droogkoste / Drying cost</t>
  </si>
  <si>
    <t>Verpakking en Pakmateriaal / Packaging and packaging material</t>
  </si>
  <si>
    <t>Produksiekrediet rente / Interest on production R/ha</t>
  </si>
  <si>
    <t>Totale Direk Toedeelbare veranderlike koste / Total Direct Allocated Variable Cost  (R/ha)</t>
  </si>
  <si>
    <t>Totale Oorhoofse koste / Total overhead cost R/ha</t>
  </si>
  <si>
    <t>Totale Koste per ha voor fisiese bemarking R/ha / Total cost per ha before marketing cost R/ha</t>
  </si>
  <si>
    <t>Totale koste per ton voor fisiese bemarking R/Ton / Total cost per ton before marketing cost R/Ton</t>
  </si>
  <si>
    <t>Totale bemarkingskoste / Total marketing cost R/ton</t>
  </si>
  <si>
    <t>Verwagte minimum Safex prys SONDER wins/ Expected minimum Safex price, WITHOUT profit</t>
  </si>
  <si>
    <t xml:space="preserve">Produsent prys raming vir droëland BT WIT MIELIES VERMINDERDE BEWERKING vir die /                                         Producer price framework for dry land WHITE BT MAIZE MINIMUM TILLAGE for the </t>
  </si>
  <si>
    <t xml:space="preserve">Safex prys / Safex price </t>
  </si>
  <si>
    <r>
      <t>Disclaimer:</t>
    </r>
    <r>
      <rPr>
        <sz val="11"/>
        <rFont val="Calibri"/>
        <family val="2"/>
      </rPr>
      <t xml:space="preserve"> The information herein has been obtained from various sources, the accuracy and/or completeness of which Grain SA does not</t>
    </r>
  </si>
  <si>
    <t>guarantee and for which Grain SA accepts no liability. Any prices or levels contained herein are preliminary and indicative only and do not</t>
  </si>
  <si>
    <t>represent bids or offers. These indications are provided solely for your information and consideration.</t>
  </si>
  <si>
    <t xml:space="preserve">                                        Thank you to the Maize Trust for partially funding this project</t>
  </si>
  <si>
    <t>Produsent prys raming vir BESPROEIING MIELIES vir die  /                                                              Producer price framework for IRRIGATION MAIZE for the</t>
  </si>
  <si>
    <t>SORGHUM</t>
  </si>
  <si>
    <t>Datum opgedateer / Date updated</t>
  </si>
  <si>
    <t>OOSTELIKE HOEVELD / EASTERN HIGHVELD</t>
  </si>
  <si>
    <t>Total deductions (R/ton)</t>
  </si>
  <si>
    <t xml:space="preserve">Produsent prys raming vir droëland SOJABONE verminderde bewerking  /                          Producer price framework for dry land SOYBEANS minimum tillage </t>
  </si>
  <si>
    <t>ROUNDUP READY MIELIES / MAIZE</t>
  </si>
  <si>
    <t>BT MIELIES VERMINDERDE BEWERKING / BT MAIZE MIN TILLAGE</t>
  </si>
  <si>
    <t>SOJABONE / SOYBEANS</t>
  </si>
  <si>
    <t>SOJABONE VERMINDERDE BEWERKING / SOYBEANS MIN TILLAGE</t>
  </si>
  <si>
    <t>Graansorghum / Grain sorghum</t>
  </si>
  <si>
    <t>Opbrengspeil</t>
  </si>
  <si>
    <t>Lopende koste</t>
  </si>
  <si>
    <t>Oorhoofse koste</t>
  </si>
  <si>
    <t>RRMielies</t>
  </si>
  <si>
    <t>VerminMielies</t>
  </si>
  <si>
    <t>Soja</t>
  </si>
  <si>
    <t>Sorghum</t>
  </si>
  <si>
    <t>SAFEX prys/price  (R/ton)</t>
  </si>
  <si>
    <t>PRODUKSIEJAAR   2017-18   PRODUCTION YEAR 2017-18</t>
  </si>
  <si>
    <t>PRODUKSIEJAAR   2017-18                   PRODUCTION YEAR 2017-18</t>
  </si>
  <si>
    <t>Safex prys / Safex price - Jul 18</t>
  </si>
  <si>
    <t>Safex prys / Safex price - May 18</t>
  </si>
  <si>
    <t>MIELIES: SENSITIWITEITSANALISE - TOTALE KOSTES ( DIREKTE KOSTE + VASTE KOSTE) R/ton</t>
  </si>
  <si>
    <t>MIELIES: SENSITIWITEITSANALISE - DIREKTE KOSTE R/ton</t>
  </si>
  <si>
    <t>SOJABONE: SENSITIWITEITSANALISE - TOTALE KOSTES ( DIREKTE KOSTE + VASTE KOSTE) R/ton</t>
  </si>
  <si>
    <t>SOJABONE: SENSITIWITEITSANALISE - DIREKTE KOSTE R/ton</t>
  </si>
  <si>
    <t>SORGHUM: SENSITIWITEITSANALISE - TOTALE KOSTES ( DIREKTE KOSTE + VASTE KOSTE) R/ton</t>
  </si>
  <si>
    <t>SORGHUM: SENSITIWITEITSANALISE - DIREKTE KOSTE R/ton</t>
  </si>
  <si>
    <t>PRODUKSIEJAAR   2018-19   PRODUCTION YEAR 2018-19</t>
  </si>
  <si>
    <t>PRODUKSIEJAAR   2018-19                         PRODUCTION YEAR 2018-19</t>
  </si>
  <si>
    <t>PRODUKSIEJAAR   2018-19                          PRODUCTION YEAR 2018-19</t>
  </si>
  <si>
    <r>
      <rPr>
        <b/>
        <sz val="11"/>
        <color indexed="30"/>
        <rFont val="Calibri"/>
        <family val="2"/>
      </rPr>
      <t>EASTERN HIGHVELD</t>
    </r>
    <r>
      <rPr>
        <b/>
        <sz val="11"/>
        <color indexed="8"/>
        <rFont val="Calibri"/>
        <family val="2"/>
      </rPr>
      <t xml:space="preserve"> INCOME &amp; COST BUDGETS - SUMMER CROPS 2018/19 </t>
    </r>
  </si>
  <si>
    <t xml:space="preserve">Crop </t>
  </si>
  <si>
    <t xml:space="preserve">1) INCOME </t>
  </si>
  <si>
    <t>Yield target (ton/ha)</t>
  </si>
  <si>
    <t xml:space="preserve">SAFEX: Estimated Price </t>
  </si>
  <si>
    <t xml:space="preserve">Deductions </t>
  </si>
  <si>
    <t>Net Farm Gate Price</t>
  </si>
  <si>
    <t>GROSS INCOME (R/ha)</t>
  </si>
  <si>
    <t xml:space="preserve">2) VARIABLE EXPENDITURES </t>
  </si>
  <si>
    <t>TOTAL VARIABLE EXPENDITURE (R/ha)</t>
  </si>
  <si>
    <t>TOTAL FIXED COST (R/ha)</t>
  </si>
  <si>
    <t>TOTAL COST (R/ha)</t>
  </si>
  <si>
    <t>3) GROSS MARGIN  (R/ha)</t>
  </si>
  <si>
    <t>4) NETT MARGIN  (R/ha)</t>
  </si>
  <si>
    <r>
      <rPr>
        <b/>
        <sz val="11"/>
        <color indexed="8"/>
        <rFont val="Calibri"/>
        <family val="2"/>
      </rPr>
      <t>Disclaimer:</t>
    </r>
    <r>
      <rPr>
        <sz val="10"/>
        <rFont val="Arial"/>
        <family val="0"/>
      </rPr>
      <t xml:space="preserve"> The information herein has been obtained from various sources, the accuracy and/or completeness of which Grain SA does not guarantee and for which Grain SA accepts no liability. Any prices or levels contained herein are preliminary and indicative only and do not represent bids or offers. These indications are provided solely for your information and consideration.</t>
    </r>
  </si>
  <si>
    <t xml:space="preserve">SUMMARY </t>
  </si>
  <si>
    <t>LGO (ton/ha)</t>
  </si>
  <si>
    <t>Net Farm Gate Price (R/ha)</t>
  </si>
  <si>
    <t>Net Farm Gate Price (R/ton)</t>
  </si>
  <si>
    <t>Total variable &amp; fixed expenditure (R/ha)</t>
  </si>
  <si>
    <t>Total variable &amp; fixed expenditure (R/ton)</t>
  </si>
  <si>
    <t>Nett margin (R/ha)</t>
  </si>
  <si>
    <t>Net margin (R/ton)</t>
  </si>
  <si>
    <t>Break-even yields (t/ha)</t>
  </si>
  <si>
    <t>Break-even Safex price (t/ha)</t>
  </si>
  <si>
    <t xml:space="preserve">2) EXPENDITURES </t>
  </si>
  <si>
    <t>Total variable cost (R/ha)</t>
  </si>
  <si>
    <t>Total variable cost (R/ton)</t>
  </si>
  <si>
    <t>3) MARGIN</t>
  </si>
  <si>
    <t>Gross margin (R/ha)</t>
  </si>
  <si>
    <t>Gross margin (R/ton)</t>
  </si>
  <si>
    <t>BREAK-EVEN &amp; PROFITABILITY (ONLY variable cost)</t>
  </si>
  <si>
    <t>BREAK-EVEN &amp; PROFITABILITY (variable &amp; fixed cost)</t>
  </si>
  <si>
    <t>2018/19 season</t>
  </si>
  <si>
    <t>Produsent prys raming vir droëland RR MIELIES vir die  /                                                        Producer price framework for dry land RR MAIZE for the</t>
  </si>
  <si>
    <t>Produsent prys raming vir droëland SOJABONE vermin bewerk vir die                                                   / Producer price framework for dry land SOYBEANS min tillage for the</t>
  </si>
  <si>
    <t>Produsent prys raming vir droëland MIELIES vermin bewerk vir die  /                                                        Producer price framework for dry land MAIZE min tillage for the</t>
  </si>
  <si>
    <t>Mielies / Maize- Jul 19</t>
  </si>
  <si>
    <t>Sojabone / Soybeans- Mei 19</t>
  </si>
  <si>
    <t>SAFEX Jul'19 WM 1 prys/price  (R/ton)</t>
  </si>
  <si>
    <t>SAFEX Mei'19Soy prys/price  (R/ton)</t>
  </si>
  <si>
    <t>SAFEX Mei'19 Soy prys/price  (R/ton)</t>
  </si>
</sst>
</file>

<file path=xl/styles.xml><?xml version="1.0" encoding="utf-8"?>
<styleSheet xmlns="http://schemas.openxmlformats.org/spreadsheetml/2006/main">
  <numFmts count="54">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0_);_(* \(#,##0.00\);_(* &quot;-&quot;??_);_(@_)"/>
    <numFmt numFmtId="173" formatCode="0.00_)"/>
    <numFmt numFmtId="174" formatCode="0_)"/>
    <numFmt numFmtId="175" formatCode="0.000"/>
    <numFmt numFmtId="176" formatCode="mm/dd/yy"/>
    <numFmt numFmtId="177" formatCode="_(* #,##0.000000000000000_);_(* \(#,##0.000000000000000\);_(* &quot;-&quot;???????????????_);_(@_)"/>
    <numFmt numFmtId="178" formatCode="0.0"/>
    <numFmt numFmtId="179" formatCode="[$-436]dd\ mmmm\ yyyy;@"/>
    <numFmt numFmtId="180" formatCode="_ * #,##0.00_ ;_ * \-#,##0.00_ ;_ * &quot;-&quot;_ ;_ @_ "/>
    <numFmt numFmtId="181" formatCode="_ * #,##0.00000_ ;_ * \-#,##0.00000_ ;_ * &quot;-&quot;_ ;_ @_ "/>
    <numFmt numFmtId="182" formatCode="0.0%"/>
    <numFmt numFmtId="183" formatCode="0.0_)"/>
    <numFmt numFmtId="184" formatCode="_ * #,##0.0_ ;_ * \-#,##0.0_ ;_ * &quot;-&quot;?_ ;_ @_ "/>
    <numFmt numFmtId="185" formatCode="_ * #,##0.000_ ;_ * \-#,##0.000_ ;_ * &quot;-&quot;???_ ;_ @_ "/>
    <numFmt numFmtId="186" formatCode="0.0000_)"/>
    <numFmt numFmtId="187" formatCode="_(* #,##0.0000_);_(* \(#,##0.0000\);_(* &quot;-&quot;??_);_(@_)"/>
    <numFmt numFmtId="188" formatCode="_(* #,##0.0_);_(* \(#,##0.0\);_(* &quot;-&quot;??_);_(@_)"/>
    <numFmt numFmtId="189" formatCode="_(* #,##0_);_(* \(#,##0\);_(* &quot;-&quot;??_);_(@_)"/>
    <numFmt numFmtId="190" formatCode="_ * #,##0.000_ ;_ * \-#,##0.000_ ;_ * &quot;-&quot;??_ ;_ @_ "/>
    <numFmt numFmtId="191" formatCode="_ * #,##0.000000_ ;_ * \-#,##0.000000_ ;_ * &quot;-&quot;??_ ;_ @_ "/>
    <numFmt numFmtId="192" formatCode="_ * #,##0_ ;_ * \-#,##0_ ;_ * &quot;-&quot;??_ ;_ @_ "/>
    <numFmt numFmtId="193" formatCode="_ * #,##0.0000000_ ;_ * \-#,##0.0000000_ ;_ * &quot;-&quot;??_ ;_ @_ "/>
    <numFmt numFmtId="194" formatCode="_ * #,##0.00000000_ ;_ * \-#,##0.00000000_ ;_ * &quot;-&quot;??_ ;_ @_ "/>
    <numFmt numFmtId="195" formatCode="0.000_)"/>
    <numFmt numFmtId="196" formatCode="_ * #,##0.0000_ ;_ * \-#,##0.0000_ ;_ * &quot;-&quot;??_ ;_ @_ "/>
    <numFmt numFmtId="197" formatCode="_ * #,##0.00000_ ;_ * \-#,##0.00000_ ;_ * &quot;-&quot;??_ ;_ @_ "/>
    <numFmt numFmtId="198" formatCode="_ * #,##0.00_ ;_ * \-#,##0.00_ ;_ * &quot;-&quot;?_ ;_ @_ "/>
    <numFmt numFmtId="199" formatCode="#,##0.0"/>
    <numFmt numFmtId="200" formatCode="&quot;R&quot;\ #,##0.00"/>
    <numFmt numFmtId="201" formatCode="&quot;R&quot;\ #,##0"/>
    <numFmt numFmtId="202" formatCode="_(&quot;$&quot;* #,##0.00_);_(&quot;$&quot;* \(#,##0.00\);_(&quot;$&quot;* &quot;-&quot;??_);_(@_)"/>
    <numFmt numFmtId="203" formatCode="_-* #,##0_-;\-* #,##0_-;_-* &quot;-&quot;??_-;_-@_-"/>
    <numFmt numFmtId="204" formatCode="_ [$R-1C09]\ * #,##0.00_ ;_ [$R-1C09]\ * \-#,##0.00_ ;_ [$R-1C09]\ * &quot;-&quot;??_ ;_ @_ "/>
    <numFmt numFmtId="205" formatCode="_ * #,##0.0_ ;_ * \-#,##0.0_ ;_ * &quot;-&quot;??_ ;_ @_ "/>
    <numFmt numFmtId="206" formatCode="_ [$R-1C09]\ * #,##0_ ;_ [$R-1C09]\ * \-#,##0_ ;_ [$R-1C09]\ * &quot;-&quot;??_ ;_ @_ "/>
    <numFmt numFmtId="207" formatCode="_ [$R-1C09]\ * #,##0.0_ ;_ [$R-1C09]\ * \-#,##0.0_ ;_ [$R-1C09]\ * &quot;-&quot;??_ ;_ @_ "/>
    <numFmt numFmtId="208" formatCode="_(* #,##0.000_);_(* \(#,##0.000\);_(* &quot;-&quot;??_);_(@_)"/>
    <numFmt numFmtId="209" formatCode="_-[$R-1C09]* #,##0_-;\-[$R-1C09]* #,##0_-;_-[$R-1C09]* &quot;-&quot;??_-;_-@_-"/>
  </numFmts>
  <fonts count="66">
    <font>
      <sz val="10"/>
      <name val="Arial"/>
      <family val="0"/>
    </font>
    <font>
      <b/>
      <sz val="10"/>
      <name val="Arial"/>
      <family val="2"/>
    </font>
    <font>
      <b/>
      <sz val="10"/>
      <color indexed="10"/>
      <name val="Arial"/>
      <family val="2"/>
    </font>
    <font>
      <u val="single"/>
      <sz val="10"/>
      <color indexed="12"/>
      <name val="Courier"/>
      <family val="3"/>
    </font>
    <font>
      <b/>
      <sz val="12"/>
      <name val="Arial"/>
      <family val="2"/>
    </font>
    <font>
      <sz val="12"/>
      <name val="Arial"/>
      <family val="2"/>
    </font>
    <font>
      <u val="single"/>
      <sz val="10"/>
      <color indexed="36"/>
      <name val="Arial"/>
      <family val="2"/>
    </font>
    <font>
      <sz val="10"/>
      <name val="Segoe UI"/>
      <family val="2"/>
    </font>
    <font>
      <sz val="10"/>
      <name val="Arial Black"/>
      <family val="2"/>
    </font>
    <font>
      <sz val="8"/>
      <name val="Arial"/>
      <family val="2"/>
    </font>
    <font>
      <b/>
      <sz val="11"/>
      <name val="Arial"/>
      <family val="2"/>
    </font>
    <font>
      <b/>
      <sz val="11"/>
      <name val="Calibri"/>
      <family val="2"/>
    </font>
    <font>
      <sz val="11"/>
      <name val="Calibri"/>
      <family val="2"/>
    </font>
    <font>
      <b/>
      <sz val="9"/>
      <name val="Tahoma"/>
      <family val="2"/>
    </font>
    <font>
      <sz val="9"/>
      <name val="Tahoma"/>
      <family val="2"/>
    </font>
    <font>
      <sz val="11"/>
      <color indexed="8"/>
      <name val="Calibri"/>
      <family val="2"/>
    </font>
    <font>
      <u val="single"/>
      <sz val="7.5"/>
      <color indexed="12"/>
      <name val="Arial"/>
      <family val="2"/>
    </font>
    <font>
      <b/>
      <sz val="11"/>
      <color indexed="8"/>
      <name val="Calibri"/>
      <family val="2"/>
    </font>
    <font>
      <b/>
      <sz val="11"/>
      <color indexed="30"/>
      <name val="Calibri"/>
      <family val="2"/>
    </font>
    <font>
      <sz val="11"/>
      <name val="Times New Roman"/>
      <family val="1"/>
    </font>
    <font>
      <sz val="10"/>
      <color indexed="8"/>
      <name val="Calibri"/>
      <family val="0"/>
    </font>
    <font>
      <b/>
      <sz val="10"/>
      <color indexed="8"/>
      <name val="Calibri"/>
      <family val="0"/>
    </font>
    <font>
      <b/>
      <sz val="10.5"/>
      <color indexed="63"/>
      <name val="Calibri"/>
      <family val="0"/>
    </font>
    <font>
      <sz val="11"/>
      <color indexed="63"/>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sz val="11"/>
      <color indexed="10"/>
      <name val="Calibri"/>
      <family val="2"/>
    </font>
    <font>
      <b/>
      <sz val="10"/>
      <color indexed="8"/>
      <name val="Arial"/>
      <family val="2"/>
    </font>
    <font>
      <b/>
      <sz val="18"/>
      <color indexed="17"/>
      <name val="Arial"/>
      <family val="2"/>
    </font>
    <font>
      <b/>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b/>
      <sz val="10"/>
      <color theme="1"/>
      <name val="Arial"/>
      <family val="2"/>
    </font>
    <font>
      <b/>
      <sz val="18"/>
      <color rgb="FF00B050"/>
      <name val="Arial"/>
      <family val="2"/>
    </font>
    <font>
      <b/>
      <sz val="11"/>
      <color rgb="FFFF0000"/>
      <name val="Calibri"/>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rgb="FFF96FDB"/>
        <bgColor indexed="64"/>
      </patternFill>
    </fill>
    <fill>
      <patternFill patternType="solid">
        <fgColor rgb="FF00B0F0"/>
        <bgColor indexed="64"/>
      </patternFill>
    </fill>
    <fill>
      <patternFill patternType="solid">
        <fgColor theme="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indexed="9"/>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color indexed="63"/>
      </left>
      <right style="medium"/>
      <top>
        <color indexed="63"/>
      </top>
      <bottom style="medium"/>
    </border>
    <border>
      <left>
        <color indexed="63"/>
      </left>
      <right style="medium"/>
      <top style="medium"/>
      <bottom style="medium"/>
    </border>
    <border>
      <left style="medium"/>
      <right style="medium"/>
      <top style="medium"/>
      <bottom style="medium"/>
    </border>
    <border>
      <left>
        <color indexed="63"/>
      </left>
      <right>
        <color indexed="63"/>
      </right>
      <top>
        <color indexed="63"/>
      </top>
      <bottom style="mediu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thin"/>
    </border>
    <border>
      <left style="medium"/>
      <right style="medium"/>
      <top style="thin"/>
      <bottom style="thin"/>
    </border>
    <border>
      <left style="medium"/>
      <right>
        <color indexed="63"/>
      </right>
      <top style="medium"/>
      <bottom style="medium"/>
    </border>
    <border>
      <left style="medium"/>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thin"/>
      <bottom style="thin"/>
    </border>
    <border>
      <left style="medium"/>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color indexed="63"/>
      </right>
      <top style="thin"/>
      <bottom style="thin"/>
    </border>
    <border>
      <left>
        <color indexed="63"/>
      </left>
      <right style="medium"/>
      <top>
        <color indexed="63"/>
      </top>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thin"/>
      <right/>
      <top style="thin"/>
      <bottom/>
    </border>
    <border>
      <left/>
      <right/>
      <top style="thin"/>
      <bottom/>
    </border>
    <border>
      <left style="thin"/>
      <right/>
      <top style="thin"/>
      <bottom style="thin"/>
    </border>
    <border>
      <left style="thin"/>
      <right/>
      <top/>
      <bottom/>
    </border>
    <border>
      <left/>
      <right/>
      <top/>
      <bottom style="double"/>
    </border>
    <border>
      <left/>
      <right/>
      <top style="thin"/>
      <bottom style="double"/>
    </border>
    <border>
      <left style="thin"/>
      <right/>
      <top/>
      <bottom style="thin"/>
    </border>
    <border>
      <left/>
      <right/>
      <top/>
      <bottom style="thin"/>
    </border>
    <border>
      <left/>
      <right/>
      <top style="double"/>
      <bottom style="double"/>
    </border>
    <border>
      <left>
        <color indexed="63"/>
      </left>
      <right>
        <color indexed="63"/>
      </right>
      <top style="thin"/>
      <bottom style="medium"/>
    </border>
    <border>
      <left style="medium"/>
      <right style="medium"/>
      <top>
        <color indexed="63"/>
      </top>
      <bottom style="medium"/>
    </border>
  </borders>
  <cellStyleXfs count="1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2"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1" fontId="43"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2" fontId="0" fillId="0" borderId="0" applyFont="0" applyFill="0" applyBorder="0" applyAlignment="0" applyProtection="0"/>
    <xf numFmtId="44" fontId="43"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48" fillId="0" borderId="0" applyNumberFormat="0" applyFill="0" applyBorder="0" applyAlignment="0" applyProtection="0"/>
    <xf numFmtId="0" fontId="6"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7"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7" fillId="0" borderId="0">
      <alignment/>
      <protection/>
    </xf>
    <xf numFmtId="0" fontId="9" fillId="0" borderId="0">
      <alignment/>
      <protection/>
    </xf>
    <xf numFmtId="0" fontId="56" fillId="0" borderId="0">
      <alignment/>
      <protection/>
    </xf>
    <xf numFmtId="0" fontId="56" fillId="0" borderId="0">
      <alignment/>
      <protection/>
    </xf>
    <xf numFmtId="0" fontId="0" fillId="0" borderId="0">
      <alignment/>
      <protection/>
    </xf>
    <xf numFmtId="0" fontId="56" fillId="0" borderId="0">
      <alignment/>
      <protection/>
    </xf>
    <xf numFmtId="0" fontId="56" fillId="0" borderId="0">
      <alignment/>
      <protection/>
    </xf>
    <xf numFmtId="0" fontId="19" fillId="0" borderId="0">
      <alignment/>
      <protection/>
    </xf>
    <xf numFmtId="0" fontId="0" fillId="0" borderId="0">
      <alignment/>
      <protection/>
    </xf>
    <xf numFmtId="0" fontId="56" fillId="0" borderId="0">
      <alignment/>
      <protection/>
    </xf>
    <xf numFmtId="0" fontId="43" fillId="0" borderId="0">
      <alignment/>
      <protection/>
    </xf>
    <xf numFmtId="0" fontId="56" fillId="0" borderId="0">
      <alignment/>
      <protection/>
    </xf>
    <xf numFmtId="0" fontId="0" fillId="0" borderId="0">
      <alignment/>
      <protection/>
    </xf>
    <xf numFmtId="0" fontId="0" fillId="0" borderId="0">
      <alignment/>
      <protection/>
    </xf>
    <xf numFmtId="0" fontId="56" fillId="0" borderId="0">
      <alignment/>
      <protection/>
    </xf>
    <xf numFmtId="0" fontId="56" fillId="0" borderId="0">
      <alignment/>
      <protection/>
    </xf>
    <xf numFmtId="0" fontId="0" fillId="0" borderId="0">
      <alignment/>
      <protection/>
    </xf>
    <xf numFmtId="0" fontId="56" fillId="0" borderId="0">
      <alignment/>
      <protection/>
    </xf>
    <xf numFmtId="0" fontId="56" fillId="0" borderId="0">
      <alignment/>
      <protection/>
    </xf>
    <xf numFmtId="0" fontId="0" fillId="0" borderId="0">
      <alignment/>
      <protection/>
    </xf>
    <xf numFmtId="0" fontId="43" fillId="0" borderId="0">
      <alignment/>
      <protection/>
    </xf>
    <xf numFmtId="0" fontId="9" fillId="0" borderId="0">
      <alignment/>
      <protection/>
    </xf>
    <xf numFmtId="0" fontId="9" fillId="0" borderId="0">
      <alignment/>
      <protection/>
    </xf>
    <xf numFmtId="0" fontId="43" fillId="0" borderId="0">
      <alignment/>
      <protection/>
    </xf>
    <xf numFmtId="0" fontId="0" fillId="0" borderId="0">
      <alignment/>
      <protection/>
    </xf>
    <xf numFmtId="0" fontId="7" fillId="0" borderId="0">
      <alignment/>
      <protection/>
    </xf>
    <xf numFmtId="0" fontId="9" fillId="0" borderId="0">
      <alignment/>
      <protection/>
    </xf>
    <xf numFmtId="0" fontId="7"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4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43">
    <xf numFmtId="0" fontId="0" fillId="0" borderId="0" xfId="0" applyAlignment="1">
      <alignment/>
    </xf>
    <xf numFmtId="0" fontId="0" fillId="0" borderId="0" xfId="0" applyFont="1" applyFill="1" applyAlignment="1" applyProtection="1">
      <alignment/>
      <protection hidden="1"/>
    </xf>
    <xf numFmtId="0" fontId="1" fillId="33" borderId="10" xfId="0" applyFont="1" applyFill="1" applyBorder="1" applyAlignment="1" applyProtection="1">
      <alignment/>
      <protection hidden="1"/>
    </xf>
    <xf numFmtId="0" fontId="0" fillId="0" borderId="0" xfId="0" applyFont="1" applyFill="1" applyBorder="1" applyAlignment="1" applyProtection="1">
      <alignment/>
      <protection hidden="1"/>
    </xf>
    <xf numFmtId="0" fontId="0" fillId="0" borderId="11" xfId="0" applyFont="1" applyFill="1" applyBorder="1" applyAlignment="1" applyProtection="1">
      <alignment/>
      <protection hidden="1"/>
    </xf>
    <xf numFmtId="0" fontId="0" fillId="34" borderId="12" xfId="0" applyFont="1" applyFill="1" applyBorder="1" applyAlignment="1" applyProtection="1">
      <alignment/>
      <protection hidden="1"/>
    </xf>
    <xf numFmtId="0" fontId="1" fillId="0" borderId="10" xfId="0" applyFont="1" applyFill="1" applyBorder="1" applyAlignment="1" applyProtection="1">
      <alignment horizontal="centerContinuous"/>
      <protection hidden="1"/>
    </xf>
    <xf numFmtId="0" fontId="1" fillId="0" borderId="10" xfId="0" applyFont="1" applyFill="1" applyBorder="1" applyAlignment="1" applyProtection="1">
      <alignment horizontal="left"/>
      <protection hidden="1"/>
    </xf>
    <xf numFmtId="2" fontId="1" fillId="35" borderId="13" xfId="0" applyNumberFormat="1" applyFont="1" applyFill="1" applyBorder="1" applyAlignment="1" applyProtection="1">
      <alignment/>
      <protection hidden="1"/>
    </xf>
    <xf numFmtId="0" fontId="0" fillId="0" borderId="10" xfId="0" applyFont="1" applyFill="1" applyBorder="1" applyAlignment="1" applyProtection="1">
      <alignment horizontal="centerContinuous"/>
      <protection hidden="1"/>
    </xf>
    <xf numFmtId="0" fontId="0" fillId="0" borderId="14" xfId="0" applyFont="1" applyFill="1" applyBorder="1" applyAlignment="1" applyProtection="1">
      <alignment/>
      <protection hidden="1"/>
    </xf>
    <xf numFmtId="2" fontId="1" fillId="0" borderId="15" xfId="0" applyNumberFormat="1" applyFont="1" applyFill="1" applyBorder="1" applyAlignment="1" applyProtection="1">
      <alignment/>
      <protection hidden="1"/>
    </xf>
    <xf numFmtId="172" fontId="0" fillId="0" borderId="0" xfId="0" applyNumberFormat="1" applyFont="1" applyBorder="1" applyAlignment="1" applyProtection="1">
      <alignment/>
      <protection hidden="1"/>
    </xf>
    <xf numFmtId="172" fontId="0" fillId="0" borderId="0" xfId="0" applyNumberFormat="1" applyFont="1" applyAlignment="1" applyProtection="1">
      <alignment/>
      <protection hidden="1"/>
    </xf>
    <xf numFmtId="0" fontId="4" fillId="33" borderId="10" xfId="0" applyFont="1" applyFill="1" applyBorder="1" applyAlignment="1" applyProtection="1">
      <alignment/>
      <protection hidden="1"/>
    </xf>
    <xf numFmtId="0" fontId="0" fillId="0" borderId="0" xfId="0" applyFont="1" applyBorder="1" applyAlignment="1" applyProtection="1">
      <alignment/>
      <protection hidden="1"/>
    </xf>
    <xf numFmtId="0" fontId="1" fillId="33" borderId="12" xfId="0" applyFont="1" applyFill="1" applyBorder="1" applyAlignment="1" applyProtection="1">
      <alignment/>
      <protection hidden="1"/>
    </xf>
    <xf numFmtId="0" fontId="4" fillId="0" borderId="16" xfId="0" applyFont="1" applyFill="1" applyBorder="1" applyAlignment="1" applyProtection="1">
      <alignment horizontal="left"/>
      <protection hidden="1"/>
    </xf>
    <xf numFmtId="0" fontId="4" fillId="0" borderId="14" xfId="0" applyFont="1" applyFill="1" applyBorder="1" applyAlignment="1" applyProtection="1">
      <alignment horizontal="left"/>
      <protection hidden="1"/>
    </xf>
    <xf numFmtId="0" fontId="5" fillId="0" borderId="14" xfId="0" applyFont="1" applyFill="1" applyBorder="1" applyAlignment="1" applyProtection="1">
      <alignment/>
      <protection hidden="1"/>
    </xf>
    <xf numFmtId="0" fontId="0" fillId="34" borderId="10" xfId="0" applyFont="1" applyFill="1" applyBorder="1" applyAlignment="1" applyProtection="1">
      <alignment/>
      <protection hidden="1"/>
    </xf>
    <xf numFmtId="0" fontId="2" fillId="0" borderId="10" xfId="0" applyFont="1" applyFill="1" applyBorder="1" applyAlignment="1" applyProtection="1">
      <alignment/>
      <protection hidden="1"/>
    </xf>
    <xf numFmtId="0" fontId="0" fillId="0" borderId="12" xfId="0" applyFont="1" applyFill="1" applyBorder="1" applyAlignment="1" applyProtection="1">
      <alignment/>
      <protection hidden="1"/>
    </xf>
    <xf numFmtId="173" fontId="1" fillId="36" borderId="13" xfId="0" applyNumberFormat="1" applyFont="1" applyFill="1" applyBorder="1" applyAlignment="1" applyProtection="1">
      <alignment/>
      <protection hidden="1"/>
    </xf>
    <xf numFmtId="174" fontId="1" fillId="36" borderId="13" xfId="0" applyNumberFormat="1" applyFont="1" applyFill="1" applyBorder="1" applyAlignment="1" applyProtection="1">
      <alignment horizontal="right"/>
      <protection hidden="1"/>
    </xf>
    <xf numFmtId="0" fontId="0" fillId="34" borderId="13" xfId="0" applyFont="1" applyFill="1" applyBorder="1" applyAlignment="1" applyProtection="1">
      <alignment/>
      <protection hidden="1"/>
    </xf>
    <xf numFmtId="2" fontId="1" fillId="36" borderId="15" xfId="0" applyNumberFormat="1" applyFont="1" applyFill="1" applyBorder="1" applyAlignment="1" applyProtection="1">
      <alignment/>
      <protection hidden="1"/>
    </xf>
    <xf numFmtId="2" fontId="1" fillId="34" borderId="13" xfId="0" applyNumberFormat="1" applyFont="1" applyFill="1" applyBorder="1" applyAlignment="1" applyProtection="1">
      <alignment/>
      <protection hidden="1"/>
    </xf>
    <xf numFmtId="172" fontId="1" fillId="0" borderId="0" xfId="0" applyNumberFormat="1" applyFont="1" applyBorder="1" applyAlignment="1" applyProtection="1">
      <alignment/>
      <protection hidden="1"/>
    </xf>
    <xf numFmtId="0" fontId="1" fillId="34" borderId="10" xfId="0" applyFont="1" applyFill="1" applyBorder="1" applyAlignment="1" applyProtection="1">
      <alignment/>
      <protection hidden="1"/>
    </xf>
    <xf numFmtId="43" fontId="1" fillId="0" borderId="17" xfId="0" applyNumberFormat="1" applyFont="1" applyFill="1" applyBorder="1" applyAlignment="1" applyProtection="1">
      <alignment/>
      <protection hidden="1"/>
    </xf>
    <xf numFmtId="43" fontId="1" fillId="0" borderId="18" xfId="0" applyNumberFormat="1" applyFont="1" applyFill="1" applyBorder="1" applyAlignment="1" applyProtection="1">
      <alignment/>
      <protection hidden="1"/>
    </xf>
    <xf numFmtId="43" fontId="1" fillId="35" borderId="13" xfId="0" applyNumberFormat="1" applyFont="1" applyFill="1" applyBorder="1" applyAlignment="1" applyProtection="1">
      <alignment/>
      <protection hidden="1"/>
    </xf>
    <xf numFmtId="43" fontId="1" fillId="36" borderId="15" xfId="0" applyNumberFormat="1" applyFont="1" applyFill="1" applyBorder="1" applyAlignment="1" applyProtection="1">
      <alignment/>
      <protection hidden="1"/>
    </xf>
    <xf numFmtId="43" fontId="1" fillId="34" borderId="13" xfId="0" applyNumberFormat="1" applyFont="1" applyFill="1" applyBorder="1" applyAlignment="1" applyProtection="1">
      <alignment/>
      <protection hidden="1"/>
    </xf>
    <xf numFmtId="43" fontId="1" fillId="0" borderId="15" xfId="0" applyNumberFormat="1" applyFont="1" applyFill="1" applyBorder="1" applyAlignment="1" applyProtection="1">
      <alignment/>
      <protection hidden="1"/>
    </xf>
    <xf numFmtId="43" fontId="1" fillId="35" borderId="13" xfId="0" applyNumberFormat="1" applyFont="1" applyFill="1" applyBorder="1" applyAlignment="1" applyProtection="1">
      <alignment horizontal="right"/>
      <protection hidden="1"/>
    </xf>
    <xf numFmtId="43" fontId="1" fillId="34" borderId="10" xfId="0" applyNumberFormat="1" applyFont="1" applyFill="1" applyBorder="1" applyAlignment="1" applyProtection="1">
      <alignment horizontal="left"/>
      <protection hidden="1"/>
    </xf>
    <xf numFmtId="43" fontId="1" fillId="36" borderId="13" xfId="0" applyNumberFormat="1" applyFont="1" applyFill="1" applyBorder="1" applyAlignment="1" applyProtection="1">
      <alignment/>
      <protection hidden="1"/>
    </xf>
    <xf numFmtId="43" fontId="1" fillId="36" borderId="13" xfId="0" applyNumberFormat="1" applyFont="1" applyFill="1" applyBorder="1" applyAlignment="1" applyProtection="1">
      <alignment horizontal="right"/>
      <protection hidden="1"/>
    </xf>
    <xf numFmtId="43" fontId="0" fillId="34" borderId="13" xfId="0" applyNumberFormat="1" applyFont="1" applyFill="1" applyBorder="1" applyAlignment="1" applyProtection="1">
      <alignment/>
      <protection hidden="1"/>
    </xf>
    <xf numFmtId="184" fontId="1" fillId="36" borderId="13" xfId="0" applyNumberFormat="1" applyFont="1" applyFill="1" applyBorder="1" applyAlignment="1" applyProtection="1">
      <alignment/>
      <protection hidden="1"/>
    </xf>
    <xf numFmtId="0" fontId="0" fillId="0" borderId="0" xfId="123">
      <alignment/>
      <protection/>
    </xf>
    <xf numFmtId="0" fontId="4" fillId="0" borderId="0" xfId="123" applyFont="1">
      <alignment/>
      <protection/>
    </xf>
    <xf numFmtId="0" fontId="0" fillId="0" borderId="0" xfId="123" applyFill="1">
      <alignment/>
      <protection/>
    </xf>
    <xf numFmtId="0" fontId="0" fillId="0" borderId="19" xfId="123" applyFont="1" applyBorder="1" applyAlignment="1">
      <alignment horizontal="center" vertical="center" wrapText="1"/>
      <protection/>
    </xf>
    <xf numFmtId="0" fontId="0" fillId="0" borderId="10" xfId="123" applyFont="1" applyBorder="1" applyAlignment="1">
      <alignment horizontal="center" vertical="center" wrapText="1"/>
      <protection/>
    </xf>
    <xf numFmtId="0" fontId="61" fillId="36" borderId="13" xfId="123" applyFont="1" applyFill="1" applyBorder="1" applyAlignment="1">
      <alignment horizontal="center" vertical="center"/>
      <protection/>
    </xf>
    <xf numFmtId="0" fontId="62" fillId="36" borderId="13" xfId="123" applyFont="1" applyFill="1" applyBorder="1" applyAlignment="1">
      <alignment horizontal="center" vertical="center"/>
      <protection/>
    </xf>
    <xf numFmtId="0" fontId="61" fillId="36" borderId="10" xfId="123" applyFont="1" applyFill="1" applyBorder="1" applyAlignment="1">
      <alignment horizontal="center" vertical="center"/>
      <protection/>
    </xf>
    <xf numFmtId="0" fontId="1" fillId="36" borderId="13" xfId="123" applyFont="1" applyFill="1" applyBorder="1" applyAlignment="1">
      <alignment horizontal="center" vertical="center"/>
      <protection/>
    </xf>
    <xf numFmtId="201" fontId="61" fillId="36" borderId="13" xfId="123" applyNumberFormat="1" applyFont="1" applyFill="1" applyBorder="1" applyAlignment="1">
      <alignment horizontal="center" vertical="center"/>
      <protection/>
    </xf>
    <xf numFmtId="0" fontId="1" fillId="36" borderId="13" xfId="123" applyNumberFormat="1" applyFont="1" applyFill="1" applyBorder="1" applyAlignment="1">
      <alignment horizontal="center" vertical="center"/>
      <protection/>
    </xf>
    <xf numFmtId="0" fontId="61" fillId="36" borderId="13" xfId="123" applyNumberFormat="1" applyFont="1" applyFill="1" applyBorder="1" applyAlignment="1">
      <alignment horizontal="center" vertical="center"/>
      <protection/>
    </xf>
    <xf numFmtId="0" fontId="1" fillId="0" borderId="20" xfId="123" applyNumberFormat="1" applyFont="1" applyBorder="1" applyAlignment="1">
      <alignment horizontal="center" vertical="center"/>
      <protection/>
    </xf>
    <xf numFmtId="201" fontId="61" fillId="0" borderId="20" xfId="123" applyNumberFormat="1" applyFont="1" applyBorder="1" applyAlignment="1">
      <alignment horizontal="center" vertical="center"/>
      <protection/>
    </xf>
    <xf numFmtId="0" fontId="61" fillId="0" borderId="20" xfId="123" applyNumberFormat="1" applyFont="1" applyBorder="1" applyAlignment="1">
      <alignment horizontal="center" vertical="center"/>
      <protection/>
    </xf>
    <xf numFmtId="178" fontId="1" fillId="0" borderId="19" xfId="123" applyNumberFormat="1" applyFont="1" applyBorder="1" applyAlignment="1">
      <alignment horizontal="center" vertical="center"/>
      <protection/>
    </xf>
    <xf numFmtId="1" fontId="1" fillId="37" borderId="21" xfId="123" applyNumberFormat="1" applyFont="1" applyFill="1" applyBorder="1" applyAlignment="1">
      <alignment horizontal="center" vertical="center"/>
      <protection/>
    </xf>
    <xf numFmtId="1" fontId="1" fillId="37" borderId="22" xfId="123" applyNumberFormat="1" applyFont="1" applyFill="1" applyBorder="1" applyAlignment="1">
      <alignment horizontal="center" vertical="center"/>
      <protection/>
    </xf>
    <xf numFmtId="1" fontId="1" fillId="38" borderId="22" xfId="123" applyNumberFormat="1" applyFont="1" applyFill="1" applyBorder="1" applyAlignment="1">
      <alignment horizontal="center" vertical="center"/>
      <protection/>
    </xf>
    <xf numFmtId="1" fontId="1" fillId="38" borderId="23" xfId="123" applyNumberFormat="1" applyFont="1" applyFill="1" applyBorder="1" applyAlignment="1">
      <alignment horizontal="center" vertical="center"/>
      <protection/>
    </xf>
    <xf numFmtId="1" fontId="1" fillId="37" borderId="24" xfId="123" applyNumberFormat="1" applyFont="1" applyFill="1" applyBorder="1" applyAlignment="1">
      <alignment horizontal="center" vertical="center"/>
      <protection/>
    </xf>
    <xf numFmtId="1" fontId="1" fillId="37" borderId="25" xfId="123" applyNumberFormat="1" applyFont="1" applyFill="1" applyBorder="1" applyAlignment="1">
      <alignment horizontal="center" vertical="center"/>
      <protection/>
    </xf>
    <xf numFmtId="1" fontId="1" fillId="38" borderId="25" xfId="123" applyNumberFormat="1" applyFont="1" applyFill="1" applyBorder="1" applyAlignment="1">
      <alignment horizontal="center" vertical="center"/>
      <protection/>
    </xf>
    <xf numFmtId="1" fontId="1" fillId="38" borderId="26" xfId="123" applyNumberFormat="1" applyFont="1" applyFill="1" applyBorder="1" applyAlignment="1">
      <alignment horizontal="center" vertical="center"/>
      <protection/>
    </xf>
    <xf numFmtId="178" fontId="61" fillId="0" borderId="19" xfId="123" applyNumberFormat="1" applyFont="1" applyBorder="1" applyAlignment="1">
      <alignment horizontal="center" vertical="center"/>
      <protection/>
    </xf>
    <xf numFmtId="1" fontId="1" fillId="37" borderId="27" xfId="123" applyNumberFormat="1" applyFont="1" applyFill="1" applyBorder="1" applyAlignment="1">
      <alignment horizontal="center" vertical="center"/>
      <protection/>
    </xf>
    <xf numFmtId="1" fontId="1" fillId="37" borderId="28" xfId="123" applyNumberFormat="1" applyFont="1" applyFill="1" applyBorder="1" applyAlignment="1">
      <alignment horizontal="center" vertical="center"/>
      <protection/>
    </xf>
    <xf numFmtId="1" fontId="1" fillId="38" borderId="28" xfId="123" applyNumberFormat="1" applyFont="1" applyFill="1" applyBorder="1" applyAlignment="1">
      <alignment horizontal="center" vertical="center"/>
      <protection/>
    </xf>
    <xf numFmtId="1" fontId="1" fillId="38" borderId="29" xfId="123" applyNumberFormat="1" applyFont="1" applyFill="1" applyBorder="1" applyAlignment="1">
      <alignment horizontal="center" vertical="center"/>
      <protection/>
    </xf>
    <xf numFmtId="0" fontId="8" fillId="0" borderId="0" xfId="123" applyFont="1" applyBorder="1" applyAlignment="1">
      <alignment horizontal="center" vertical="center" textRotation="90" wrapText="1"/>
      <protection/>
    </xf>
    <xf numFmtId="178" fontId="8" fillId="0" borderId="0" xfId="123" applyNumberFormat="1" applyFont="1" applyBorder="1" applyAlignment="1">
      <alignment horizontal="center" vertical="center"/>
      <protection/>
    </xf>
    <xf numFmtId="1" fontId="8" fillId="0" borderId="0" xfId="123" applyNumberFormat="1" applyFont="1" applyFill="1" applyBorder="1" applyAlignment="1">
      <alignment horizontal="center" vertical="center"/>
      <protection/>
    </xf>
    <xf numFmtId="0" fontId="8" fillId="0" borderId="0" xfId="123" applyFont="1" applyFill="1" applyBorder="1" applyAlignment="1">
      <alignment horizontal="center" vertical="center" textRotation="90" wrapText="1"/>
      <protection/>
    </xf>
    <xf numFmtId="178" fontId="8" fillId="0" borderId="0" xfId="123" applyNumberFormat="1" applyFont="1" applyFill="1" applyBorder="1" applyAlignment="1">
      <alignment horizontal="center" vertical="center"/>
      <protection/>
    </xf>
    <xf numFmtId="192" fontId="1" fillId="0" borderId="20" xfId="123" applyNumberFormat="1" applyFont="1" applyBorder="1" applyAlignment="1">
      <alignment horizontal="center" vertical="center"/>
      <protection/>
    </xf>
    <xf numFmtId="0" fontId="1" fillId="34" borderId="19" xfId="88" applyFont="1" applyFill="1" applyBorder="1" applyAlignment="1" applyProtection="1">
      <alignment horizontal="left"/>
      <protection hidden="1"/>
    </xf>
    <xf numFmtId="0" fontId="1" fillId="34" borderId="10" xfId="88" applyFont="1" applyFill="1" applyBorder="1" applyAlignment="1" applyProtection="1">
      <alignment horizontal="left"/>
      <protection hidden="1"/>
    </xf>
    <xf numFmtId="0" fontId="0" fillId="34" borderId="12" xfId="88" applyFont="1" applyFill="1" applyBorder="1" applyAlignment="1" applyProtection="1">
      <alignment/>
      <protection hidden="1"/>
    </xf>
    <xf numFmtId="0" fontId="1" fillId="0" borderId="19" xfId="88" applyFont="1" applyFill="1" applyBorder="1" applyAlignment="1" applyProtection="1">
      <alignment horizontal="left"/>
      <protection hidden="1"/>
    </xf>
    <xf numFmtId="0" fontId="1" fillId="35" borderId="19" xfId="88" applyFont="1" applyFill="1" applyBorder="1" applyAlignment="1" applyProtection="1">
      <alignment horizontal="left"/>
      <protection hidden="1"/>
    </xf>
    <xf numFmtId="0" fontId="1" fillId="0" borderId="30" xfId="88" applyFont="1" applyFill="1" applyBorder="1" applyAlignment="1" applyProtection="1">
      <alignment horizontal="left"/>
      <protection hidden="1"/>
    </xf>
    <xf numFmtId="0" fontId="1" fillId="0" borderId="31" xfId="88" applyFont="1" applyFill="1" applyBorder="1" applyAlignment="1" applyProtection="1">
      <alignment horizontal="left"/>
      <protection hidden="1"/>
    </xf>
    <xf numFmtId="0" fontId="1" fillId="0" borderId="0" xfId="88" applyFont="1" applyFill="1" applyBorder="1" applyAlignment="1" applyProtection="1">
      <alignment horizontal="left"/>
      <protection hidden="1"/>
    </xf>
    <xf numFmtId="0" fontId="1" fillId="0" borderId="32" xfId="88" applyFont="1" applyFill="1" applyBorder="1" applyAlignment="1" applyProtection="1">
      <alignment horizontal="left"/>
      <protection hidden="1"/>
    </xf>
    <xf numFmtId="0" fontId="1" fillId="0" borderId="33" xfId="88" applyFont="1" applyFill="1" applyBorder="1" applyAlignment="1" applyProtection="1">
      <alignment horizontal="left"/>
      <protection hidden="1"/>
    </xf>
    <xf numFmtId="0" fontId="1" fillId="0" borderId="34" xfId="88" applyFont="1" applyFill="1" applyBorder="1" applyAlignment="1" applyProtection="1">
      <alignment horizontal="left"/>
      <protection hidden="1"/>
    </xf>
    <xf numFmtId="0" fontId="1" fillId="36" borderId="31" xfId="88" applyFont="1" applyFill="1" applyBorder="1" applyAlignment="1" applyProtection="1">
      <alignment horizontal="left"/>
      <protection hidden="1"/>
    </xf>
    <xf numFmtId="0" fontId="1" fillId="36" borderId="0" xfId="88" applyFont="1" applyFill="1" applyBorder="1" applyAlignment="1" applyProtection="1">
      <alignment horizontal="left"/>
      <protection hidden="1"/>
    </xf>
    <xf numFmtId="0" fontId="1" fillId="0" borderId="10" xfId="88" applyFont="1" applyFill="1" applyBorder="1" applyAlignment="1" applyProtection="1">
      <alignment horizontal="left"/>
      <protection hidden="1"/>
    </xf>
    <xf numFmtId="0" fontId="1" fillId="35" borderId="10" xfId="88" applyFont="1" applyFill="1" applyBorder="1" applyAlignment="1" applyProtection="1">
      <alignment horizontal="left"/>
      <protection hidden="1"/>
    </xf>
    <xf numFmtId="173" fontId="1" fillId="35" borderId="12" xfId="88" applyNumberFormat="1" applyFont="1" applyFill="1" applyBorder="1" applyAlignment="1" applyProtection="1">
      <alignment horizontal="left"/>
      <protection hidden="1"/>
    </xf>
    <xf numFmtId="0" fontId="0" fillId="36" borderId="11" xfId="88" applyNumberFormat="1" applyFont="1" applyFill="1" applyBorder="1" applyAlignment="1" applyProtection="1">
      <alignment/>
      <protection hidden="1"/>
    </xf>
    <xf numFmtId="0" fontId="0" fillId="36" borderId="14" xfId="88" applyNumberFormat="1" applyFont="1" applyFill="1" applyBorder="1" applyAlignment="1" applyProtection="1">
      <alignment/>
      <protection hidden="1"/>
    </xf>
    <xf numFmtId="0" fontId="12" fillId="36" borderId="16" xfId="88" applyNumberFormat="1" applyFont="1" applyFill="1" applyBorder="1" applyAlignment="1">
      <alignment vertical="center"/>
      <protection/>
    </xf>
    <xf numFmtId="0" fontId="0" fillId="36" borderId="35" xfId="88" applyNumberFormat="1" applyFont="1" applyFill="1" applyBorder="1" applyAlignment="1" applyProtection="1">
      <alignment/>
      <protection hidden="1"/>
    </xf>
    <xf numFmtId="0" fontId="0" fillId="36" borderId="0" xfId="88" applyNumberFormat="1" applyFont="1" applyFill="1" applyBorder="1" applyAlignment="1" applyProtection="1">
      <alignment/>
      <protection hidden="1"/>
    </xf>
    <xf numFmtId="0" fontId="12" fillId="36" borderId="31" xfId="88" applyNumberFormat="1" applyFont="1" applyFill="1" applyBorder="1" applyAlignment="1">
      <alignment vertical="center"/>
      <protection/>
    </xf>
    <xf numFmtId="0" fontId="0" fillId="36" borderId="36" xfId="88" applyNumberFormat="1" applyFont="1" applyFill="1" applyBorder="1" applyAlignment="1" applyProtection="1">
      <alignment/>
      <protection hidden="1"/>
    </xf>
    <xf numFmtId="0" fontId="0" fillId="36" borderId="37" xfId="88" applyNumberFormat="1" applyFont="1" applyFill="1" applyBorder="1" applyAlignment="1" applyProtection="1">
      <alignment/>
      <protection hidden="1"/>
    </xf>
    <xf numFmtId="0" fontId="11" fillId="36" borderId="38" xfId="88" applyNumberFormat="1" applyFont="1" applyFill="1" applyBorder="1" applyAlignment="1">
      <alignment vertical="center"/>
      <protection/>
    </xf>
    <xf numFmtId="0" fontId="0" fillId="0" borderId="0" xfId="88">
      <alignment/>
      <protection/>
    </xf>
    <xf numFmtId="200" fontId="61" fillId="0" borderId="20" xfId="123" applyNumberFormat="1" applyFont="1" applyBorder="1" applyAlignment="1">
      <alignment horizontal="center" vertical="center"/>
      <protection/>
    </xf>
    <xf numFmtId="0" fontId="60" fillId="0" borderId="0" xfId="104" applyFont="1">
      <alignment/>
      <protection/>
    </xf>
    <xf numFmtId="43" fontId="60" fillId="0" borderId="0" xfId="104" applyNumberFormat="1" applyFont="1">
      <alignment/>
      <protection/>
    </xf>
    <xf numFmtId="0" fontId="59" fillId="39" borderId="39" xfId="0" applyFont="1" applyFill="1" applyBorder="1" applyAlignment="1">
      <alignment/>
    </xf>
    <xf numFmtId="0" fontId="0" fillId="39" borderId="40" xfId="0" applyFont="1" applyFill="1" applyBorder="1" applyAlignment="1">
      <alignment/>
    </xf>
    <xf numFmtId="0" fontId="0" fillId="39" borderId="0" xfId="0" applyFont="1" applyFill="1" applyBorder="1" applyAlignment="1">
      <alignment/>
    </xf>
    <xf numFmtId="0" fontId="0" fillId="0" borderId="0" xfId="0" applyFont="1" applyBorder="1" applyAlignment="1">
      <alignment/>
    </xf>
    <xf numFmtId="0" fontId="59" fillId="39" borderId="41" xfId="0" applyFont="1" applyFill="1" applyBorder="1" applyAlignment="1">
      <alignment/>
    </xf>
    <xf numFmtId="0" fontId="59" fillId="39" borderId="34" xfId="0" applyFont="1" applyFill="1" applyBorder="1" applyAlignment="1">
      <alignment horizontal="center" wrapText="1"/>
    </xf>
    <xf numFmtId="43" fontId="11" fillId="39" borderId="42" xfId="59" applyNumberFormat="1" applyFont="1" applyFill="1" applyBorder="1" applyAlignment="1">
      <alignment/>
    </xf>
    <xf numFmtId="0" fontId="59" fillId="39" borderId="0" xfId="0" applyFont="1" applyFill="1" applyBorder="1" applyAlignment="1">
      <alignment/>
    </xf>
    <xf numFmtId="43" fontId="12" fillId="39" borderId="42" xfId="59" applyNumberFormat="1" applyFont="1" applyFill="1" applyBorder="1" applyAlignment="1">
      <alignment/>
    </xf>
    <xf numFmtId="43" fontId="12" fillId="39" borderId="0" xfId="59" applyFont="1" applyFill="1" applyBorder="1" applyAlignment="1">
      <alignment horizontal="center" vertical="center" wrapText="1"/>
    </xf>
    <xf numFmtId="201" fontId="12" fillId="39" borderId="0" xfId="0" applyNumberFormat="1" applyFont="1" applyFill="1" applyBorder="1" applyAlignment="1">
      <alignment/>
    </xf>
    <xf numFmtId="0" fontId="60" fillId="39" borderId="0" xfId="0" applyFont="1" applyFill="1" applyBorder="1" applyAlignment="1">
      <alignment/>
    </xf>
    <xf numFmtId="0" fontId="60" fillId="0" borderId="0" xfId="0" applyFont="1" applyBorder="1" applyAlignment="1">
      <alignment/>
    </xf>
    <xf numFmtId="201" fontId="12" fillId="39" borderId="43" xfId="0" applyNumberFormat="1" applyFont="1" applyFill="1" applyBorder="1" applyAlignment="1">
      <alignment/>
    </xf>
    <xf numFmtId="0" fontId="59" fillId="39" borderId="42" xfId="0" applyFont="1" applyFill="1" applyBorder="1" applyAlignment="1">
      <alignment/>
    </xf>
    <xf numFmtId="201" fontId="11" fillId="39" borderId="0" xfId="59" applyNumberFormat="1" applyFont="1" applyFill="1" applyBorder="1" applyAlignment="1">
      <alignment horizontal="center" vertical="center" wrapText="1"/>
    </xf>
    <xf numFmtId="43" fontId="11" fillId="39" borderId="0" xfId="59" applyFont="1" applyFill="1" applyBorder="1" applyAlignment="1">
      <alignment horizontal="center" vertical="center" wrapText="1"/>
    </xf>
    <xf numFmtId="204" fontId="12" fillId="39" borderId="0" xfId="59" applyNumberFormat="1" applyFont="1" applyFill="1" applyBorder="1" applyAlignment="1">
      <alignment/>
    </xf>
    <xf numFmtId="204" fontId="11" fillId="39" borderId="0" xfId="59" applyNumberFormat="1" applyFont="1" applyFill="1" applyBorder="1" applyAlignment="1">
      <alignment/>
    </xf>
    <xf numFmtId="204" fontId="11" fillId="39" borderId="43" xfId="59" applyNumberFormat="1" applyFont="1" applyFill="1" applyBorder="1" applyAlignment="1">
      <alignment/>
    </xf>
    <xf numFmtId="204" fontId="0" fillId="0" borderId="0" xfId="0" applyNumberFormat="1" applyFont="1" applyBorder="1" applyAlignment="1">
      <alignment/>
    </xf>
    <xf numFmtId="204" fontId="11" fillId="39" borderId="44" xfId="59" applyNumberFormat="1" applyFont="1" applyFill="1" applyBorder="1" applyAlignment="1">
      <alignment/>
    </xf>
    <xf numFmtId="43" fontId="11" fillId="39" borderId="42" xfId="59" applyFont="1" applyFill="1" applyBorder="1" applyAlignment="1">
      <alignment/>
    </xf>
    <xf numFmtId="0" fontId="59" fillId="39" borderId="45" xfId="0" applyFont="1" applyFill="1" applyBorder="1" applyAlignment="1">
      <alignment/>
    </xf>
    <xf numFmtId="201" fontId="59" fillId="39" borderId="46" xfId="0" applyNumberFormat="1" applyFont="1" applyFill="1" applyBorder="1" applyAlignment="1">
      <alignment/>
    </xf>
    <xf numFmtId="0" fontId="0" fillId="40" borderId="0" xfId="0" applyFont="1" applyFill="1" applyBorder="1" applyAlignment="1">
      <alignment vertical="center" wrapText="1"/>
    </xf>
    <xf numFmtId="0" fontId="0" fillId="40" borderId="0" xfId="0" applyFont="1" applyFill="1" applyBorder="1" applyAlignment="1">
      <alignment wrapText="1"/>
    </xf>
    <xf numFmtId="0" fontId="0" fillId="40" borderId="0" xfId="0" applyFont="1" applyFill="1" applyBorder="1" applyAlignment="1">
      <alignment/>
    </xf>
    <xf numFmtId="0" fontId="59" fillId="40" borderId="39" xfId="0" applyFont="1" applyFill="1" applyBorder="1" applyAlignment="1">
      <alignment/>
    </xf>
    <xf numFmtId="0" fontId="0" fillId="40" borderId="40" xfId="0" applyFont="1" applyFill="1" applyBorder="1" applyAlignment="1">
      <alignment/>
    </xf>
    <xf numFmtId="0" fontId="59" fillId="40" borderId="42" xfId="0" applyFont="1" applyFill="1" applyBorder="1" applyAlignment="1">
      <alignment/>
    </xf>
    <xf numFmtId="0" fontId="59" fillId="40" borderId="14" xfId="0" applyFont="1" applyFill="1" applyBorder="1" applyAlignment="1">
      <alignment horizontal="center" wrapText="1"/>
    </xf>
    <xf numFmtId="43" fontId="12" fillId="40" borderId="42" xfId="59" applyNumberFormat="1" applyFont="1" applyFill="1" applyBorder="1" applyAlignment="1">
      <alignment horizontal="left"/>
    </xf>
    <xf numFmtId="204" fontId="0" fillId="40" borderId="0" xfId="0" applyNumberFormat="1" applyFont="1" applyFill="1" applyBorder="1" applyAlignment="1">
      <alignment/>
    </xf>
    <xf numFmtId="0" fontId="0" fillId="40" borderId="42" xfId="0" applyFont="1" applyFill="1" applyBorder="1" applyAlignment="1">
      <alignment/>
    </xf>
    <xf numFmtId="43" fontId="0" fillId="40" borderId="0" xfId="0" applyNumberFormat="1" applyFont="1" applyFill="1" applyBorder="1" applyAlignment="1">
      <alignment/>
    </xf>
    <xf numFmtId="43" fontId="11" fillId="41" borderId="42" xfId="59" applyNumberFormat="1" applyFont="1" applyFill="1" applyBorder="1" applyAlignment="1">
      <alignment/>
    </xf>
    <xf numFmtId="43" fontId="0" fillId="41" borderId="0" xfId="0" applyNumberFormat="1" applyFont="1" applyFill="1" applyBorder="1" applyAlignment="1">
      <alignment/>
    </xf>
    <xf numFmtId="204" fontId="0" fillId="41" borderId="0" xfId="0" applyNumberFormat="1" applyFont="1" applyFill="1" applyBorder="1" applyAlignment="1">
      <alignment/>
    </xf>
    <xf numFmtId="2" fontId="0" fillId="40" borderId="43" xfId="0" applyNumberFormat="1" applyFont="1" applyFill="1" applyBorder="1" applyAlignment="1">
      <alignment/>
    </xf>
    <xf numFmtId="43" fontId="11" fillId="42" borderId="42" xfId="60" applyNumberFormat="1" applyFont="1" applyFill="1" applyBorder="1" applyAlignment="1">
      <alignment/>
    </xf>
    <xf numFmtId="0" fontId="0" fillId="43" borderId="42" xfId="88" applyFont="1" applyFill="1" applyBorder="1">
      <alignment/>
      <protection/>
    </xf>
    <xf numFmtId="204" fontId="12" fillId="39" borderId="0" xfId="59" applyNumberFormat="1" applyFont="1" applyFill="1" applyBorder="1" applyAlignment="1">
      <alignment wrapText="1"/>
    </xf>
    <xf numFmtId="204" fontId="1" fillId="42" borderId="0" xfId="0" applyNumberFormat="1" applyFont="1" applyFill="1" applyBorder="1" applyAlignment="1">
      <alignment/>
    </xf>
    <xf numFmtId="0" fontId="60" fillId="0" borderId="0" xfId="104" applyFont="1">
      <alignment/>
      <protection/>
    </xf>
    <xf numFmtId="43" fontId="60" fillId="0" borderId="0" xfId="104" applyNumberFormat="1" applyFont="1">
      <alignment/>
      <protection/>
    </xf>
    <xf numFmtId="0" fontId="0" fillId="39" borderId="0" xfId="0" applyFont="1" applyFill="1" applyBorder="1" applyAlignment="1">
      <alignment/>
    </xf>
    <xf numFmtId="204" fontId="12" fillId="39" borderId="0" xfId="59" applyNumberFormat="1" applyFont="1" applyFill="1" applyBorder="1" applyAlignment="1">
      <alignment/>
    </xf>
    <xf numFmtId="204" fontId="0" fillId="40" borderId="0" xfId="0" applyNumberFormat="1" applyFont="1" applyFill="1" applyBorder="1" applyAlignment="1">
      <alignment/>
    </xf>
    <xf numFmtId="2" fontId="0" fillId="40" borderId="47" xfId="0" applyNumberFormat="1" applyFont="1" applyFill="1" applyBorder="1" applyAlignment="1">
      <alignment/>
    </xf>
    <xf numFmtId="0" fontId="11" fillId="42" borderId="42" xfId="88" applyFont="1" applyFill="1" applyBorder="1">
      <alignment/>
      <protection/>
    </xf>
    <xf numFmtId="43" fontId="1" fillId="0" borderId="18" xfId="90" applyNumberFormat="1" applyFont="1" applyFill="1" applyBorder="1" applyAlignment="1" applyProtection="1">
      <alignment/>
      <protection hidden="1"/>
    </xf>
    <xf numFmtId="43" fontId="1" fillId="0" borderId="17" xfId="90" applyNumberFormat="1" applyFont="1" applyFill="1" applyBorder="1" applyAlignment="1" applyProtection="1">
      <alignment/>
      <protection hidden="1"/>
    </xf>
    <xf numFmtId="43" fontId="1" fillId="35" borderId="13" xfId="90" applyNumberFormat="1" applyFont="1" applyFill="1" applyBorder="1" applyAlignment="1" applyProtection="1">
      <alignment/>
      <protection hidden="1"/>
    </xf>
    <xf numFmtId="204" fontId="12" fillId="39" borderId="0" xfId="59" applyNumberFormat="1" applyFont="1" applyFill="1" applyBorder="1" applyAlignment="1">
      <alignment/>
    </xf>
    <xf numFmtId="204" fontId="12" fillId="39" borderId="43" xfId="59" applyNumberFormat="1" applyFont="1" applyFill="1" applyBorder="1" applyAlignment="1">
      <alignment/>
    </xf>
    <xf numFmtId="0" fontId="0" fillId="39" borderId="0" xfId="123" applyFill="1">
      <alignment/>
      <protection/>
    </xf>
    <xf numFmtId="0" fontId="4" fillId="39" borderId="0" xfId="123" applyFont="1" applyFill="1">
      <alignment/>
      <protection/>
    </xf>
    <xf numFmtId="0" fontId="0" fillId="39" borderId="0" xfId="90" applyFont="1" applyFill="1" applyBorder="1">
      <alignment/>
      <protection/>
    </xf>
    <xf numFmtId="178" fontId="0" fillId="39" borderId="0" xfId="90" applyNumberFormat="1" applyFont="1" applyFill="1" applyBorder="1" applyAlignment="1">
      <alignment horizontal="center"/>
      <protection/>
    </xf>
    <xf numFmtId="0" fontId="1" fillId="39" borderId="0" xfId="88" applyFont="1" applyFill="1" applyBorder="1">
      <alignment/>
      <protection/>
    </xf>
    <xf numFmtId="2" fontId="1" fillId="39" borderId="0" xfId="88" applyNumberFormat="1" applyFont="1" applyFill="1" applyBorder="1" applyAlignment="1">
      <alignment horizontal="center"/>
      <protection/>
    </xf>
    <xf numFmtId="0" fontId="0" fillId="39" borderId="0" xfId="88" applyFont="1" applyFill="1" applyBorder="1">
      <alignment/>
      <protection/>
    </xf>
    <xf numFmtId="178" fontId="0" fillId="39" borderId="0" xfId="88" applyNumberFormat="1" applyFont="1" applyFill="1" applyBorder="1" applyAlignment="1">
      <alignment horizontal="center"/>
      <protection/>
    </xf>
    <xf numFmtId="0" fontId="59" fillId="39" borderId="0" xfId="90" applyFont="1" applyFill="1" applyBorder="1">
      <alignment/>
      <protection/>
    </xf>
    <xf numFmtId="201" fontId="59" fillId="39" borderId="0" xfId="90" applyNumberFormat="1" applyFont="1" applyFill="1" applyBorder="1" applyAlignment="1">
      <alignment horizontal="center"/>
      <protection/>
    </xf>
    <xf numFmtId="201" fontId="59" fillId="39" borderId="0" xfId="93" applyNumberFormat="1" applyFont="1" applyFill="1" applyBorder="1" applyAlignment="1">
      <alignment horizontal="center"/>
      <protection/>
    </xf>
    <xf numFmtId="14" fontId="1" fillId="39" borderId="0" xfId="123" applyNumberFormat="1" applyFont="1" applyFill="1" applyBorder="1">
      <alignment/>
      <protection/>
    </xf>
    <xf numFmtId="43" fontId="0" fillId="39" borderId="0" xfId="123" applyNumberFormat="1" applyFill="1" applyBorder="1" applyAlignment="1">
      <alignment horizontal="center"/>
      <protection/>
    </xf>
    <xf numFmtId="43" fontId="1" fillId="39" borderId="0" xfId="123" applyNumberFormat="1" applyFont="1" applyFill="1" applyBorder="1" applyAlignment="1">
      <alignment horizontal="center"/>
      <protection/>
    </xf>
    <xf numFmtId="0" fontId="1" fillId="39" borderId="0" xfId="123" applyFont="1" applyFill="1" applyBorder="1" applyAlignment="1">
      <alignment horizontal="left" vertical="center" wrapText="1"/>
      <protection/>
    </xf>
    <xf numFmtId="43" fontId="0" fillId="39" borderId="0" xfId="123" applyNumberFormat="1" applyFill="1" applyBorder="1" applyAlignment="1">
      <alignment horizontal="center" vertical="center"/>
      <protection/>
    </xf>
    <xf numFmtId="0" fontId="1" fillId="39" borderId="0" xfId="123" applyFont="1" applyFill="1" applyBorder="1" applyAlignment="1">
      <alignment horizontal="center" vertical="center"/>
      <protection/>
    </xf>
    <xf numFmtId="0" fontId="0" fillId="39" borderId="0" xfId="123" applyFill="1" applyBorder="1" applyAlignment="1">
      <alignment horizontal="center" vertical="center"/>
      <protection/>
    </xf>
    <xf numFmtId="2" fontId="0" fillId="39" borderId="0" xfId="123" applyNumberFormat="1" applyFill="1" applyBorder="1" applyAlignment="1">
      <alignment horizontal="center" vertical="center"/>
      <protection/>
    </xf>
    <xf numFmtId="43" fontId="0" fillId="39" borderId="0" xfId="123" applyNumberFormat="1" applyFill="1" applyBorder="1" applyAlignment="1">
      <alignment horizontal="center" vertical="center" wrapText="1"/>
      <protection/>
    </xf>
    <xf numFmtId="0" fontId="63" fillId="39" borderId="0" xfId="123" applyFont="1" applyFill="1" applyBorder="1">
      <alignment/>
      <protection/>
    </xf>
    <xf numFmtId="0" fontId="0" fillId="39" borderId="0" xfId="123" applyFill="1" applyBorder="1">
      <alignment/>
      <protection/>
    </xf>
    <xf numFmtId="0" fontId="0" fillId="39" borderId="0" xfId="93" applyFill="1" applyBorder="1">
      <alignment/>
      <protection/>
    </xf>
    <xf numFmtId="15" fontId="0" fillId="39" borderId="0" xfId="93" applyNumberFormat="1" applyFill="1" applyBorder="1">
      <alignment/>
      <protection/>
    </xf>
    <xf numFmtId="201" fontId="64" fillId="39" borderId="0" xfId="90" applyNumberFormat="1" applyFont="1" applyFill="1" applyBorder="1" applyAlignment="1" applyProtection="1">
      <alignment horizontal="center"/>
      <protection locked="0"/>
    </xf>
    <xf numFmtId="0" fontId="4" fillId="39" borderId="0" xfId="123" applyFont="1" applyFill="1" applyBorder="1">
      <alignment/>
      <protection/>
    </xf>
    <xf numFmtId="0" fontId="0" fillId="39" borderId="0" xfId="123" applyFont="1" applyFill="1" applyBorder="1" applyAlignment="1">
      <alignment horizontal="left" vertical="center"/>
      <protection/>
    </xf>
    <xf numFmtId="0" fontId="1" fillId="39" borderId="0" xfId="123" applyFont="1" applyFill="1" applyBorder="1" applyAlignment="1">
      <alignment horizontal="left" vertical="center"/>
      <protection/>
    </xf>
    <xf numFmtId="43" fontId="61" fillId="39" borderId="0" xfId="123" applyNumberFormat="1" applyFont="1" applyFill="1" applyBorder="1" applyAlignment="1" applyProtection="1">
      <alignment horizontal="center"/>
      <protection locked="0"/>
    </xf>
    <xf numFmtId="0" fontId="0" fillId="39" borderId="0" xfId="123" applyFont="1" applyFill="1" applyBorder="1" applyAlignment="1">
      <alignment horizontal="left" vertical="center" wrapText="1"/>
      <protection/>
    </xf>
    <xf numFmtId="0" fontId="1" fillId="39" borderId="0" xfId="90" applyFont="1" applyFill="1" applyBorder="1" applyAlignment="1" applyProtection="1">
      <alignment/>
      <protection hidden="1"/>
    </xf>
    <xf numFmtId="0" fontId="1" fillId="39" borderId="0" xfId="123" applyFont="1" applyFill="1" applyBorder="1" applyAlignment="1">
      <alignment horizontal="center"/>
      <protection/>
    </xf>
    <xf numFmtId="0" fontId="0" fillId="39" borderId="0" xfId="123" applyFill="1" applyBorder="1" applyProtection="1">
      <alignment/>
      <protection locked="0"/>
    </xf>
    <xf numFmtId="201" fontId="64" fillId="39" borderId="0" xfId="93" applyNumberFormat="1" applyFont="1" applyFill="1" applyBorder="1" applyAlignment="1" applyProtection="1">
      <alignment horizontal="center"/>
      <protection locked="0"/>
    </xf>
    <xf numFmtId="0" fontId="59" fillId="39" borderId="46" xfId="90" applyFont="1" applyFill="1" applyBorder="1">
      <alignment/>
      <protection/>
    </xf>
    <xf numFmtId="0" fontId="59" fillId="39" borderId="46" xfId="90" applyFont="1" applyFill="1" applyBorder="1" applyAlignment="1">
      <alignment horizontal="center" wrapText="1"/>
      <protection/>
    </xf>
    <xf numFmtId="0" fontId="59" fillId="39" borderId="46" xfId="93" applyFont="1" applyFill="1" applyBorder="1" applyAlignment="1">
      <alignment horizontal="center" wrapText="1"/>
      <protection/>
    </xf>
    <xf numFmtId="0" fontId="1" fillId="39" borderId="48" xfId="90" applyFont="1" applyFill="1" applyBorder="1" applyAlignment="1" applyProtection="1">
      <alignment/>
      <protection hidden="1"/>
    </xf>
    <xf numFmtId="14" fontId="1" fillId="39" borderId="48" xfId="123" applyNumberFormat="1" applyFont="1" applyFill="1" applyBorder="1">
      <alignment/>
      <protection/>
    </xf>
    <xf numFmtId="200" fontId="0" fillId="39" borderId="0" xfId="123" applyNumberFormat="1" applyFill="1" applyBorder="1" applyAlignment="1">
      <alignment horizontal="right"/>
      <protection/>
    </xf>
    <xf numFmtId="200" fontId="1" fillId="39" borderId="34" xfId="123" applyNumberFormat="1" applyFont="1" applyFill="1" applyBorder="1" applyAlignment="1">
      <alignment horizontal="right"/>
      <protection/>
    </xf>
    <xf numFmtId="0" fontId="43" fillId="39" borderId="0" xfId="0" applyFont="1" applyFill="1" applyBorder="1" applyAlignment="1">
      <alignment/>
    </xf>
    <xf numFmtId="0" fontId="1" fillId="0" borderId="20" xfId="123" applyFont="1" applyBorder="1" applyAlignment="1">
      <alignment horizontal="center" vertical="center" textRotation="90" wrapText="1"/>
      <protection/>
    </xf>
    <xf numFmtId="0" fontId="1" fillId="0" borderId="15" xfId="123" applyFont="1" applyBorder="1" applyAlignment="1">
      <alignment horizontal="center" vertical="center" textRotation="90" wrapText="1"/>
      <protection/>
    </xf>
    <xf numFmtId="0" fontId="1" fillId="0" borderId="49" xfId="123" applyFont="1" applyBorder="1" applyAlignment="1">
      <alignment horizontal="center" vertical="center" textRotation="90" wrapText="1"/>
      <protection/>
    </xf>
    <xf numFmtId="0" fontId="1" fillId="0" borderId="19" xfId="123" applyFont="1" applyBorder="1" applyAlignment="1">
      <alignment horizontal="center" vertical="center"/>
      <protection/>
    </xf>
    <xf numFmtId="0" fontId="1" fillId="0" borderId="10" xfId="123" applyFont="1" applyBorder="1" applyAlignment="1">
      <alignment horizontal="center" vertical="center"/>
      <protection/>
    </xf>
    <xf numFmtId="0" fontId="1" fillId="0" borderId="12" xfId="123" applyFont="1" applyBorder="1" applyAlignment="1">
      <alignment horizontal="center" vertical="center"/>
      <protection/>
    </xf>
    <xf numFmtId="0" fontId="1" fillId="0" borderId="19" xfId="123" applyFont="1" applyBorder="1" applyAlignment="1">
      <alignment vertical="center" wrapText="1"/>
      <protection/>
    </xf>
    <xf numFmtId="0" fontId="1" fillId="0" borderId="12" xfId="123" applyFont="1" applyBorder="1" applyAlignment="1">
      <alignment vertical="center" wrapText="1"/>
      <protection/>
    </xf>
    <xf numFmtId="0" fontId="1" fillId="39" borderId="0" xfId="90" applyFont="1" applyFill="1" applyBorder="1" applyAlignment="1" applyProtection="1">
      <alignment horizontal="center"/>
      <protection hidden="1"/>
    </xf>
    <xf numFmtId="0" fontId="1" fillId="39" borderId="0" xfId="90" applyFont="1" applyFill="1" applyBorder="1" applyAlignment="1" applyProtection="1">
      <alignment horizontal="center" wrapText="1"/>
      <protection hidden="1"/>
    </xf>
    <xf numFmtId="0" fontId="1" fillId="39" borderId="0" xfId="0" applyFont="1" applyFill="1" applyBorder="1" applyAlignment="1" applyProtection="1">
      <alignment horizontal="center" wrapText="1"/>
      <protection hidden="1"/>
    </xf>
    <xf numFmtId="0" fontId="10" fillId="33" borderId="19" xfId="88" applyFont="1" applyFill="1" applyBorder="1" applyAlignment="1" applyProtection="1">
      <alignment horizontal="left" wrapText="1"/>
      <protection hidden="1"/>
    </xf>
    <xf numFmtId="0" fontId="0" fillId="0" borderId="10" xfId="88" applyBorder="1" applyAlignment="1">
      <alignment wrapText="1"/>
      <protection/>
    </xf>
    <xf numFmtId="0" fontId="10" fillId="33" borderId="10" xfId="88" applyFont="1" applyFill="1" applyBorder="1" applyAlignment="1" applyProtection="1">
      <alignment wrapText="1"/>
      <protection hidden="1"/>
    </xf>
    <xf numFmtId="0" fontId="1" fillId="34" borderId="19" xfId="88" applyFont="1" applyFill="1" applyBorder="1" applyAlignment="1" applyProtection="1">
      <alignment horizontal="left" wrapText="1"/>
      <protection hidden="1"/>
    </xf>
    <xf numFmtId="0" fontId="0" fillId="0" borderId="10" xfId="88" applyBorder="1" applyAlignment="1">
      <alignment horizontal="left" wrapText="1"/>
      <protection/>
    </xf>
    <xf numFmtId="0" fontId="1" fillId="34" borderId="19" xfId="88" applyFont="1" applyFill="1" applyBorder="1" applyAlignment="1" applyProtection="1">
      <alignment horizontal="left" wrapText="1" readingOrder="1"/>
      <protection hidden="1"/>
    </xf>
    <xf numFmtId="0" fontId="1" fillId="34" borderId="10" xfId="88" applyFont="1" applyFill="1" applyBorder="1" applyAlignment="1" applyProtection="1">
      <alignment horizontal="left" wrapText="1" readingOrder="1"/>
      <protection hidden="1"/>
    </xf>
    <xf numFmtId="0" fontId="1" fillId="34" borderId="12" xfId="88" applyFont="1" applyFill="1" applyBorder="1" applyAlignment="1" applyProtection="1">
      <alignment horizontal="left" wrapText="1" readingOrder="1"/>
      <protection hidden="1"/>
    </xf>
    <xf numFmtId="0" fontId="1" fillId="35" borderId="19" xfId="88" applyFont="1" applyFill="1" applyBorder="1" applyAlignment="1" applyProtection="1">
      <alignment horizontal="left" wrapText="1"/>
      <protection hidden="1"/>
    </xf>
    <xf numFmtId="0" fontId="1" fillId="35" borderId="10" xfId="88" applyFont="1" applyFill="1" applyBorder="1" applyAlignment="1" applyProtection="1">
      <alignment horizontal="left" wrapText="1"/>
      <protection hidden="1"/>
    </xf>
    <xf numFmtId="0" fontId="1" fillId="35" borderId="12" xfId="88" applyFont="1" applyFill="1" applyBorder="1" applyAlignment="1" applyProtection="1">
      <alignment horizontal="left" wrapText="1"/>
      <protection hidden="1"/>
    </xf>
    <xf numFmtId="0" fontId="60" fillId="0" borderId="0" xfId="104" applyFont="1" applyAlignment="1">
      <alignment horizontal="center"/>
      <protection/>
    </xf>
    <xf numFmtId="172" fontId="1" fillId="35" borderId="19" xfId="88" applyNumberFormat="1" applyFont="1" applyFill="1" applyBorder="1" applyAlignment="1" applyProtection="1">
      <alignment horizontal="left" wrapText="1"/>
      <protection hidden="1"/>
    </xf>
    <xf numFmtId="172" fontId="1" fillId="35" borderId="10" xfId="88" applyNumberFormat="1" applyFont="1" applyFill="1" applyBorder="1" applyAlignment="1" applyProtection="1">
      <alignment horizontal="left" wrapText="1"/>
      <protection hidden="1"/>
    </xf>
    <xf numFmtId="172" fontId="1" fillId="35" borderId="12" xfId="88" applyNumberFormat="1" applyFont="1" applyFill="1" applyBorder="1" applyAlignment="1" applyProtection="1">
      <alignment horizontal="left" wrapText="1"/>
      <protection hidden="1"/>
    </xf>
    <xf numFmtId="0" fontId="0" fillId="0" borderId="12" xfId="88" applyBorder="1" applyAlignment="1">
      <alignment horizontal="left" wrapText="1"/>
      <protection/>
    </xf>
    <xf numFmtId="0" fontId="0" fillId="0" borderId="38" xfId="0" applyFont="1" applyFill="1" applyBorder="1" applyAlignment="1" applyProtection="1">
      <alignment horizontal="left" vertical="center"/>
      <protection hidden="1"/>
    </xf>
    <xf numFmtId="0" fontId="0" fillId="0" borderId="37" xfId="0" applyFont="1" applyFill="1" applyBorder="1" applyAlignment="1" applyProtection="1">
      <alignment horizontal="left" vertical="center"/>
      <protection hidden="1"/>
    </xf>
    <xf numFmtId="0" fontId="0" fillId="0" borderId="36" xfId="0" applyFont="1" applyFill="1" applyBorder="1" applyAlignment="1" applyProtection="1">
      <alignment horizontal="left" vertical="center"/>
      <protection hidden="1"/>
    </xf>
    <xf numFmtId="0" fontId="0" fillId="0" borderId="31" xfId="0" applyFont="1" applyFill="1" applyBorder="1" applyAlignment="1" applyProtection="1">
      <alignment horizontal="left" vertical="center"/>
      <protection hidden="1"/>
    </xf>
    <xf numFmtId="0" fontId="0" fillId="0" borderId="0" xfId="0" applyFont="1" applyFill="1" applyBorder="1" applyAlignment="1" applyProtection="1">
      <alignment horizontal="left" vertical="center"/>
      <protection hidden="1"/>
    </xf>
    <xf numFmtId="0" fontId="0" fillId="0" borderId="35" xfId="0" applyFont="1" applyFill="1" applyBorder="1" applyAlignment="1" applyProtection="1">
      <alignment horizontal="left" vertical="center"/>
      <protection hidden="1"/>
    </xf>
    <xf numFmtId="0" fontId="0" fillId="0" borderId="16" xfId="0" applyFont="1" applyFill="1" applyBorder="1" applyAlignment="1" applyProtection="1">
      <alignment horizontal="left" vertical="center"/>
      <protection hidden="1"/>
    </xf>
    <xf numFmtId="0" fontId="0" fillId="0" borderId="14" xfId="0" applyFont="1" applyFill="1" applyBorder="1" applyAlignment="1" applyProtection="1">
      <alignment horizontal="left" vertical="center"/>
      <protection hidden="1"/>
    </xf>
    <xf numFmtId="0" fontId="0" fillId="0" borderId="11" xfId="0" applyFont="1" applyFill="1" applyBorder="1" applyAlignment="1" applyProtection="1">
      <alignment horizontal="left" vertical="center"/>
      <protection hidden="1"/>
    </xf>
    <xf numFmtId="0" fontId="0" fillId="39" borderId="41" xfId="0" applyFont="1" applyFill="1" applyBorder="1" applyAlignment="1">
      <alignment vertical="center" wrapText="1"/>
    </xf>
    <xf numFmtId="0" fontId="0" fillId="39" borderId="34" xfId="0" applyFont="1" applyFill="1" applyBorder="1" applyAlignment="1">
      <alignment vertical="center" wrapText="1"/>
    </xf>
    <xf numFmtId="0" fontId="0" fillId="39" borderId="34" xfId="0" applyFont="1" applyFill="1" applyBorder="1" applyAlignment="1">
      <alignment wrapText="1"/>
    </xf>
  </cellXfs>
  <cellStyles count="1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3" xfId="46"/>
    <cellStyle name="Comma 2 4" xfId="47"/>
    <cellStyle name="Comma 3" xfId="48"/>
    <cellStyle name="Comma 3 2" xfId="49"/>
    <cellStyle name="Comma 3 3" xfId="50"/>
    <cellStyle name="Comma 3 3 2" xfId="51"/>
    <cellStyle name="Comma 3 4" xfId="52"/>
    <cellStyle name="Comma 4" xfId="53"/>
    <cellStyle name="Comma 4 2" xfId="54"/>
    <cellStyle name="Comma 5" xfId="55"/>
    <cellStyle name="Comma 5 2" xfId="56"/>
    <cellStyle name="Comma 5 3" xfId="57"/>
    <cellStyle name="Comma 5 3 2" xfId="58"/>
    <cellStyle name="Comma 6" xfId="59"/>
    <cellStyle name="Comma 6 2" xfId="60"/>
    <cellStyle name="Comma 6 3" xfId="61"/>
    <cellStyle name="Comma 6 3 2" xfId="62"/>
    <cellStyle name="Comma 7" xfId="63"/>
    <cellStyle name="Comma 7 2" xfId="64"/>
    <cellStyle name="Comma 7 3" xfId="65"/>
    <cellStyle name="Currency" xfId="66"/>
    <cellStyle name="Currency [0]" xfId="67"/>
    <cellStyle name="Currency 2" xfId="68"/>
    <cellStyle name="Currency 3" xfId="69"/>
    <cellStyle name="Currency 3 2" xfId="70"/>
    <cellStyle name="Currency 3 3" xfId="71"/>
    <cellStyle name="Explanatory Text" xfId="72"/>
    <cellStyle name="Followed Hyperlink" xfId="73"/>
    <cellStyle name="Good" xfId="74"/>
    <cellStyle name="Heading 1" xfId="75"/>
    <cellStyle name="Heading 2" xfId="76"/>
    <cellStyle name="Heading 3" xfId="77"/>
    <cellStyle name="Heading 4" xfId="78"/>
    <cellStyle name="Hyperlink" xfId="79"/>
    <cellStyle name="Hyperlink 2" xfId="80"/>
    <cellStyle name="Hyperlink 2 2" xfId="81"/>
    <cellStyle name="Hyperlink 2 3" xfId="82"/>
    <cellStyle name="Hyperlink 3" xfId="83"/>
    <cellStyle name="Hyperlink 3 2" xfId="84"/>
    <cellStyle name="Input" xfId="85"/>
    <cellStyle name="Linked Cell" xfId="86"/>
    <cellStyle name="Neutral" xfId="87"/>
    <cellStyle name="Normal 2" xfId="88"/>
    <cellStyle name="Normal 2 2" xfId="89"/>
    <cellStyle name="Normal 2 2 2" xfId="90"/>
    <cellStyle name="Normal 2 2 2 2" xfId="91"/>
    <cellStyle name="Normal 2 2 2 3" xfId="92"/>
    <cellStyle name="Normal 2 2 3" xfId="93"/>
    <cellStyle name="Normal 2 2 4" xfId="94"/>
    <cellStyle name="Normal 2 2 5" xfId="95"/>
    <cellStyle name="Normal 2 3" xfId="96"/>
    <cellStyle name="Normal 2 3 2" xfId="97"/>
    <cellStyle name="Normal 2 3 3" xfId="98"/>
    <cellStyle name="Normal 2 4" xfId="99"/>
    <cellStyle name="Normal 2 5" xfId="100"/>
    <cellStyle name="Normal 2 6" xfId="101"/>
    <cellStyle name="Normal 3" xfId="102"/>
    <cellStyle name="Normal 3 2" xfId="103"/>
    <cellStyle name="Normal 3 2 2" xfId="104"/>
    <cellStyle name="Normal 3 2 3" xfId="105"/>
    <cellStyle name="Normal 3 2 4" xfId="106"/>
    <cellStyle name="Normal 3 2 4 2" xfId="107"/>
    <cellStyle name="Normal 3 2 4 3" xfId="108"/>
    <cellStyle name="Normal 3 2 5" xfId="109"/>
    <cellStyle name="Normal 3 3" xfId="110"/>
    <cellStyle name="Normal 3 4" xfId="111"/>
    <cellStyle name="Normal 3 5" xfId="112"/>
    <cellStyle name="Normal 3 6" xfId="113"/>
    <cellStyle name="Normal 4" xfId="114"/>
    <cellStyle name="Normal 4 2" xfId="115"/>
    <cellStyle name="Normal 4 2 2" xfId="116"/>
    <cellStyle name="Normal 4 2 3" xfId="117"/>
    <cellStyle name="Normal 4 3" xfId="118"/>
    <cellStyle name="Normal 5" xfId="119"/>
    <cellStyle name="Normal 5 2" xfId="120"/>
    <cellStyle name="Normal 5 3" xfId="121"/>
    <cellStyle name="Normal 5 4" xfId="122"/>
    <cellStyle name="Normal 6" xfId="123"/>
    <cellStyle name="Normal 6 2" xfId="124"/>
    <cellStyle name="Normal 6 3" xfId="125"/>
    <cellStyle name="Normal 6 3 2" xfId="126"/>
    <cellStyle name="Normal 6 3 3" xfId="127"/>
    <cellStyle name="Normal 7" xfId="128"/>
    <cellStyle name="Normal 7 2" xfId="129"/>
    <cellStyle name="Normal 8" xfId="130"/>
    <cellStyle name="Normal 8 2" xfId="131"/>
    <cellStyle name="Normal 9" xfId="132"/>
    <cellStyle name="Normal 9 2" xfId="133"/>
    <cellStyle name="Note" xfId="134"/>
    <cellStyle name="Output" xfId="135"/>
    <cellStyle name="Percent" xfId="136"/>
    <cellStyle name="Percent 10" xfId="137"/>
    <cellStyle name="Percent 10 2" xfId="138"/>
    <cellStyle name="Percent 10 3" xfId="139"/>
    <cellStyle name="Percent 10 4" xfId="140"/>
    <cellStyle name="Percent 10 5" xfId="141"/>
    <cellStyle name="Percent 2" xfId="142"/>
    <cellStyle name="Percent 2 2" xfId="143"/>
    <cellStyle name="Percent 2 3" xfId="144"/>
    <cellStyle name="Percent 2 3 2" xfId="145"/>
    <cellStyle name="Percent 2 3 3" xfId="146"/>
    <cellStyle name="Percent 2 3 4" xfId="147"/>
    <cellStyle name="Percent 2 4" xfId="148"/>
    <cellStyle name="Percent 2 5" xfId="149"/>
    <cellStyle name="Percent 2 5 2" xfId="150"/>
    <cellStyle name="Percent 2 5 3" xfId="151"/>
    <cellStyle name="Percent 2 6" xfId="152"/>
    <cellStyle name="Percent 3" xfId="153"/>
    <cellStyle name="Percent 3 2" xfId="154"/>
    <cellStyle name="Percent 4" xfId="155"/>
    <cellStyle name="Percent 4 2" xfId="156"/>
    <cellStyle name="Percent 5" xfId="157"/>
    <cellStyle name="Percent 5 2" xfId="158"/>
    <cellStyle name="Percent 5 2 2" xfId="159"/>
    <cellStyle name="Percent 5 2 3" xfId="160"/>
    <cellStyle name="Percent 5 2 3 2" xfId="161"/>
    <cellStyle name="Percent 5 2 3 3" xfId="162"/>
    <cellStyle name="Percent 5 3" xfId="163"/>
    <cellStyle name="Percent 5 3 2" xfId="164"/>
    <cellStyle name="Percent 6" xfId="165"/>
    <cellStyle name="Percent 6 2" xfId="166"/>
    <cellStyle name="Percent 6 3" xfId="167"/>
    <cellStyle name="Percent 6 3 2" xfId="168"/>
    <cellStyle name="Percent 7" xfId="169"/>
    <cellStyle name="Percent 7 2" xfId="170"/>
    <cellStyle name="Percent 7 3" xfId="171"/>
    <cellStyle name="Percent 7 4" xfId="172"/>
    <cellStyle name="Percent 7 4 2" xfId="173"/>
    <cellStyle name="Percent 7 4 3" xfId="174"/>
    <cellStyle name="Percent 7 5" xfId="175"/>
    <cellStyle name="Percent 7 5 2" xfId="176"/>
    <cellStyle name="Percent 8" xfId="177"/>
    <cellStyle name="Percent 8 2" xfId="178"/>
    <cellStyle name="Percent 8 3" xfId="179"/>
    <cellStyle name="Percent 8 3 2" xfId="180"/>
    <cellStyle name="Percent 9" xfId="181"/>
    <cellStyle name="Percent 9 2" xfId="182"/>
    <cellStyle name="Title" xfId="183"/>
    <cellStyle name="Total" xfId="184"/>
    <cellStyle name="Warning Text" xfId="185"/>
  </cellStyles>
  <dxfs count="31">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333333"/>
                </a:solidFill>
              </a:rPr>
              <a:t>Margin Comparison / Marge Vergelyking: Eastern Region</a:t>
            </a:r>
          </a:p>
        </c:rich>
      </c:tx>
      <c:layout>
        <c:manualLayout>
          <c:xMode val="factor"/>
          <c:yMode val="factor"/>
          <c:x val="-0.001"/>
          <c:y val="-0.00975"/>
        </c:manualLayout>
      </c:layout>
      <c:spPr>
        <a:noFill/>
        <a:ln>
          <a:noFill/>
        </a:ln>
      </c:spPr>
    </c:title>
    <c:plotArea>
      <c:layout>
        <c:manualLayout>
          <c:xMode val="edge"/>
          <c:yMode val="edge"/>
          <c:x val="0.0125"/>
          <c:y val="0.04075"/>
          <c:w val="0.96225"/>
          <c:h val="0.89125"/>
        </c:manualLayout>
      </c:layout>
      <c:barChart>
        <c:barDir val="col"/>
        <c:grouping val="clustered"/>
        <c:varyColors val="0"/>
        <c:ser>
          <c:idx val="0"/>
          <c:order val="0"/>
          <c:tx>
            <c:strRef>
              <c:f>'Crop Comparison'!$A$34</c:f>
              <c:strCache>
                <c:ptCount val="1"/>
                <c:pt idx="0">
                  <c:v>3) GROSS MARGIN  (R/ha)</c:v>
                </c:pt>
              </c:strCache>
            </c:strRef>
          </c:tx>
          <c:spPr>
            <a:solidFill>
              <a:srgbClr val="FFFFFF"/>
            </a:solidFill>
            <a:ln w="254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solidFill>
                  <a:srgbClr val="666699"/>
                </a:solidFill>
              </a:ln>
              <a:effectLst>
                <a:outerShdw dist="35921" dir="2700000" algn="br">
                  <a:prstClr val="black"/>
                </a:outerShdw>
              </a:effectLst>
            </c:spPr>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strRef>
              <c:f>'Crop Comparison'!$B$2:$G$2</c:f>
              <c:strCache/>
            </c:strRef>
          </c:cat>
          <c:val>
            <c:numRef>
              <c:f>'Crop Comparison'!$B$34:$G$34</c:f>
              <c:numCache/>
            </c:numRef>
          </c:val>
        </c:ser>
        <c:ser>
          <c:idx val="1"/>
          <c:order val="1"/>
          <c:tx>
            <c:strRef>
              <c:f>'Crop Comparison'!$A$35</c:f>
              <c:strCache>
                <c:ptCount val="1"/>
                <c:pt idx="0">
                  <c:v>4) NETT MARGIN  (R/ha)</c:v>
                </c:pt>
              </c:strCache>
            </c:strRef>
          </c:tx>
          <c:spPr>
            <a:noFill/>
            <a:ln w="25400">
              <a:solidFill>
                <a:srgbClr val="FF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12700">
                <a:solidFill>
                  <a:srgbClr val="FF0000"/>
                </a:solidFill>
              </a:ln>
            </c:spPr>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'Crop Comparison'!$B$2:$G$2</c:f>
              <c:strCache/>
            </c:strRef>
          </c:cat>
          <c:val>
            <c:numRef>
              <c:f>'Crop Comparison'!$B$35:$G$35</c:f>
              <c:numCache/>
            </c:numRef>
          </c:val>
        </c:ser>
        <c:axId val="65892525"/>
        <c:axId val="56161814"/>
      </c:barChart>
      <c:catAx>
        <c:axId val="65892525"/>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1050" b="1" i="0" u="none" baseline="0">
                <a:solidFill>
                  <a:srgbClr val="333333"/>
                </a:solidFill>
              </a:defRPr>
            </a:pPr>
          </a:p>
        </c:txPr>
        <c:crossAx val="56161814"/>
        <c:crosses val="autoZero"/>
        <c:auto val="1"/>
        <c:lblOffset val="100"/>
        <c:tickLblSkip val="1"/>
        <c:noMultiLvlLbl val="0"/>
      </c:catAx>
      <c:valAx>
        <c:axId val="5616181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1100" b="0" i="0" u="none" baseline="0">
                <a:solidFill>
                  <a:srgbClr val="333333"/>
                </a:solidFill>
              </a:defRPr>
            </a:pPr>
          </a:p>
        </c:txPr>
        <c:crossAx val="65892525"/>
        <c:crossesAt val="1"/>
        <c:crossBetween val="between"/>
        <c:dispUnits/>
      </c:valAx>
      <c:spPr>
        <a:noFill/>
        <a:ln>
          <a:noFill/>
        </a:ln>
      </c:spPr>
    </c:plotArea>
    <c:legend>
      <c:legendPos val="b"/>
      <c:layout>
        <c:manualLayout>
          <c:xMode val="edge"/>
          <c:yMode val="edge"/>
          <c:x val="0.30925"/>
          <c:y val="0.9055"/>
          <c:w val="0.3795"/>
          <c:h val="0.075"/>
        </c:manualLayout>
      </c:layout>
      <c:overlay val="0"/>
      <c:spPr>
        <a:noFill/>
        <a:ln w="3175">
          <a:noFill/>
        </a:ln>
      </c:sp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1228725</xdr:colOff>
      <xdr:row>3</xdr:row>
      <xdr:rowOff>104775</xdr:rowOff>
    </xdr:from>
    <xdr:to>
      <xdr:col>3</xdr:col>
      <xdr:colOff>114300</xdr:colOff>
      <xdr:row>7</xdr:row>
      <xdr:rowOff>0</xdr:rowOff>
    </xdr:to>
    <xdr:pic>
      <xdr:nvPicPr>
        <xdr:cNvPr id="1" name="Picture 3" descr="Graan SA - nuwe logo.jpg"/>
        <xdr:cNvPicPr preferRelativeResize="1">
          <a:picLocks noChangeAspect="1"/>
        </xdr:cNvPicPr>
      </xdr:nvPicPr>
      <xdr:blipFill>
        <a:blip r:embed="rId1"/>
        <a:stretch>
          <a:fillRect/>
        </a:stretch>
      </xdr:blipFill>
      <xdr:spPr>
        <a:xfrm>
          <a:off x="4724400" y="1047750"/>
          <a:ext cx="514350" cy="5810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38</xdr:row>
      <xdr:rowOff>0</xdr:rowOff>
    </xdr:from>
    <xdr:to>
      <xdr:col>6</xdr:col>
      <xdr:colOff>933450</xdr:colOff>
      <xdr:row>56</xdr:row>
      <xdr:rowOff>95250</xdr:rowOff>
    </xdr:to>
    <xdr:graphicFrame>
      <xdr:nvGraphicFramePr>
        <xdr:cNvPr id="1" name="Chart 1"/>
        <xdr:cNvGraphicFramePr/>
      </xdr:nvGraphicFramePr>
      <xdr:xfrm>
        <a:off x="0" y="7896225"/>
        <a:ext cx="9144000" cy="3009900"/>
      </xdr:xfrm>
      <a:graphic>
        <a:graphicData uri="http://schemas.openxmlformats.org/drawingml/2006/chart">
          <c:chart xmlns:c="http://schemas.openxmlformats.org/drawingml/2006/chart" r:id="rId1"/>
        </a:graphicData>
      </a:graphic>
    </xdr:graphicFrame>
    <xdr:clientData/>
  </xdr:twoCellAnchor>
  <xdr:twoCellAnchor editAs="oneCell">
    <xdr:from>
      <xdr:col>7</xdr:col>
      <xdr:colOff>0</xdr:colOff>
      <xdr:row>1</xdr:row>
      <xdr:rowOff>0</xdr:rowOff>
    </xdr:from>
    <xdr:to>
      <xdr:col>7</xdr:col>
      <xdr:colOff>504825</xdr:colOff>
      <xdr:row>3</xdr:row>
      <xdr:rowOff>95250</xdr:rowOff>
    </xdr:to>
    <xdr:pic>
      <xdr:nvPicPr>
        <xdr:cNvPr id="2" name="Picture 2" descr="L:\Bedryfsbediening\Templates\Graan SA - nuwe logo.jpg"/>
        <xdr:cNvPicPr preferRelativeResize="1">
          <a:picLocks noChangeAspect="1"/>
        </xdr:cNvPicPr>
      </xdr:nvPicPr>
      <xdr:blipFill>
        <a:blip r:embed="rId2"/>
        <a:stretch>
          <a:fillRect/>
        </a:stretch>
      </xdr:blipFill>
      <xdr:spPr>
        <a:xfrm>
          <a:off x="9163050" y="190500"/>
          <a:ext cx="504825"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342900</xdr:colOff>
      <xdr:row>81</xdr:row>
      <xdr:rowOff>123825</xdr:rowOff>
    </xdr:from>
    <xdr:to>
      <xdr:col>8</xdr:col>
      <xdr:colOff>790575</xdr:colOff>
      <xdr:row>85</xdr:row>
      <xdr:rowOff>38100</xdr:rowOff>
    </xdr:to>
    <xdr:pic>
      <xdr:nvPicPr>
        <xdr:cNvPr id="1" name="Picture 5" descr="Graan SA - nuwe logo.jpg"/>
        <xdr:cNvPicPr preferRelativeResize="1">
          <a:picLocks noChangeAspect="1"/>
        </xdr:cNvPicPr>
      </xdr:nvPicPr>
      <xdr:blipFill>
        <a:blip r:embed="rId1"/>
        <a:stretch>
          <a:fillRect/>
        </a:stretch>
      </xdr:blipFill>
      <xdr:spPr>
        <a:xfrm>
          <a:off x="10515600" y="14706600"/>
          <a:ext cx="447675" cy="561975"/>
        </a:xfrm>
        <a:prstGeom prst="rect">
          <a:avLst/>
        </a:prstGeom>
        <a:noFill/>
        <a:ln w="9525" cmpd="sng">
          <a:noFill/>
        </a:ln>
      </xdr:spPr>
    </xdr:pic>
    <xdr:clientData/>
  </xdr:twoCellAnchor>
  <xdr:twoCellAnchor editAs="oneCell">
    <xdr:from>
      <xdr:col>8</xdr:col>
      <xdr:colOff>228600</xdr:colOff>
      <xdr:row>0</xdr:row>
      <xdr:rowOff>47625</xdr:rowOff>
    </xdr:from>
    <xdr:to>
      <xdr:col>8</xdr:col>
      <xdr:colOff>752475</xdr:colOff>
      <xdr:row>2</xdr:row>
      <xdr:rowOff>66675</xdr:rowOff>
    </xdr:to>
    <xdr:pic>
      <xdr:nvPicPr>
        <xdr:cNvPr id="2" name="Picture 6" descr="Graan SA - nuwe logo.jpg"/>
        <xdr:cNvPicPr preferRelativeResize="1">
          <a:picLocks noChangeAspect="1"/>
        </xdr:cNvPicPr>
      </xdr:nvPicPr>
      <xdr:blipFill>
        <a:blip r:embed="rId1"/>
        <a:stretch>
          <a:fillRect/>
        </a:stretch>
      </xdr:blipFill>
      <xdr:spPr>
        <a:xfrm>
          <a:off x="10401300" y="47625"/>
          <a:ext cx="523875" cy="609600"/>
        </a:xfrm>
        <a:prstGeom prst="rect">
          <a:avLst/>
        </a:prstGeom>
        <a:noFill/>
        <a:ln w="9525" cmpd="sng">
          <a:noFill/>
        </a:ln>
      </xdr:spPr>
    </xdr:pic>
    <xdr:clientData/>
  </xdr:twoCellAnchor>
  <xdr:twoCellAnchor>
    <xdr:from>
      <xdr:col>0</xdr:col>
      <xdr:colOff>19050</xdr:colOff>
      <xdr:row>39</xdr:row>
      <xdr:rowOff>19050</xdr:rowOff>
    </xdr:from>
    <xdr:to>
      <xdr:col>0</xdr:col>
      <xdr:colOff>990600</xdr:colOff>
      <xdr:row>42</xdr:row>
      <xdr:rowOff>161925</xdr:rowOff>
    </xdr:to>
    <xdr:pic>
      <xdr:nvPicPr>
        <xdr:cNvPr id="3" name="Picture 6" descr="http://www.maizetrust.co.za/images/masthead.jpg"/>
        <xdr:cNvPicPr preferRelativeResize="1">
          <a:picLocks noChangeAspect="1"/>
        </xdr:cNvPicPr>
      </xdr:nvPicPr>
      <xdr:blipFill>
        <a:blip r:embed="rId2"/>
        <a:stretch>
          <a:fillRect/>
        </a:stretch>
      </xdr:blipFill>
      <xdr:spPr>
        <a:xfrm>
          <a:off x="19050" y="7791450"/>
          <a:ext cx="971550" cy="628650"/>
        </a:xfrm>
        <a:prstGeom prst="rect">
          <a:avLst/>
        </a:prstGeom>
        <a:noFill/>
        <a:ln w="9525" cmpd="sng">
          <a:noFill/>
        </a:ln>
      </xdr:spPr>
    </xdr:pic>
    <xdr:clientData/>
  </xdr:twoCellAnchor>
  <xdr:twoCellAnchor>
    <xdr:from>
      <xdr:col>0</xdr:col>
      <xdr:colOff>19050</xdr:colOff>
      <xdr:row>39</xdr:row>
      <xdr:rowOff>19050</xdr:rowOff>
    </xdr:from>
    <xdr:to>
      <xdr:col>0</xdr:col>
      <xdr:colOff>990600</xdr:colOff>
      <xdr:row>42</xdr:row>
      <xdr:rowOff>161925</xdr:rowOff>
    </xdr:to>
    <xdr:pic>
      <xdr:nvPicPr>
        <xdr:cNvPr id="4" name="Picture 7" descr="http://www.maizetrust.co.za/images/masthead.jpg"/>
        <xdr:cNvPicPr preferRelativeResize="1">
          <a:picLocks noChangeAspect="1"/>
        </xdr:cNvPicPr>
      </xdr:nvPicPr>
      <xdr:blipFill>
        <a:blip r:embed="rId2"/>
        <a:stretch>
          <a:fillRect/>
        </a:stretch>
      </xdr:blipFill>
      <xdr:spPr>
        <a:xfrm>
          <a:off x="19050" y="7791450"/>
          <a:ext cx="971550" cy="628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247650</xdr:colOff>
      <xdr:row>0</xdr:row>
      <xdr:rowOff>76200</xdr:rowOff>
    </xdr:from>
    <xdr:to>
      <xdr:col>8</xdr:col>
      <xdr:colOff>733425</xdr:colOff>
      <xdr:row>1</xdr:row>
      <xdr:rowOff>200025</xdr:rowOff>
    </xdr:to>
    <xdr:pic>
      <xdr:nvPicPr>
        <xdr:cNvPr id="1" name="Picture 4" descr="Graan SA - nuwe logo.jpg"/>
        <xdr:cNvPicPr preferRelativeResize="1">
          <a:picLocks noChangeAspect="1"/>
        </xdr:cNvPicPr>
      </xdr:nvPicPr>
      <xdr:blipFill>
        <a:blip r:embed="rId1"/>
        <a:stretch>
          <a:fillRect/>
        </a:stretch>
      </xdr:blipFill>
      <xdr:spPr>
        <a:xfrm>
          <a:off x="10172700" y="76200"/>
          <a:ext cx="485775" cy="542925"/>
        </a:xfrm>
        <a:prstGeom prst="rect">
          <a:avLst/>
        </a:prstGeom>
        <a:noFill/>
        <a:ln w="9525" cmpd="sng">
          <a:noFill/>
        </a:ln>
      </xdr:spPr>
    </xdr:pic>
    <xdr:clientData/>
  </xdr:twoCellAnchor>
  <xdr:twoCellAnchor>
    <xdr:from>
      <xdr:col>0</xdr:col>
      <xdr:colOff>19050</xdr:colOff>
      <xdr:row>39</xdr:row>
      <xdr:rowOff>19050</xdr:rowOff>
    </xdr:from>
    <xdr:to>
      <xdr:col>0</xdr:col>
      <xdr:colOff>990600</xdr:colOff>
      <xdr:row>42</xdr:row>
      <xdr:rowOff>161925</xdr:rowOff>
    </xdr:to>
    <xdr:pic>
      <xdr:nvPicPr>
        <xdr:cNvPr id="2" name="Picture 6" descr="http://www.maizetrust.co.za/images/masthead.jpg"/>
        <xdr:cNvPicPr preferRelativeResize="1">
          <a:picLocks noChangeAspect="1"/>
        </xdr:cNvPicPr>
      </xdr:nvPicPr>
      <xdr:blipFill>
        <a:blip r:embed="rId2"/>
        <a:stretch>
          <a:fillRect/>
        </a:stretch>
      </xdr:blipFill>
      <xdr:spPr>
        <a:xfrm>
          <a:off x="19050" y="7829550"/>
          <a:ext cx="971550" cy="628650"/>
        </a:xfrm>
        <a:prstGeom prst="rect">
          <a:avLst/>
        </a:prstGeom>
        <a:noFill/>
        <a:ln w="9525" cmpd="sng">
          <a:noFill/>
        </a:ln>
      </xdr:spPr>
    </xdr:pic>
    <xdr:clientData/>
  </xdr:twoCellAnchor>
  <xdr:twoCellAnchor>
    <xdr:from>
      <xdr:col>0</xdr:col>
      <xdr:colOff>19050</xdr:colOff>
      <xdr:row>39</xdr:row>
      <xdr:rowOff>19050</xdr:rowOff>
    </xdr:from>
    <xdr:to>
      <xdr:col>0</xdr:col>
      <xdr:colOff>990600</xdr:colOff>
      <xdr:row>42</xdr:row>
      <xdr:rowOff>161925</xdr:rowOff>
    </xdr:to>
    <xdr:pic>
      <xdr:nvPicPr>
        <xdr:cNvPr id="3" name="Picture 7" descr="http://www.maizetrust.co.za/images/masthead.jpg"/>
        <xdr:cNvPicPr preferRelativeResize="1">
          <a:picLocks noChangeAspect="1"/>
        </xdr:cNvPicPr>
      </xdr:nvPicPr>
      <xdr:blipFill>
        <a:blip r:embed="rId2"/>
        <a:stretch>
          <a:fillRect/>
        </a:stretch>
      </xdr:blipFill>
      <xdr:spPr>
        <a:xfrm>
          <a:off x="19050" y="7829550"/>
          <a:ext cx="971550" cy="628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342900</xdr:colOff>
      <xdr:row>81</xdr:row>
      <xdr:rowOff>123825</xdr:rowOff>
    </xdr:from>
    <xdr:to>
      <xdr:col>8</xdr:col>
      <xdr:colOff>790575</xdr:colOff>
      <xdr:row>85</xdr:row>
      <xdr:rowOff>38100</xdr:rowOff>
    </xdr:to>
    <xdr:pic>
      <xdr:nvPicPr>
        <xdr:cNvPr id="1" name="Picture 5" descr="Graan SA - nuwe logo.jpg"/>
        <xdr:cNvPicPr preferRelativeResize="1">
          <a:picLocks noChangeAspect="1"/>
        </xdr:cNvPicPr>
      </xdr:nvPicPr>
      <xdr:blipFill>
        <a:blip r:embed="rId1"/>
        <a:stretch>
          <a:fillRect/>
        </a:stretch>
      </xdr:blipFill>
      <xdr:spPr>
        <a:xfrm>
          <a:off x="10515600" y="14706600"/>
          <a:ext cx="447675" cy="561975"/>
        </a:xfrm>
        <a:prstGeom prst="rect">
          <a:avLst/>
        </a:prstGeom>
        <a:noFill/>
        <a:ln w="9525" cmpd="sng">
          <a:noFill/>
        </a:ln>
      </xdr:spPr>
    </xdr:pic>
    <xdr:clientData/>
  </xdr:twoCellAnchor>
  <xdr:twoCellAnchor editAs="oneCell">
    <xdr:from>
      <xdr:col>8</xdr:col>
      <xdr:colOff>228600</xdr:colOff>
      <xdr:row>0</xdr:row>
      <xdr:rowOff>47625</xdr:rowOff>
    </xdr:from>
    <xdr:to>
      <xdr:col>8</xdr:col>
      <xdr:colOff>752475</xdr:colOff>
      <xdr:row>2</xdr:row>
      <xdr:rowOff>66675</xdr:rowOff>
    </xdr:to>
    <xdr:pic>
      <xdr:nvPicPr>
        <xdr:cNvPr id="2" name="Picture 6" descr="Graan SA - nuwe logo.jpg"/>
        <xdr:cNvPicPr preferRelativeResize="1">
          <a:picLocks noChangeAspect="1"/>
        </xdr:cNvPicPr>
      </xdr:nvPicPr>
      <xdr:blipFill>
        <a:blip r:embed="rId1"/>
        <a:stretch>
          <a:fillRect/>
        </a:stretch>
      </xdr:blipFill>
      <xdr:spPr>
        <a:xfrm>
          <a:off x="10401300" y="47625"/>
          <a:ext cx="523875" cy="609600"/>
        </a:xfrm>
        <a:prstGeom prst="rect">
          <a:avLst/>
        </a:prstGeom>
        <a:noFill/>
        <a:ln w="9525" cmpd="sng">
          <a:noFill/>
        </a:ln>
      </xdr:spPr>
    </xdr:pic>
    <xdr:clientData/>
  </xdr:twoCellAnchor>
  <xdr:twoCellAnchor>
    <xdr:from>
      <xdr:col>0</xdr:col>
      <xdr:colOff>19050</xdr:colOff>
      <xdr:row>39</xdr:row>
      <xdr:rowOff>19050</xdr:rowOff>
    </xdr:from>
    <xdr:to>
      <xdr:col>0</xdr:col>
      <xdr:colOff>990600</xdr:colOff>
      <xdr:row>42</xdr:row>
      <xdr:rowOff>161925</xdr:rowOff>
    </xdr:to>
    <xdr:pic>
      <xdr:nvPicPr>
        <xdr:cNvPr id="3" name="Picture 6" descr="http://www.maizetrust.co.za/images/masthead.jpg"/>
        <xdr:cNvPicPr preferRelativeResize="1">
          <a:picLocks noChangeAspect="1"/>
        </xdr:cNvPicPr>
      </xdr:nvPicPr>
      <xdr:blipFill>
        <a:blip r:embed="rId2"/>
        <a:stretch>
          <a:fillRect/>
        </a:stretch>
      </xdr:blipFill>
      <xdr:spPr>
        <a:xfrm>
          <a:off x="19050" y="7791450"/>
          <a:ext cx="971550" cy="628650"/>
        </a:xfrm>
        <a:prstGeom prst="rect">
          <a:avLst/>
        </a:prstGeom>
        <a:noFill/>
        <a:ln w="9525" cmpd="sng">
          <a:noFill/>
        </a:ln>
      </xdr:spPr>
    </xdr:pic>
    <xdr:clientData/>
  </xdr:twoCellAnchor>
  <xdr:twoCellAnchor>
    <xdr:from>
      <xdr:col>0</xdr:col>
      <xdr:colOff>19050</xdr:colOff>
      <xdr:row>39</xdr:row>
      <xdr:rowOff>19050</xdr:rowOff>
    </xdr:from>
    <xdr:to>
      <xdr:col>0</xdr:col>
      <xdr:colOff>990600</xdr:colOff>
      <xdr:row>42</xdr:row>
      <xdr:rowOff>161925</xdr:rowOff>
    </xdr:to>
    <xdr:pic>
      <xdr:nvPicPr>
        <xdr:cNvPr id="4" name="Picture 7" descr="http://www.maizetrust.co.za/images/masthead.jpg"/>
        <xdr:cNvPicPr preferRelativeResize="1">
          <a:picLocks noChangeAspect="1"/>
        </xdr:cNvPicPr>
      </xdr:nvPicPr>
      <xdr:blipFill>
        <a:blip r:embed="rId2"/>
        <a:stretch>
          <a:fillRect/>
        </a:stretch>
      </xdr:blipFill>
      <xdr:spPr>
        <a:xfrm>
          <a:off x="19050" y="7791450"/>
          <a:ext cx="971550" cy="628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228600</xdr:colOff>
      <xdr:row>0</xdr:row>
      <xdr:rowOff>85725</xdr:rowOff>
    </xdr:from>
    <xdr:to>
      <xdr:col>8</xdr:col>
      <xdr:colOff>733425</xdr:colOff>
      <xdr:row>2</xdr:row>
      <xdr:rowOff>114300</xdr:rowOff>
    </xdr:to>
    <xdr:pic>
      <xdr:nvPicPr>
        <xdr:cNvPr id="1" name="Picture 4" descr="Graan SA - nuwe logo.jpg"/>
        <xdr:cNvPicPr preferRelativeResize="1">
          <a:picLocks noChangeAspect="1"/>
        </xdr:cNvPicPr>
      </xdr:nvPicPr>
      <xdr:blipFill>
        <a:blip r:embed="rId1"/>
        <a:stretch>
          <a:fillRect/>
        </a:stretch>
      </xdr:blipFill>
      <xdr:spPr>
        <a:xfrm>
          <a:off x="9210675" y="85725"/>
          <a:ext cx="504825"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152400</xdr:colOff>
      <xdr:row>89</xdr:row>
      <xdr:rowOff>114300</xdr:rowOff>
    </xdr:from>
    <xdr:to>
      <xdr:col>9</xdr:col>
      <xdr:colOff>828675</xdr:colOff>
      <xdr:row>95</xdr:row>
      <xdr:rowOff>104775</xdr:rowOff>
    </xdr:to>
    <xdr:pic>
      <xdr:nvPicPr>
        <xdr:cNvPr id="1" name="Picture 3" descr="Graan SA - nuwe logo.jpg"/>
        <xdr:cNvPicPr preferRelativeResize="1">
          <a:picLocks noChangeAspect="1"/>
        </xdr:cNvPicPr>
      </xdr:nvPicPr>
      <xdr:blipFill>
        <a:blip r:embed="rId1"/>
        <a:stretch>
          <a:fillRect/>
        </a:stretch>
      </xdr:blipFill>
      <xdr:spPr>
        <a:xfrm>
          <a:off x="11125200" y="15982950"/>
          <a:ext cx="676275" cy="962025"/>
        </a:xfrm>
        <a:prstGeom prst="rect">
          <a:avLst/>
        </a:prstGeom>
        <a:noFill/>
        <a:ln w="9525" cmpd="sng">
          <a:noFill/>
        </a:ln>
      </xdr:spPr>
    </xdr:pic>
    <xdr:clientData/>
  </xdr:twoCellAnchor>
  <xdr:twoCellAnchor editAs="oneCell">
    <xdr:from>
      <xdr:col>8</xdr:col>
      <xdr:colOff>66675</xdr:colOff>
      <xdr:row>0</xdr:row>
      <xdr:rowOff>0</xdr:rowOff>
    </xdr:from>
    <xdr:to>
      <xdr:col>8</xdr:col>
      <xdr:colOff>657225</xdr:colOff>
      <xdr:row>2</xdr:row>
      <xdr:rowOff>152400</xdr:rowOff>
    </xdr:to>
    <xdr:pic>
      <xdr:nvPicPr>
        <xdr:cNvPr id="2" name="Picture 4" descr="Graan SA - nuwe logo.jpg"/>
        <xdr:cNvPicPr preferRelativeResize="1">
          <a:picLocks noChangeAspect="1"/>
        </xdr:cNvPicPr>
      </xdr:nvPicPr>
      <xdr:blipFill>
        <a:blip r:embed="rId1"/>
        <a:stretch>
          <a:fillRect/>
        </a:stretch>
      </xdr:blipFill>
      <xdr:spPr>
        <a:xfrm>
          <a:off x="10086975" y="0"/>
          <a:ext cx="590550" cy="7429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228600</xdr:colOff>
      <xdr:row>0</xdr:row>
      <xdr:rowOff>85725</xdr:rowOff>
    </xdr:from>
    <xdr:to>
      <xdr:col>8</xdr:col>
      <xdr:colOff>685800</xdr:colOff>
      <xdr:row>2</xdr:row>
      <xdr:rowOff>114300</xdr:rowOff>
    </xdr:to>
    <xdr:pic>
      <xdr:nvPicPr>
        <xdr:cNvPr id="1" name="Picture 4" descr="Graan SA - nuwe logo.jpg"/>
        <xdr:cNvPicPr preferRelativeResize="1">
          <a:picLocks noChangeAspect="1"/>
        </xdr:cNvPicPr>
      </xdr:nvPicPr>
      <xdr:blipFill>
        <a:blip r:embed="rId1"/>
        <a:stretch>
          <a:fillRect/>
        </a:stretch>
      </xdr:blipFill>
      <xdr:spPr>
        <a:xfrm>
          <a:off x="9210675" y="85725"/>
          <a:ext cx="457200" cy="6191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228600</xdr:colOff>
      <xdr:row>0</xdr:row>
      <xdr:rowOff>133350</xdr:rowOff>
    </xdr:from>
    <xdr:to>
      <xdr:col>8</xdr:col>
      <xdr:colOff>714375</xdr:colOff>
      <xdr:row>2</xdr:row>
      <xdr:rowOff>123825</xdr:rowOff>
    </xdr:to>
    <xdr:pic>
      <xdr:nvPicPr>
        <xdr:cNvPr id="1" name="Picture 4" descr="Graan SA - nuwe logo.jpg"/>
        <xdr:cNvPicPr preferRelativeResize="1">
          <a:picLocks noChangeAspect="1"/>
        </xdr:cNvPicPr>
      </xdr:nvPicPr>
      <xdr:blipFill>
        <a:blip r:embed="rId1"/>
        <a:stretch>
          <a:fillRect/>
        </a:stretch>
      </xdr:blipFill>
      <xdr:spPr>
        <a:xfrm>
          <a:off x="10248900" y="133350"/>
          <a:ext cx="485775" cy="6191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228600</xdr:colOff>
      <xdr:row>0</xdr:row>
      <xdr:rowOff>57150</xdr:rowOff>
    </xdr:from>
    <xdr:to>
      <xdr:col>8</xdr:col>
      <xdr:colOff>647700</xdr:colOff>
      <xdr:row>1</xdr:row>
      <xdr:rowOff>190500</xdr:rowOff>
    </xdr:to>
    <xdr:pic>
      <xdr:nvPicPr>
        <xdr:cNvPr id="1" name="Picture 4" descr="Graan SA - nuwe logo.jpg"/>
        <xdr:cNvPicPr preferRelativeResize="1">
          <a:picLocks noChangeAspect="1"/>
        </xdr:cNvPicPr>
      </xdr:nvPicPr>
      <xdr:blipFill>
        <a:blip r:embed="rId1"/>
        <a:stretch>
          <a:fillRect/>
        </a:stretch>
      </xdr:blipFill>
      <xdr:spPr>
        <a:xfrm>
          <a:off x="9867900" y="57150"/>
          <a:ext cx="419100" cy="514350"/>
        </a:xfrm>
        <a:prstGeom prst="rect">
          <a:avLst/>
        </a:prstGeom>
        <a:noFill/>
        <a:ln w="9525" cmpd="sng">
          <a:noFill/>
        </a:ln>
      </xdr:spPr>
    </xdr:pic>
    <xdr:clientData/>
  </xdr:twoCellAnchor>
  <xdr:twoCellAnchor>
    <xdr:from>
      <xdr:col>0</xdr:col>
      <xdr:colOff>19050</xdr:colOff>
      <xdr:row>40</xdr:row>
      <xdr:rowOff>19050</xdr:rowOff>
    </xdr:from>
    <xdr:to>
      <xdr:col>0</xdr:col>
      <xdr:colOff>990600</xdr:colOff>
      <xdr:row>43</xdr:row>
      <xdr:rowOff>161925</xdr:rowOff>
    </xdr:to>
    <xdr:pic>
      <xdr:nvPicPr>
        <xdr:cNvPr id="2" name="Picture 6" descr="http://www.maizetrust.co.za/images/masthead.jpg"/>
        <xdr:cNvPicPr preferRelativeResize="1">
          <a:picLocks noChangeAspect="1"/>
        </xdr:cNvPicPr>
      </xdr:nvPicPr>
      <xdr:blipFill>
        <a:blip r:embed="rId2"/>
        <a:stretch>
          <a:fillRect/>
        </a:stretch>
      </xdr:blipFill>
      <xdr:spPr>
        <a:xfrm>
          <a:off x="19050" y="7486650"/>
          <a:ext cx="971550" cy="628650"/>
        </a:xfrm>
        <a:prstGeom prst="rect">
          <a:avLst/>
        </a:prstGeom>
        <a:noFill/>
        <a:ln w="9525" cmpd="sng">
          <a:noFill/>
        </a:ln>
      </xdr:spPr>
    </xdr:pic>
    <xdr:clientData/>
  </xdr:twoCellAnchor>
  <xdr:twoCellAnchor>
    <xdr:from>
      <xdr:col>0</xdr:col>
      <xdr:colOff>19050</xdr:colOff>
      <xdr:row>40</xdr:row>
      <xdr:rowOff>19050</xdr:rowOff>
    </xdr:from>
    <xdr:to>
      <xdr:col>0</xdr:col>
      <xdr:colOff>990600</xdr:colOff>
      <xdr:row>43</xdr:row>
      <xdr:rowOff>161925</xdr:rowOff>
    </xdr:to>
    <xdr:pic>
      <xdr:nvPicPr>
        <xdr:cNvPr id="3" name="Picture 7" descr="http://www.maizetrust.co.za/images/masthead.jpg"/>
        <xdr:cNvPicPr preferRelativeResize="1">
          <a:picLocks noChangeAspect="1"/>
        </xdr:cNvPicPr>
      </xdr:nvPicPr>
      <xdr:blipFill>
        <a:blip r:embed="rId2"/>
        <a:stretch>
          <a:fillRect/>
        </a:stretch>
      </xdr:blipFill>
      <xdr:spPr>
        <a:xfrm>
          <a:off x="19050" y="7486650"/>
          <a:ext cx="971550" cy="628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SA-16-17%20Noordwes%20Vrystaat%20begroting%20-%20North%20west%20Free%20state%20budge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edryfsbediening\Produksie\Produksie%20Begroting\Somer%20gewas%20streke\Somer%20modelle\2018-19\GSA-18-19%20Oostelike%20Hoeveld%20mode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yse + Sensatiwiteitsanali"/>
      <sheetName val="W-RR mielies Laer opbrengs "/>
      <sheetName val="W-RR mielies Hoer opbrengs  "/>
      <sheetName val="W-BT Mielies "/>
      <sheetName val="Stapelgeen Mielie"/>
      <sheetName val="Verminbe Stapelgeen mielie -5jr"/>
      <sheetName val="Sonneblom"/>
      <sheetName val="Grondbone"/>
      <sheetName val="Sojabone"/>
      <sheetName val="Graansorghum"/>
      <sheetName val="Bes-mielies"/>
    </sheetNames>
    <sheetDataSet>
      <sheetData sheetId="1">
        <row r="9">
          <cell r="M9">
            <v>3</v>
          </cell>
        </row>
        <row r="10">
          <cell r="M10">
            <v>3.5</v>
          </cell>
        </row>
        <row r="11">
          <cell r="M11">
            <v>4</v>
          </cell>
        </row>
        <row r="12">
          <cell r="M12">
            <v>4.5</v>
          </cell>
        </row>
        <row r="13">
          <cell r="M13">
            <v>5</v>
          </cell>
        </row>
        <row r="14">
          <cell r="M14">
            <v>5.5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edprices"/>
      <sheetName val="Price sheet "/>
      <sheetName val="Crops planted"/>
      <sheetName val="Inventarus "/>
      <sheetName val="Laste"/>
      <sheetName val="vaste koste"/>
      <sheetName val="W-Mielie konvensioneel "/>
      <sheetName val="W-Roundup R mielies "/>
      <sheetName val="W-BT Mielies vermin till"/>
      <sheetName val="Sojabone"/>
      <sheetName val="Sojabone verminderde bewerking"/>
      <sheetName val="Graansorghum"/>
      <sheetName val="Bes-mielies"/>
      <sheetName val="Crop Comparison"/>
      <sheetName val="Rent calculations"/>
    </sheetNames>
    <sheetDataSet>
      <sheetData sheetId="5">
        <row r="151">
          <cell r="D151">
            <v>2447.83</v>
          </cell>
          <cell r="E151">
            <v>2238.9100000000003</v>
          </cell>
          <cell r="F151">
            <v>2134.55</v>
          </cell>
          <cell r="G151">
            <v>1513.5200000000004</v>
          </cell>
          <cell r="H151">
            <v>2509.6</v>
          </cell>
          <cell r="I151">
            <v>3855.4500000000003</v>
          </cell>
        </row>
      </sheetData>
      <sheetData sheetId="14">
        <row r="2">
          <cell r="C2" t="str">
            <v>Maize (RR)</v>
          </cell>
          <cell r="D2" t="str">
            <v>Maize (min tillage)</v>
          </cell>
          <cell r="E2" t="str">
            <v>Soy bean (conventional)</v>
          </cell>
          <cell r="F2" t="str">
            <v>Soy bean (min tillage)</v>
          </cell>
          <cell r="G2" t="str">
            <v>Grain Sorghum</v>
          </cell>
          <cell r="H2" t="str">
            <v>Irr-Maize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Z71"/>
  <sheetViews>
    <sheetView tabSelected="1" zoomScale="70" zoomScaleNormal="70" zoomScalePageLayoutView="0" workbookViewId="0" topLeftCell="A1">
      <selection activeCell="B4" sqref="B4"/>
    </sheetView>
  </sheetViews>
  <sheetFormatPr defaultColWidth="9.140625" defaultRowHeight="12.75"/>
  <cols>
    <col min="1" max="1" width="52.421875" style="183" customWidth="1"/>
    <col min="2" max="2" width="19.140625" style="183" bestFit="1" customWidth="1"/>
    <col min="3" max="3" width="5.28125" style="162" customWidth="1"/>
    <col min="4" max="4" width="23.7109375" style="42" customWidth="1"/>
    <col min="5" max="12" width="10.7109375" style="42" customWidth="1"/>
    <col min="13" max="14" width="9.140625" style="42" customWidth="1"/>
    <col min="15" max="15" width="2.421875" style="42" customWidth="1"/>
    <col min="16" max="16" width="22.7109375" style="42" customWidth="1"/>
    <col min="17" max="17" width="11.7109375" style="42" customWidth="1"/>
    <col min="18" max="26" width="9.421875" style="42" customWidth="1"/>
    <col min="27" max="16384" width="9.140625" style="42" customWidth="1"/>
  </cols>
  <sheetData>
    <row r="1" spans="1:14" s="187" customFormat="1" ht="28.5" customHeight="1">
      <c r="A1" s="182" t="s">
        <v>52</v>
      </c>
      <c r="B1" s="183"/>
      <c r="C1" s="183"/>
      <c r="D1" s="193" t="s">
        <v>114</v>
      </c>
      <c r="E1" s="183"/>
      <c r="F1" s="183"/>
      <c r="G1" s="183"/>
      <c r="H1" s="183"/>
      <c r="I1" s="183"/>
      <c r="J1" s="183"/>
      <c r="K1" s="183"/>
      <c r="L1" s="183"/>
      <c r="M1" s="183"/>
      <c r="N1" s="183"/>
    </row>
    <row r="2" spans="1:14" s="187" customFormat="1" ht="13.5" customHeight="1">
      <c r="A2" s="184" t="s">
        <v>51</v>
      </c>
      <c r="B2" s="185">
        <v>43327</v>
      </c>
      <c r="C2" s="183"/>
      <c r="D2" s="183"/>
      <c r="E2" s="183"/>
      <c r="F2" s="164"/>
      <c r="G2" s="165"/>
      <c r="H2" s="183"/>
      <c r="I2" s="183"/>
      <c r="J2" s="183"/>
      <c r="K2" s="183"/>
      <c r="L2" s="183"/>
      <c r="M2" s="183"/>
      <c r="N2" s="183"/>
    </row>
    <row r="3" spans="1:12" s="187" customFormat="1" ht="32.25" customHeight="1">
      <c r="A3" s="196" t="s">
        <v>1</v>
      </c>
      <c r="B3" s="197" t="s">
        <v>2</v>
      </c>
      <c r="C3" s="183"/>
      <c r="D3" s="198" t="s">
        <v>53</v>
      </c>
      <c r="E3" s="183"/>
      <c r="F3" s="166"/>
      <c r="G3" s="167"/>
      <c r="H3" s="183"/>
      <c r="I3" s="183"/>
      <c r="J3" s="183"/>
      <c r="K3" s="183"/>
      <c r="L3" s="183"/>
    </row>
    <row r="4" spans="1:12" s="187" customFormat="1" ht="13.5" customHeight="1">
      <c r="A4" s="203" t="s">
        <v>118</v>
      </c>
      <c r="B4" s="186">
        <v>2300</v>
      </c>
      <c r="C4" s="194"/>
      <c r="D4" s="195">
        <v>289</v>
      </c>
      <c r="E4" s="183"/>
      <c r="F4" s="168"/>
      <c r="G4" s="169"/>
      <c r="H4" s="183"/>
      <c r="I4" s="183"/>
      <c r="J4" s="183"/>
      <c r="K4" s="183"/>
      <c r="L4" s="183"/>
    </row>
    <row r="5" spans="1:14" s="187" customFormat="1" ht="13.5" customHeight="1">
      <c r="A5" s="203" t="s">
        <v>119</v>
      </c>
      <c r="B5" s="186">
        <v>4750</v>
      </c>
      <c r="C5" s="194"/>
      <c r="D5" s="195">
        <v>63</v>
      </c>
      <c r="E5" s="183"/>
      <c r="F5" s="168"/>
      <c r="G5" s="169"/>
      <c r="H5" s="183"/>
      <c r="I5" s="183"/>
      <c r="J5" s="183"/>
      <c r="K5" s="183"/>
      <c r="L5" s="183"/>
      <c r="M5" s="183"/>
      <c r="N5" s="183"/>
    </row>
    <row r="6" spans="1:14" s="187" customFormat="1" ht="13.5" customHeight="1">
      <c r="A6" s="203" t="s">
        <v>59</v>
      </c>
      <c r="B6" s="186">
        <v>2600</v>
      </c>
      <c r="C6" s="194"/>
      <c r="D6" s="195">
        <v>63</v>
      </c>
      <c r="E6" s="183"/>
      <c r="F6" s="168"/>
      <c r="G6" s="169"/>
      <c r="H6" s="183"/>
      <c r="I6" s="183"/>
      <c r="J6" s="183"/>
      <c r="K6" s="183"/>
      <c r="L6" s="183"/>
      <c r="M6" s="183"/>
      <c r="N6" s="183"/>
    </row>
    <row r="7" spans="1:14" s="187" customFormat="1" ht="13.5" customHeight="1">
      <c r="A7" s="170"/>
      <c r="B7" s="171"/>
      <c r="C7" s="183"/>
      <c r="D7" s="172"/>
      <c r="E7" s="183"/>
      <c r="F7" s="183"/>
      <c r="G7" s="183"/>
      <c r="H7" s="183"/>
      <c r="I7" s="183"/>
      <c r="J7" s="183"/>
      <c r="K7" s="183"/>
      <c r="L7" s="183"/>
      <c r="M7" s="183"/>
      <c r="N7" s="183"/>
    </row>
    <row r="8" spans="1:14" s="163" customFormat="1" ht="13.5" customHeight="1">
      <c r="A8" s="182"/>
      <c r="B8" s="183"/>
      <c r="C8" s="162"/>
      <c r="D8" s="162"/>
      <c r="E8" s="162"/>
      <c r="F8" s="162"/>
      <c r="G8" s="162"/>
      <c r="H8" s="162"/>
      <c r="I8" s="162"/>
      <c r="J8" s="162"/>
      <c r="K8" s="162"/>
      <c r="L8" s="162"/>
      <c r="M8" s="162"/>
      <c r="N8" s="162"/>
    </row>
    <row r="9" spans="1:14" s="163" customFormat="1" ht="13.5" customHeight="1" thickBot="1">
      <c r="A9" s="212"/>
      <c r="B9" s="212"/>
      <c r="C9" s="162"/>
      <c r="D9" s="162"/>
      <c r="E9" s="162"/>
      <c r="F9" s="162"/>
      <c r="G9" s="162"/>
      <c r="H9" s="162"/>
      <c r="I9" s="162"/>
      <c r="J9" s="162"/>
      <c r="K9" s="162"/>
      <c r="L9" s="162"/>
      <c r="M9" s="162"/>
      <c r="N9" s="162"/>
    </row>
    <row r="10" spans="1:26" ht="20.25" customHeight="1" thickBot="1">
      <c r="A10" s="199" t="s">
        <v>55</v>
      </c>
      <c r="B10" s="200"/>
      <c r="C10" s="173"/>
      <c r="D10" s="207" t="s">
        <v>72</v>
      </c>
      <c r="E10" s="208"/>
      <c r="F10" s="208"/>
      <c r="G10" s="208"/>
      <c r="H10" s="208"/>
      <c r="I10" s="208"/>
      <c r="J10" s="208"/>
      <c r="K10" s="208"/>
      <c r="L10" s="208"/>
      <c r="M10" s="208"/>
      <c r="N10" s="209"/>
      <c r="P10" s="207" t="s">
        <v>73</v>
      </c>
      <c r="Q10" s="208"/>
      <c r="R10" s="208"/>
      <c r="S10" s="208"/>
      <c r="T10" s="208"/>
      <c r="U10" s="208"/>
      <c r="V10" s="208"/>
      <c r="W10" s="208"/>
      <c r="X10" s="208"/>
      <c r="Y10" s="208"/>
      <c r="Z10" s="209"/>
    </row>
    <row r="11" spans="1:26" ht="13.5" customHeight="1" thickBot="1">
      <c r="A11" s="188" t="s">
        <v>3</v>
      </c>
      <c r="B11" s="201">
        <f>INDEX('W-Roundup R mielies '!K9:M14,MATCH($B$15,Opbrengspeil,0),2)</f>
        <v>10901.124719438449</v>
      </c>
      <c r="C11" s="174"/>
      <c r="D11" s="45"/>
      <c r="E11" s="46"/>
      <c r="F11" s="47"/>
      <c r="G11" s="48"/>
      <c r="H11" s="47"/>
      <c r="I11" s="47"/>
      <c r="J11" s="47" t="s">
        <v>4</v>
      </c>
      <c r="K11" s="49"/>
      <c r="L11" s="47"/>
      <c r="M11" s="49"/>
      <c r="N11" s="47"/>
      <c r="P11" s="45"/>
      <c r="Q11" s="46"/>
      <c r="R11" s="47"/>
      <c r="S11" s="48"/>
      <c r="T11" s="47"/>
      <c r="U11" s="47"/>
      <c r="V11" s="47" t="s">
        <v>4</v>
      </c>
      <c r="W11" s="49"/>
      <c r="X11" s="47"/>
      <c r="Y11" s="49"/>
      <c r="Z11" s="47"/>
    </row>
    <row r="12" spans="1:26" ht="13.5" customHeight="1" thickBot="1">
      <c r="A12" s="188" t="s">
        <v>5</v>
      </c>
      <c r="B12" s="201">
        <f>INDEX('W-Roundup R mielies '!K9:M14,MATCH($B$15,Opbrengspeil,0),3)</f>
        <v>2447.83</v>
      </c>
      <c r="C12" s="174"/>
      <c r="D12" s="207" t="s">
        <v>6</v>
      </c>
      <c r="E12" s="209"/>
      <c r="F12" s="50">
        <f>G12-250</f>
        <v>1300</v>
      </c>
      <c r="G12" s="50">
        <f>H12-250</f>
        <v>1550</v>
      </c>
      <c r="H12" s="50">
        <f>I12-250</f>
        <v>1800</v>
      </c>
      <c r="I12" s="50">
        <f>J12-250</f>
        <v>2050</v>
      </c>
      <c r="J12" s="51">
        <f>B17</f>
        <v>2300</v>
      </c>
      <c r="K12" s="50">
        <f>J12+250</f>
        <v>2550</v>
      </c>
      <c r="L12" s="50">
        <f>K12+250</f>
        <v>2800</v>
      </c>
      <c r="M12" s="50">
        <f>L12+250</f>
        <v>3050</v>
      </c>
      <c r="N12" s="50">
        <f>M12+250</f>
        <v>3300</v>
      </c>
      <c r="P12" s="207" t="s">
        <v>6</v>
      </c>
      <c r="Q12" s="209"/>
      <c r="R12" s="52">
        <f>S12-250</f>
        <v>1300</v>
      </c>
      <c r="S12" s="52">
        <f>T12-250</f>
        <v>1550</v>
      </c>
      <c r="T12" s="52">
        <f>U12-250</f>
        <v>1800</v>
      </c>
      <c r="U12" s="52">
        <f>V12-250</f>
        <v>2050</v>
      </c>
      <c r="V12" s="53">
        <f>J12</f>
        <v>2300</v>
      </c>
      <c r="W12" s="52">
        <f>V12+250</f>
        <v>2550</v>
      </c>
      <c r="X12" s="52">
        <f>W12+250</f>
        <v>2800</v>
      </c>
      <c r="Y12" s="52">
        <f>X12+250</f>
        <v>3050</v>
      </c>
      <c r="Z12" s="52">
        <f>Y12+250</f>
        <v>3300</v>
      </c>
    </row>
    <row r="13" spans="1:26" ht="13.5" customHeight="1" thickBot="1">
      <c r="A13" s="189" t="s">
        <v>7</v>
      </c>
      <c r="B13" s="202">
        <f>B12+B11</f>
        <v>13348.954719438449</v>
      </c>
      <c r="C13" s="175"/>
      <c r="D13" s="210" t="s">
        <v>8</v>
      </c>
      <c r="E13" s="211"/>
      <c r="F13" s="54">
        <f aca="true" t="shared" si="0" ref="F13:N13">F12-$B$18</f>
        <v>1011</v>
      </c>
      <c r="G13" s="54">
        <f t="shared" si="0"/>
        <v>1261</v>
      </c>
      <c r="H13" s="54">
        <f t="shared" si="0"/>
        <v>1511</v>
      </c>
      <c r="I13" s="54">
        <f t="shared" si="0"/>
        <v>1761</v>
      </c>
      <c r="J13" s="55">
        <f>J12-$B$18</f>
        <v>2011</v>
      </c>
      <c r="K13" s="54">
        <f t="shared" si="0"/>
        <v>2261</v>
      </c>
      <c r="L13" s="54">
        <f t="shared" si="0"/>
        <v>2511</v>
      </c>
      <c r="M13" s="54">
        <f t="shared" si="0"/>
        <v>2761</v>
      </c>
      <c r="N13" s="54">
        <f t="shared" si="0"/>
        <v>3011</v>
      </c>
      <c r="P13" s="210" t="s">
        <v>8</v>
      </c>
      <c r="Q13" s="211"/>
      <c r="R13" s="54">
        <f aca="true" t="shared" si="1" ref="R13:Z13">R12-$B$18</f>
        <v>1011</v>
      </c>
      <c r="S13" s="54">
        <f t="shared" si="1"/>
        <v>1261</v>
      </c>
      <c r="T13" s="54">
        <f t="shared" si="1"/>
        <v>1511</v>
      </c>
      <c r="U13" s="54">
        <f t="shared" si="1"/>
        <v>1761</v>
      </c>
      <c r="V13" s="56">
        <f t="shared" si="1"/>
        <v>2011</v>
      </c>
      <c r="W13" s="54">
        <f t="shared" si="1"/>
        <v>2261</v>
      </c>
      <c r="X13" s="54">
        <f t="shared" si="1"/>
        <v>2511</v>
      </c>
      <c r="Y13" s="54">
        <f t="shared" si="1"/>
        <v>2761</v>
      </c>
      <c r="Z13" s="54">
        <f t="shared" si="1"/>
        <v>3011</v>
      </c>
    </row>
    <row r="14" spans="1:26" ht="13.5" customHeight="1" thickBot="1">
      <c r="A14" s="188"/>
      <c r="B14" s="174"/>
      <c r="C14" s="174"/>
      <c r="D14" s="204" t="s">
        <v>9</v>
      </c>
      <c r="E14" s="57">
        <f>E15-0.5</f>
        <v>4.5</v>
      </c>
      <c r="F14" s="58">
        <f aca="true" t="shared" si="2" ref="F14:N18">F$13-($B$13/$E14)</f>
        <v>-1955.4343820974332</v>
      </c>
      <c r="G14" s="59">
        <f t="shared" si="2"/>
        <v>-1705.4343820974332</v>
      </c>
      <c r="H14" s="59">
        <f t="shared" si="2"/>
        <v>-1455.4343820974332</v>
      </c>
      <c r="I14" s="59">
        <f t="shared" si="2"/>
        <v>-1205.4343820974332</v>
      </c>
      <c r="J14" s="59">
        <f t="shared" si="2"/>
        <v>-955.4343820974332</v>
      </c>
      <c r="K14" s="59">
        <f t="shared" si="2"/>
        <v>-705.4343820974332</v>
      </c>
      <c r="L14" s="59">
        <f t="shared" si="2"/>
        <v>-455.4343820974332</v>
      </c>
      <c r="M14" s="60">
        <f t="shared" si="2"/>
        <v>-205.43438209743317</v>
      </c>
      <c r="N14" s="61">
        <f t="shared" si="2"/>
        <v>44.56561790256683</v>
      </c>
      <c r="P14" s="204" t="s">
        <v>9</v>
      </c>
      <c r="Q14" s="57">
        <f>Q15-0.5</f>
        <v>4.5</v>
      </c>
      <c r="R14" s="58">
        <f>R$13-($B$11/$E14)</f>
        <v>-1411.4721598752108</v>
      </c>
      <c r="S14" s="58">
        <f aca="true" t="shared" si="3" ref="S14:Z18">S$13-($B$11/$E14)</f>
        <v>-1161.4721598752108</v>
      </c>
      <c r="T14" s="58">
        <f t="shared" si="3"/>
        <v>-911.4721598752108</v>
      </c>
      <c r="U14" s="58">
        <f t="shared" si="3"/>
        <v>-661.4721598752108</v>
      </c>
      <c r="V14" s="58">
        <f t="shared" si="3"/>
        <v>-411.47215987521076</v>
      </c>
      <c r="W14" s="58">
        <f t="shared" si="3"/>
        <v>-161.47215987521076</v>
      </c>
      <c r="X14" s="58">
        <f t="shared" si="3"/>
        <v>88.52784012478924</v>
      </c>
      <c r="Y14" s="58">
        <f t="shared" si="3"/>
        <v>338.52784012478924</v>
      </c>
      <c r="Z14" s="58">
        <f t="shared" si="3"/>
        <v>588.5278401247892</v>
      </c>
    </row>
    <row r="15" spans="1:26" ht="13.5" customHeight="1" thickBot="1">
      <c r="A15" s="188" t="s">
        <v>10</v>
      </c>
      <c r="B15" s="190">
        <v>5.5</v>
      </c>
      <c r="C15" s="174"/>
      <c r="D15" s="205"/>
      <c r="E15" s="57">
        <f>E16-0.5</f>
        <v>5</v>
      </c>
      <c r="F15" s="62">
        <f>F$13-($B$13/$E15)</f>
        <v>-1658.7909438876895</v>
      </c>
      <c r="G15" s="63">
        <f t="shared" si="2"/>
        <v>-1408.7909438876895</v>
      </c>
      <c r="H15" s="63">
        <f t="shared" si="2"/>
        <v>-1158.7909438876895</v>
      </c>
      <c r="I15" s="63">
        <f t="shared" si="2"/>
        <v>-908.7909438876895</v>
      </c>
      <c r="J15" s="63">
        <f t="shared" si="2"/>
        <v>-658.7909438876895</v>
      </c>
      <c r="K15" s="64">
        <f t="shared" si="2"/>
        <v>-408.79094388768954</v>
      </c>
      <c r="L15" s="64">
        <f t="shared" si="2"/>
        <v>-158.79094388768954</v>
      </c>
      <c r="M15" s="64">
        <f t="shared" si="2"/>
        <v>91.20905611231046</v>
      </c>
      <c r="N15" s="65">
        <f t="shared" si="2"/>
        <v>341.20905611231046</v>
      </c>
      <c r="P15" s="205"/>
      <c r="Q15" s="57">
        <f>Q16-0.5</f>
        <v>5</v>
      </c>
      <c r="R15" s="58">
        <f>R$13-($B$11/$E15)</f>
        <v>-1169.2249438876897</v>
      </c>
      <c r="S15" s="58">
        <f t="shared" si="3"/>
        <v>-919.2249438876897</v>
      </c>
      <c r="T15" s="58">
        <f t="shared" si="3"/>
        <v>-669.2249438876897</v>
      </c>
      <c r="U15" s="58">
        <f t="shared" si="3"/>
        <v>-419.22494388768973</v>
      </c>
      <c r="V15" s="58">
        <f t="shared" si="3"/>
        <v>-169.22494388768973</v>
      </c>
      <c r="W15" s="58">
        <f t="shared" si="3"/>
        <v>80.77505611231027</v>
      </c>
      <c r="X15" s="58">
        <f t="shared" si="3"/>
        <v>330.77505611231027</v>
      </c>
      <c r="Y15" s="58">
        <f t="shared" si="3"/>
        <v>580.7750561123103</v>
      </c>
      <c r="Z15" s="58">
        <f t="shared" si="3"/>
        <v>830.7750561123103</v>
      </c>
    </row>
    <row r="16" spans="1:26" ht="13.5" customHeight="1" thickBot="1">
      <c r="A16" s="188"/>
      <c r="B16" s="174"/>
      <c r="C16" s="174"/>
      <c r="D16" s="205"/>
      <c r="E16" s="66">
        <f>B15</f>
        <v>5.5</v>
      </c>
      <c r="F16" s="62">
        <f t="shared" si="2"/>
        <v>-1416.082676261536</v>
      </c>
      <c r="G16" s="63">
        <f t="shared" si="2"/>
        <v>-1166.082676261536</v>
      </c>
      <c r="H16" s="63">
        <f t="shared" si="2"/>
        <v>-916.0826762615361</v>
      </c>
      <c r="I16" s="63">
        <f t="shared" si="2"/>
        <v>-666.0826762615361</v>
      </c>
      <c r="J16" s="64">
        <f>J$13-($B$13/$E16)</f>
        <v>-416.0826762615361</v>
      </c>
      <c r="K16" s="64">
        <f t="shared" si="2"/>
        <v>-166.0826762615361</v>
      </c>
      <c r="L16" s="64">
        <f t="shared" si="2"/>
        <v>83.91732373846389</v>
      </c>
      <c r="M16" s="64">
        <f t="shared" si="2"/>
        <v>333.9173237384639</v>
      </c>
      <c r="N16" s="65">
        <f t="shared" si="2"/>
        <v>583.9173237384639</v>
      </c>
      <c r="P16" s="205"/>
      <c r="Q16" s="66">
        <f>E16</f>
        <v>5.5</v>
      </c>
      <c r="R16" s="58">
        <f>R$13-($B$11/$E16)</f>
        <v>-971.0226762615362</v>
      </c>
      <c r="S16" s="58">
        <f t="shared" si="3"/>
        <v>-721.0226762615362</v>
      </c>
      <c r="T16" s="58">
        <f t="shared" si="3"/>
        <v>-471.02267626153616</v>
      </c>
      <c r="U16" s="58">
        <f t="shared" si="3"/>
        <v>-221.02267626153616</v>
      </c>
      <c r="V16" s="58">
        <f>V$13-($B$11/$E16)</f>
        <v>28.977323738463838</v>
      </c>
      <c r="W16" s="58">
        <f t="shared" si="3"/>
        <v>278.97732373846384</v>
      </c>
      <c r="X16" s="58">
        <f t="shared" si="3"/>
        <v>528.9773237384638</v>
      </c>
      <c r="Y16" s="58">
        <f t="shared" si="3"/>
        <v>778.9773237384638</v>
      </c>
      <c r="Z16" s="58">
        <f t="shared" si="3"/>
        <v>1028.9773237384638</v>
      </c>
    </row>
    <row r="17" spans="1:26" ht="13.5" customHeight="1" thickBot="1">
      <c r="A17" s="188" t="s">
        <v>120</v>
      </c>
      <c r="B17" s="201">
        <f>$B$4</f>
        <v>2300</v>
      </c>
      <c r="C17" s="174"/>
      <c r="D17" s="205"/>
      <c r="E17" s="57">
        <f>E16+0.5</f>
        <v>6</v>
      </c>
      <c r="F17" s="62">
        <f t="shared" si="2"/>
        <v>-1213.8257865730748</v>
      </c>
      <c r="G17" s="63">
        <f t="shared" si="2"/>
        <v>-963.8257865730748</v>
      </c>
      <c r="H17" s="63">
        <f t="shared" si="2"/>
        <v>-713.8257865730748</v>
      </c>
      <c r="I17" s="64">
        <f t="shared" si="2"/>
        <v>-463.82578657307477</v>
      </c>
      <c r="J17" s="64">
        <f t="shared" si="2"/>
        <v>-213.82578657307477</v>
      </c>
      <c r="K17" s="64">
        <f t="shared" si="2"/>
        <v>36.174213426925235</v>
      </c>
      <c r="L17" s="64">
        <f t="shared" si="2"/>
        <v>286.17421342692523</v>
      </c>
      <c r="M17" s="64">
        <f t="shared" si="2"/>
        <v>536.1742134269252</v>
      </c>
      <c r="N17" s="65">
        <f t="shared" si="2"/>
        <v>786.1742134269252</v>
      </c>
      <c r="P17" s="205"/>
      <c r="Q17" s="57">
        <f>Q16+0.5</f>
        <v>6</v>
      </c>
      <c r="R17" s="58">
        <f>R$13-($B$11/$E17)</f>
        <v>-805.8541199064082</v>
      </c>
      <c r="S17" s="58">
        <f t="shared" si="3"/>
        <v>-555.8541199064082</v>
      </c>
      <c r="T17" s="58">
        <f t="shared" si="3"/>
        <v>-305.8541199064082</v>
      </c>
      <c r="U17" s="58">
        <f t="shared" si="3"/>
        <v>-55.85411990640819</v>
      </c>
      <c r="V17" s="58">
        <f t="shared" si="3"/>
        <v>194.1458800935918</v>
      </c>
      <c r="W17" s="58">
        <f t="shared" si="3"/>
        <v>444.1458800935918</v>
      </c>
      <c r="X17" s="58">
        <f t="shared" si="3"/>
        <v>694.1458800935918</v>
      </c>
      <c r="Y17" s="58">
        <f t="shared" si="3"/>
        <v>944.1458800935918</v>
      </c>
      <c r="Z17" s="58">
        <f t="shared" si="3"/>
        <v>1194.1458800935918</v>
      </c>
    </row>
    <row r="18" spans="1:26" ht="13.5" customHeight="1" thickBot="1">
      <c r="A18" s="191" t="s">
        <v>11</v>
      </c>
      <c r="B18" s="201">
        <f>'W-Roundup R mielies '!$F$33</f>
        <v>289</v>
      </c>
      <c r="C18" s="174"/>
      <c r="D18" s="206"/>
      <c r="E18" s="57">
        <f>E17+0.5</f>
        <v>6.5</v>
      </c>
      <c r="F18" s="67">
        <f t="shared" si="2"/>
        <v>-1042.6853414520692</v>
      </c>
      <c r="G18" s="68">
        <f>G$13-($B$13/$E18)</f>
        <v>-792.6853414520692</v>
      </c>
      <c r="H18" s="69">
        <f t="shared" si="2"/>
        <v>-542.6853414520692</v>
      </c>
      <c r="I18" s="69">
        <f t="shared" si="2"/>
        <v>-292.6853414520692</v>
      </c>
      <c r="J18" s="69">
        <f>J$13-($B$13/$E18)</f>
        <v>-42.685341452069224</v>
      </c>
      <c r="K18" s="69">
        <f t="shared" si="2"/>
        <v>207.31465854793078</v>
      </c>
      <c r="L18" s="69">
        <f t="shared" si="2"/>
        <v>457.3146585479308</v>
      </c>
      <c r="M18" s="69">
        <f t="shared" si="2"/>
        <v>707.3146585479308</v>
      </c>
      <c r="N18" s="70">
        <f>N$13-($B$13/$E18)</f>
        <v>957.3146585479308</v>
      </c>
      <c r="P18" s="206"/>
      <c r="Q18" s="57">
        <f>Q17+0.5</f>
        <v>6.5</v>
      </c>
      <c r="R18" s="58">
        <f>R$13-($B$11/$E18)</f>
        <v>-666.0961106828383</v>
      </c>
      <c r="S18" s="58">
        <f>S$13-($B$11/$E18)</f>
        <v>-416.09611068283834</v>
      </c>
      <c r="T18" s="58">
        <f t="shared" si="3"/>
        <v>-166.09611068283834</v>
      </c>
      <c r="U18" s="58">
        <f t="shared" si="3"/>
        <v>83.90388931716166</v>
      </c>
      <c r="V18" s="58">
        <f t="shared" si="3"/>
        <v>333.90388931716166</v>
      </c>
      <c r="W18" s="58">
        <f t="shared" si="3"/>
        <v>583.9038893171617</v>
      </c>
      <c r="X18" s="58">
        <f t="shared" si="3"/>
        <v>833.9038893171617</v>
      </c>
      <c r="Y18" s="58">
        <f t="shared" si="3"/>
        <v>1083.9038893171617</v>
      </c>
      <c r="Z18" s="58">
        <f>Z$13-($B$11/$E18)</f>
        <v>1333.9038893171617</v>
      </c>
    </row>
    <row r="19" spans="1:24" ht="13.5" customHeight="1">
      <c r="A19" s="176" t="s">
        <v>12</v>
      </c>
      <c r="B19" s="202">
        <f>B17-B18</f>
        <v>2011</v>
      </c>
      <c r="C19" s="174"/>
      <c r="D19" s="71"/>
      <c r="E19" s="72"/>
      <c r="F19" s="73"/>
      <c r="G19" s="73"/>
      <c r="H19" s="73"/>
      <c r="I19" s="73"/>
      <c r="J19" s="73"/>
      <c r="K19" s="73"/>
      <c r="L19" s="73"/>
      <c r="P19" s="71"/>
      <c r="Q19" s="72"/>
      <c r="R19" s="73"/>
      <c r="S19" s="73"/>
      <c r="T19" s="73"/>
      <c r="U19" s="73"/>
      <c r="V19" s="73"/>
      <c r="W19" s="73"/>
      <c r="X19" s="73"/>
    </row>
    <row r="20" spans="1:24" s="44" customFormat="1" ht="13.5" customHeight="1">
      <c r="A20" s="176"/>
      <c r="B20" s="201"/>
      <c r="C20" s="174"/>
      <c r="D20" s="74"/>
      <c r="E20" s="75"/>
      <c r="F20" s="73"/>
      <c r="G20" s="73"/>
      <c r="H20" s="73"/>
      <c r="I20" s="73"/>
      <c r="J20" s="73"/>
      <c r="K20" s="73"/>
      <c r="L20" s="73"/>
      <c r="P20" s="74"/>
      <c r="Q20" s="75"/>
      <c r="R20" s="73"/>
      <c r="S20" s="73"/>
      <c r="T20" s="73"/>
      <c r="U20" s="73"/>
      <c r="V20" s="73"/>
      <c r="W20" s="73"/>
      <c r="X20" s="73"/>
    </row>
    <row r="21" spans="1:24" ht="13.5" customHeight="1">
      <c r="A21" s="176"/>
      <c r="B21" s="175"/>
      <c r="C21" s="174"/>
      <c r="D21" s="71"/>
      <c r="E21" s="72"/>
      <c r="F21" s="73"/>
      <c r="G21" s="73"/>
      <c r="H21" s="73"/>
      <c r="I21" s="73"/>
      <c r="J21" s="73"/>
      <c r="K21" s="73"/>
      <c r="L21" s="73"/>
      <c r="P21" s="71"/>
      <c r="Q21" s="72"/>
      <c r="R21" s="73"/>
      <c r="S21" s="73"/>
      <c r="T21" s="73"/>
      <c r="U21" s="73"/>
      <c r="V21" s="73"/>
      <c r="W21" s="73"/>
      <c r="X21" s="73"/>
    </row>
    <row r="22" spans="1:14" s="43" customFormat="1" ht="33.75" customHeight="1" thickBot="1">
      <c r="A22" s="213"/>
      <c r="B22" s="213"/>
      <c r="C22" s="162"/>
      <c r="D22" s="42"/>
      <c r="E22" s="42"/>
      <c r="F22" s="42"/>
      <c r="G22" s="42"/>
      <c r="H22" s="42"/>
      <c r="I22" s="42"/>
      <c r="J22" s="42"/>
      <c r="K22" s="42"/>
      <c r="L22" s="42"/>
      <c r="M22" s="42"/>
      <c r="N22" s="42"/>
    </row>
    <row r="23" spans="1:26" ht="20.25" customHeight="1" thickBot="1">
      <c r="A23" s="199" t="s">
        <v>56</v>
      </c>
      <c r="B23" s="200"/>
      <c r="C23" s="173"/>
      <c r="D23" s="207" t="s">
        <v>72</v>
      </c>
      <c r="E23" s="208"/>
      <c r="F23" s="208"/>
      <c r="G23" s="208"/>
      <c r="H23" s="208"/>
      <c r="I23" s="208"/>
      <c r="J23" s="208"/>
      <c r="K23" s="208"/>
      <c r="L23" s="208"/>
      <c r="M23" s="208"/>
      <c r="N23" s="209"/>
      <c r="P23" s="207" t="s">
        <v>73</v>
      </c>
      <c r="Q23" s="208"/>
      <c r="R23" s="208"/>
      <c r="S23" s="208"/>
      <c r="T23" s="208"/>
      <c r="U23" s="208"/>
      <c r="V23" s="208"/>
      <c r="W23" s="208"/>
      <c r="X23" s="208"/>
      <c r="Y23" s="208"/>
      <c r="Z23" s="209"/>
    </row>
    <row r="24" spans="1:26" ht="13.5" customHeight="1" thickBot="1">
      <c r="A24" s="188" t="s">
        <v>3</v>
      </c>
      <c r="B24" s="201">
        <f>INDEX('Mielie Vermin Bewerk'!K9:M14,MATCH($B$28,Verminopbrengspeil,0),2)</f>
        <v>10449.622345074647</v>
      </c>
      <c r="C24" s="174"/>
      <c r="D24" s="45"/>
      <c r="E24" s="46"/>
      <c r="F24" s="47"/>
      <c r="G24" s="48"/>
      <c r="H24" s="47"/>
      <c r="I24" s="47"/>
      <c r="J24" s="47" t="s">
        <v>4</v>
      </c>
      <c r="K24" s="49"/>
      <c r="L24" s="47"/>
      <c r="M24" s="49"/>
      <c r="N24" s="47"/>
      <c r="P24" s="45"/>
      <c r="Q24" s="46"/>
      <c r="R24" s="47"/>
      <c r="S24" s="48"/>
      <c r="T24" s="47"/>
      <c r="U24" s="47"/>
      <c r="V24" s="47" t="s">
        <v>4</v>
      </c>
      <c r="W24" s="49"/>
      <c r="X24" s="47"/>
      <c r="Y24" s="49"/>
      <c r="Z24" s="47"/>
    </row>
    <row r="25" spans="1:26" ht="13.5" customHeight="1" thickBot="1">
      <c r="A25" s="188" t="s">
        <v>5</v>
      </c>
      <c r="B25" s="201">
        <f>INDEX('Mielie Vermin Bewerk'!K9:M14,MATCH($B$28,Verminopbrengspeil,0),3)</f>
        <v>2238.9100000000003</v>
      </c>
      <c r="C25" s="174"/>
      <c r="D25" s="207" t="s">
        <v>6</v>
      </c>
      <c r="E25" s="209"/>
      <c r="F25" s="50">
        <f>G25-250</f>
        <v>1300</v>
      </c>
      <c r="G25" s="50">
        <f>H25-250</f>
        <v>1550</v>
      </c>
      <c r="H25" s="50">
        <f>I25-250</f>
        <v>1800</v>
      </c>
      <c r="I25" s="50">
        <f>J25-250</f>
        <v>2050</v>
      </c>
      <c r="J25" s="51">
        <f>B30</f>
        <v>2300</v>
      </c>
      <c r="K25" s="50">
        <f>J25+250</f>
        <v>2550</v>
      </c>
      <c r="L25" s="50">
        <f>K25+250</f>
        <v>2800</v>
      </c>
      <c r="M25" s="50">
        <f>L25+250</f>
        <v>3050</v>
      </c>
      <c r="N25" s="50">
        <f>M25+250</f>
        <v>3300</v>
      </c>
      <c r="P25" s="207" t="s">
        <v>6</v>
      </c>
      <c r="Q25" s="209"/>
      <c r="R25" s="52">
        <f>S25-250</f>
        <v>1300</v>
      </c>
      <c r="S25" s="52">
        <f>T25-250</f>
        <v>1550</v>
      </c>
      <c r="T25" s="52">
        <f>U25-250</f>
        <v>1800</v>
      </c>
      <c r="U25" s="52">
        <f>V25-250</f>
        <v>2050</v>
      </c>
      <c r="V25" s="53">
        <f>J25</f>
        <v>2300</v>
      </c>
      <c r="W25" s="52">
        <f>V25+250</f>
        <v>2550</v>
      </c>
      <c r="X25" s="52">
        <f>W25+250</f>
        <v>2800</v>
      </c>
      <c r="Y25" s="52">
        <f>X25+250</f>
        <v>3050</v>
      </c>
      <c r="Z25" s="52">
        <f>Y25+250</f>
        <v>3300</v>
      </c>
    </row>
    <row r="26" spans="1:26" ht="13.5" customHeight="1" thickBot="1">
      <c r="A26" s="189" t="s">
        <v>7</v>
      </c>
      <c r="B26" s="202">
        <f>B25+B24</f>
        <v>12688.532345074647</v>
      </c>
      <c r="C26" s="175"/>
      <c r="D26" s="210" t="s">
        <v>8</v>
      </c>
      <c r="E26" s="211"/>
      <c r="F26" s="54">
        <f aca="true" t="shared" si="4" ref="F26:N26">F25-$B$18</f>
        <v>1011</v>
      </c>
      <c r="G26" s="54">
        <f t="shared" si="4"/>
        <v>1261</v>
      </c>
      <c r="H26" s="54">
        <f t="shared" si="4"/>
        <v>1511</v>
      </c>
      <c r="I26" s="54">
        <f t="shared" si="4"/>
        <v>1761</v>
      </c>
      <c r="J26" s="55">
        <f t="shared" si="4"/>
        <v>2011</v>
      </c>
      <c r="K26" s="54">
        <f t="shared" si="4"/>
        <v>2261</v>
      </c>
      <c r="L26" s="54">
        <f t="shared" si="4"/>
        <v>2511</v>
      </c>
      <c r="M26" s="54">
        <f t="shared" si="4"/>
        <v>2761</v>
      </c>
      <c r="N26" s="54">
        <f t="shared" si="4"/>
        <v>3011</v>
      </c>
      <c r="P26" s="210" t="s">
        <v>8</v>
      </c>
      <c r="Q26" s="211"/>
      <c r="R26" s="54">
        <f aca="true" t="shared" si="5" ref="R26:Z26">R25-$B$18</f>
        <v>1011</v>
      </c>
      <c r="S26" s="54">
        <f t="shared" si="5"/>
        <v>1261</v>
      </c>
      <c r="T26" s="54">
        <f t="shared" si="5"/>
        <v>1511</v>
      </c>
      <c r="U26" s="54">
        <f t="shared" si="5"/>
        <v>1761</v>
      </c>
      <c r="V26" s="56">
        <f t="shared" si="5"/>
        <v>2011</v>
      </c>
      <c r="W26" s="54">
        <f t="shared" si="5"/>
        <v>2261</v>
      </c>
      <c r="X26" s="54">
        <f t="shared" si="5"/>
        <v>2511</v>
      </c>
      <c r="Y26" s="54">
        <f t="shared" si="5"/>
        <v>2761</v>
      </c>
      <c r="Z26" s="54">
        <f t="shared" si="5"/>
        <v>3011</v>
      </c>
    </row>
    <row r="27" spans="1:26" ht="13.5" customHeight="1" thickBot="1">
      <c r="A27" s="188"/>
      <c r="B27" s="174"/>
      <c r="C27" s="174"/>
      <c r="D27" s="204" t="s">
        <v>9</v>
      </c>
      <c r="E27" s="57">
        <f>E28-0.5</f>
        <v>4.5</v>
      </c>
      <c r="F27" s="58">
        <f>F$13-($B$26/$E27)</f>
        <v>-1808.6738544610325</v>
      </c>
      <c r="G27" s="58">
        <f aca="true" t="shared" si="6" ref="G27:N31">G$13-($B$26/$E27)</f>
        <v>-1558.6738544610325</v>
      </c>
      <c r="H27" s="58">
        <f t="shared" si="6"/>
        <v>-1308.6738544610325</v>
      </c>
      <c r="I27" s="58">
        <f t="shared" si="6"/>
        <v>-1058.6738544610325</v>
      </c>
      <c r="J27" s="58">
        <f t="shared" si="6"/>
        <v>-808.6738544610325</v>
      </c>
      <c r="K27" s="58">
        <f t="shared" si="6"/>
        <v>-558.6738544610325</v>
      </c>
      <c r="L27" s="58">
        <f t="shared" si="6"/>
        <v>-308.67385446103253</v>
      </c>
      <c r="M27" s="58">
        <f t="shared" si="6"/>
        <v>-58.67385446103253</v>
      </c>
      <c r="N27" s="58">
        <f t="shared" si="6"/>
        <v>191.32614553896747</v>
      </c>
      <c r="P27" s="204" t="s">
        <v>9</v>
      </c>
      <c r="Q27" s="57">
        <f>Q28-0.5</f>
        <v>4.5</v>
      </c>
      <c r="R27" s="58">
        <f>R$13-($B$24/$E27)</f>
        <v>-1311.1382989054773</v>
      </c>
      <c r="S27" s="58">
        <f aca="true" t="shared" si="7" ref="S27:Z31">S$13-($B$24/$E27)</f>
        <v>-1061.1382989054773</v>
      </c>
      <c r="T27" s="58">
        <f t="shared" si="7"/>
        <v>-811.1382989054773</v>
      </c>
      <c r="U27" s="58">
        <f t="shared" si="7"/>
        <v>-561.1382989054773</v>
      </c>
      <c r="V27" s="58">
        <f t="shared" si="7"/>
        <v>-311.1382989054773</v>
      </c>
      <c r="W27" s="58">
        <f t="shared" si="7"/>
        <v>-61.13829890547731</v>
      </c>
      <c r="X27" s="58">
        <f t="shared" si="7"/>
        <v>188.8617010945227</v>
      </c>
      <c r="Y27" s="58">
        <f t="shared" si="7"/>
        <v>438.8617010945227</v>
      </c>
      <c r="Z27" s="58">
        <f t="shared" si="7"/>
        <v>688.8617010945227</v>
      </c>
    </row>
    <row r="28" spans="1:26" ht="13.5" customHeight="1" thickBot="1">
      <c r="A28" s="188" t="s">
        <v>10</v>
      </c>
      <c r="B28" s="190">
        <v>5.5</v>
      </c>
      <c r="C28" s="174"/>
      <c r="D28" s="205"/>
      <c r="E28" s="57">
        <f>E29-0.5</f>
        <v>5</v>
      </c>
      <c r="F28" s="58">
        <f>F$13-($B$26/$E28)</f>
        <v>-1526.7064690149296</v>
      </c>
      <c r="G28" s="58">
        <f t="shared" si="6"/>
        <v>-1276.7064690149296</v>
      </c>
      <c r="H28" s="58">
        <f t="shared" si="6"/>
        <v>-1026.7064690149296</v>
      </c>
      <c r="I28" s="58">
        <f t="shared" si="6"/>
        <v>-776.7064690149296</v>
      </c>
      <c r="J28" s="58">
        <f t="shared" si="6"/>
        <v>-526.7064690149296</v>
      </c>
      <c r="K28" s="58">
        <f t="shared" si="6"/>
        <v>-276.70646901492955</v>
      </c>
      <c r="L28" s="58">
        <f t="shared" si="6"/>
        <v>-26.706469014929553</v>
      </c>
      <c r="M28" s="58">
        <f t="shared" si="6"/>
        <v>223.29353098507045</v>
      </c>
      <c r="N28" s="58">
        <f t="shared" si="6"/>
        <v>473.29353098507045</v>
      </c>
      <c r="P28" s="205"/>
      <c r="Q28" s="57">
        <f>Q29-0.5</f>
        <v>5</v>
      </c>
      <c r="R28" s="58">
        <f>R$13-($B$24/$E28)</f>
        <v>-1078.9244690149294</v>
      </c>
      <c r="S28" s="58">
        <f t="shared" si="7"/>
        <v>-828.9244690149294</v>
      </c>
      <c r="T28" s="58">
        <f t="shared" si="7"/>
        <v>-578.9244690149294</v>
      </c>
      <c r="U28" s="58">
        <f t="shared" si="7"/>
        <v>-328.9244690149294</v>
      </c>
      <c r="V28" s="58">
        <f t="shared" si="7"/>
        <v>-78.9244690149294</v>
      </c>
      <c r="W28" s="58">
        <f t="shared" si="7"/>
        <v>171.0755309850706</v>
      </c>
      <c r="X28" s="58">
        <f t="shared" si="7"/>
        <v>421.0755309850706</v>
      </c>
      <c r="Y28" s="58">
        <f t="shared" si="7"/>
        <v>671.0755309850706</v>
      </c>
      <c r="Z28" s="58">
        <f t="shared" si="7"/>
        <v>921.0755309850706</v>
      </c>
    </row>
    <row r="29" spans="1:26" ht="13.5" customHeight="1" thickBot="1">
      <c r="A29" s="188"/>
      <c r="B29" s="174"/>
      <c r="C29" s="174"/>
      <c r="D29" s="205"/>
      <c r="E29" s="66">
        <f>B28</f>
        <v>5.5</v>
      </c>
      <c r="F29" s="58">
        <f>F$13-($B$26/$E29)</f>
        <v>-1296.005880922663</v>
      </c>
      <c r="G29" s="58">
        <f t="shared" si="6"/>
        <v>-1046.005880922663</v>
      </c>
      <c r="H29" s="58">
        <f t="shared" si="6"/>
        <v>-796.005880922663</v>
      </c>
      <c r="I29" s="58">
        <f t="shared" si="6"/>
        <v>-546.005880922663</v>
      </c>
      <c r="J29" s="58">
        <f t="shared" si="6"/>
        <v>-296.005880922663</v>
      </c>
      <c r="K29" s="58">
        <f t="shared" si="6"/>
        <v>-46.00588092266298</v>
      </c>
      <c r="L29" s="58">
        <f t="shared" si="6"/>
        <v>203.99411907733702</v>
      </c>
      <c r="M29" s="58">
        <f t="shared" si="6"/>
        <v>453.994119077337</v>
      </c>
      <c r="N29" s="58">
        <f t="shared" si="6"/>
        <v>703.994119077337</v>
      </c>
      <c r="P29" s="205"/>
      <c r="Q29" s="66">
        <f>E29</f>
        <v>5.5</v>
      </c>
      <c r="R29" s="58">
        <f>R$13-($B$24/$E29)</f>
        <v>-888.9313354681178</v>
      </c>
      <c r="S29" s="58">
        <f t="shared" si="7"/>
        <v>-638.9313354681178</v>
      </c>
      <c r="T29" s="58">
        <f t="shared" si="7"/>
        <v>-388.9313354681178</v>
      </c>
      <c r="U29" s="58">
        <f t="shared" si="7"/>
        <v>-138.93133546811782</v>
      </c>
      <c r="V29" s="58">
        <f t="shared" si="7"/>
        <v>111.06866453188218</v>
      </c>
      <c r="W29" s="58">
        <f t="shared" si="7"/>
        <v>361.0686645318822</v>
      </c>
      <c r="X29" s="58">
        <f t="shared" si="7"/>
        <v>611.0686645318822</v>
      </c>
      <c r="Y29" s="58">
        <f t="shared" si="7"/>
        <v>861.0686645318822</v>
      </c>
      <c r="Z29" s="58">
        <f t="shared" si="7"/>
        <v>1111.0686645318822</v>
      </c>
    </row>
    <row r="30" spans="1:26" ht="13.5" customHeight="1" thickBot="1">
      <c r="A30" s="188" t="s">
        <v>120</v>
      </c>
      <c r="B30" s="201">
        <f>$B$4</f>
        <v>2300</v>
      </c>
      <c r="C30" s="174"/>
      <c r="D30" s="205"/>
      <c r="E30" s="57">
        <f>E29+0.5</f>
        <v>6</v>
      </c>
      <c r="F30" s="58">
        <f>F$13-($B$26/$E30)</f>
        <v>-1103.7553908457744</v>
      </c>
      <c r="G30" s="58">
        <f t="shared" si="6"/>
        <v>-853.7553908457744</v>
      </c>
      <c r="H30" s="58">
        <f t="shared" si="6"/>
        <v>-603.7553908457744</v>
      </c>
      <c r="I30" s="58">
        <f t="shared" si="6"/>
        <v>-353.7553908457744</v>
      </c>
      <c r="J30" s="58">
        <f t="shared" si="6"/>
        <v>-103.7553908457744</v>
      </c>
      <c r="K30" s="58">
        <f t="shared" si="6"/>
        <v>146.2446091542256</v>
      </c>
      <c r="L30" s="58">
        <f t="shared" si="6"/>
        <v>396.2446091542256</v>
      </c>
      <c r="M30" s="58">
        <f t="shared" si="6"/>
        <v>646.2446091542256</v>
      </c>
      <c r="N30" s="58">
        <f t="shared" si="6"/>
        <v>896.2446091542256</v>
      </c>
      <c r="P30" s="205"/>
      <c r="Q30" s="57">
        <f>Q29+0.5</f>
        <v>6</v>
      </c>
      <c r="R30" s="58">
        <f>R$13-($B$24/$E30)</f>
        <v>-730.603724179108</v>
      </c>
      <c r="S30" s="58">
        <f t="shared" si="7"/>
        <v>-480.603724179108</v>
      </c>
      <c r="T30" s="58">
        <f t="shared" si="7"/>
        <v>-230.60372417910799</v>
      </c>
      <c r="U30" s="58">
        <f t="shared" si="7"/>
        <v>19.396275820892015</v>
      </c>
      <c r="V30" s="58">
        <f t="shared" si="7"/>
        <v>269.396275820892</v>
      </c>
      <c r="W30" s="58">
        <f t="shared" si="7"/>
        <v>519.396275820892</v>
      </c>
      <c r="X30" s="58">
        <f t="shared" si="7"/>
        <v>769.396275820892</v>
      </c>
      <c r="Y30" s="58">
        <f t="shared" si="7"/>
        <v>1019.396275820892</v>
      </c>
      <c r="Z30" s="58">
        <f t="shared" si="7"/>
        <v>1269.396275820892</v>
      </c>
    </row>
    <row r="31" spans="1:26" ht="13.5" customHeight="1" thickBot="1">
      <c r="A31" s="191" t="s">
        <v>11</v>
      </c>
      <c r="B31" s="201">
        <f>'W-BT Mielies vermin till'!F33</f>
        <v>289</v>
      </c>
      <c r="C31" s="174"/>
      <c r="D31" s="206"/>
      <c r="E31" s="57">
        <f>E30+0.5</f>
        <v>6.5</v>
      </c>
      <c r="F31" s="58">
        <f>F$13-($B$26/$E31)</f>
        <v>-941.0818992422535</v>
      </c>
      <c r="G31" s="58">
        <f>G$13-($B$26/$E31)</f>
        <v>-691.0818992422535</v>
      </c>
      <c r="H31" s="58">
        <f t="shared" si="6"/>
        <v>-441.0818992422535</v>
      </c>
      <c r="I31" s="58">
        <f t="shared" si="6"/>
        <v>-191.08189924225348</v>
      </c>
      <c r="J31" s="58">
        <f t="shared" si="6"/>
        <v>58.918100757746515</v>
      </c>
      <c r="K31" s="58">
        <f t="shared" si="6"/>
        <v>308.9181007577465</v>
      </c>
      <c r="L31" s="58">
        <f t="shared" si="6"/>
        <v>558.9181007577465</v>
      </c>
      <c r="M31" s="58">
        <f t="shared" si="6"/>
        <v>808.9181007577465</v>
      </c>
      <c r="N31" s="58">
        <f>N$13-($B$26/$E31)</f>
        <v>1058.9181007577465</v>
      </c>
      <c r="P31" s="206"/>
      <c r="Q31" s="57">
        <f>Q30+0.5</f>
        <v>6.5</v>
      </c>
      <c r="R31" s="58">
        <f>R$13-($B$24/$E31)</f>
        <v>-596.6342069345612</v>
      </c>
      <c r="S31" s="58">
        <f>S$13-($B$24/$E31)</f>
        <v>-346.63420693456123</v>
      </c>
      <c r="T31" s="58">
        <f t="shared" si="7"/>
        <v>-96.63420693456123</v>
      </c>
      <c r="U31" s="58">
        <f t="shared" si="7"/>
        <v>153.36579306543877</v>
      </c>
      <c r="V31" s="58">
        <f t="shared" si="7"/>
        <v>403.36579306543877</v>
      </c>
      <c r="W31" s="58">
        <f t="shared" si="7"/>
        <v>653.3657930654388</v>
      </c>
      <c r="X31" s="58">
        <f t="shared" si="7"/>
        <v>903.3657930654388</v>
      </c>
      <c r="Y31" s="58">
        <f t="shared" si="7"/>
        <v>1153.3657930654388</v>
      </c>
      <c r="Z31" s="58">
        <f t="shared" si="7"/>
        <v>1403.3657930654388</v>
      </c>
    </row>
    <row r="32" spans="1:24" ht="13.5" customHeight="1">
      <c r="A32" s="176" t="s">
        <v>12</v>
      </c>
      <c r="B32" s="202">
        <f>B30-B31</f>
        <v>2011</v>
      </c>
      <c r="C32" s="174"/>
      <c r="D32" s="71"/>
      <c r="E32" s="72"/>
      <c r="F32" s="73"/>
      <c r="G32" s="73"/>
      <c r="H32" s="73"/>
      <c r="I32" s="73"/>
      <c r="J32" s="73"/>
      <c r="K32" s="73"/>
      <c r="L32" s="73"/>
      <c r="P32" s="71"/>
      <c r="Q32" s="72"/>
      <c r="R32" s="73"/>
      <c r="S32" s="73"/>
      <c r="T32" s="73"/>
      <c r="U32" s="73"/>
      <c r="V32" s="73"/>
      <c r="W32" s="73"/>
      <c r="X32" s="73"/>
    </row>
    <row r="33" spans="1:24" ht="13.5" customHeight="1">
      <c r="A33" s="176"/>
      <c r="B33" s="175"/>
      <c r="C33" s="174"/>
      <c r="D33" s="71"/>
      <c r="E33" s="72"/>
      <c r="F33" s="73"/>
      <c r="G33" s="73"/>
      <c r="H33" s="73"/>
      <c r="I33" s="73"/>
      <c r="J33" s="73"/>
      <c r="K33" s="73"/>
      <c r="L33" s="73"/>
      <c r="P33" s="71"/>
      <c r="Q33" s="72"/>
      <c r="R33" s="73"/>
      <c r="S33" s="73"/>
      <c r="T33" s="73"/>
      <c r="U33" s="73"/>
      <c r="V33" s="73"/>
      <c r="W33" s="73"/>
      <c r="X33" s="73"/>
    </row>
    <row r="34" spans="4:24" ht="13.5" customHeight="1">
      <c r="D34" s="71"/>
      <c r="E34" s="72"/>
      <c r="F34" s="73"/>
      <c r="G34" s="73"/>
      <c r="H34" s="73"/>
      <c r="I34" s="73"/>
      <c r="J34" s="73"/>
      <c r="K34" s="73"/>
      <c r="L34" s="73"/>
      <c r="P34" s="71"/>
      <c r="Q34" s="72"/>
      <c r="R34" s="73"/>
      <c r="S34" s="73"/>
      <c r="T34" s="73"/>
      <c r="U34" s="73"/>
      <c r="V34" s="73"/>
      <c r="W34" s="73"/>
      <c r="X34" s="73"/>
    </row>
    <row r="35" spans="1:2" ht="13.5" customHeight="1" thickBot="1">
      <c r="A35" s="214"/>
      <c r="B35" s="214"/>
    </row>
    <row r="36" spans="1:26" ht="19.5" customHeight="1" thickBot="1">
      <c r="A36" s="199" t="s">
        <v>57</v>
      </c>
      <c r="B36" s="200"/>
      <c r="C36" s="173"/>
      <c r="D36" s="207" t="s">
        <v>74</v>
      </c>
      <c r="E36" s="208"/>
      <c r="F36" s="208"/>
      <c r="G36" s="208"/>
      <c r="H36" s="208"/>
      <c r="I36" s="208"/>
      <c r="J36" s="208"/>
      <c r="K36" s="208"/>
      <c r="L36" s="208"/>
      <c r="M36" s="208"/>
      <c r="N36" s="209"/>
      <c r="P36" s="207" t="s">
        <v>75</v>
      </c>
      <c r="Q36" s="208"/>
      <c r="R36" s="208"/>
      <c r="S36" s="208"/>
      <c r="T36" s="208"/>
      <c r="U36" s="208"/>
      <c r="V36" s="208"/>
      <c r="W36" s="208"/>
      <c r="X36" s="208"/>
      <c r="Y36" s="208"/>
      <c r="Z36" s="209"/>
    </row>
    <row r="37" spans="1:26" ht="13.5" customHeight="1" thickBot="1">
      <c r="A37" s="188" t="s">
        <v>3</v>
      </c>
      <c r="B37" s="201">
        <f>INDEX(Sojabone!K9:M14,MATCH($B$41,Sojaopbrengspeil,0),2)</f>
        <v>7126.018588405135</v>
      </c>
      <c r="C37" s="177"/>
      <c r="D37" s="45"/>
      <c r="E37" s="46"/>
      <c r="F37" s="47"/>
      <c r="G37" s="48"/>
      <c r="H37" s="47"/>
      <c r="I37" s="47"/>
      <c r="J37" s="47" t="s">
        <v>13</v>
      </c>
      <c r="K37" s="49"/>
      <c r="L37" s="47"/>
      <c r="M37" s="49"/>
      <c r="N37" s="47"/>
      <c r="P37" s="45"/>
      <c r="Q37" s="46"/>
      <c r="R37" s="47"/>
      <c r="S37" s="48"/>
      <c r="T37" s="47"/>
      <c r="U37" s="47"/>
      <c r="V37" s="47" t="s">
        <v>13</v>
      </c>
      <c r="W37" s="49"/>
      <c r="X37" s="47"/>
      <c r="Y37" s="49"/>
      <c r="Z37" s="47"/>
    </row>
    <row r="38" spans="1:26" ht="13.5" customHeight="1" thickBot="1">
      <c r="A38" s="188" t="s">
        <v>5</v>
      </c>
      <c r="B38" s="201">
        <f>INDEX(Sojabone!K9:M14,MATCH($B$41,Sojaopbrengspeil,0),3)</f>
        <v>2134.55</v>
      </c>
      <c r="C38" s="177"/>
      <c r="D38" s="207" t="s">
        <v>6</v>
      </c>
      <c r="E38" s="209"/>
      <c r="F38" s="52">
        <f>G38-200</f>
        <v>3950</v>
      </c>
      <c r="G38" s="52">
        <f>H38-200</f>
        <v>4150</v>
      </c>
      <c r="H38" s="52">
        <f>I38-200</f>
        <v>4350</v>
      </c>
      <c r="I38" s="52">
        <f>J38-200</f>
        <v>4550</v>
      </c>
      <c r="J38" s="51">
        <f>B43</f>
        <v>4750</v>
      </c>
      <c r="K38" s="52">
        <f>J38+200</f>
        <v>4950</v>
      </c>
      <c r="L38" s="52">
        <f>K38+200</f>
        <v>5150</v>
      </c>
      <c r="M38" s="52">
        <f>L38+200</f>
        <v>5350</v>
      </c>
      <c r="N38" s="52">
        <f>M38+200</f>
        <v>5550</v>
      </c>
      <c r="P38" s="207" t="s">
        <v>6</v>
      </c>
      <c r="Q38" s="209"/>
      <c r="R38" s="52">
        <f>S38-200</f>
        <v>3950</v>
      </c>
      <c r="S38" s="52">
        <f>T38-200</f>
        <v>4150</v>
      </c>
      <c r="T38" s="52">
        <f>U38-200</f>
        <v>4350</v>
      </c>
      <c r="U38" s="52">
        <f>V38-200</f>
        <v>4550</v>
      </c>
      <c r="V38" s="53">
        <f>J38</f>
        <v>4750</v>
      </c>
      <c r="W38" s="52">
        <f>V38+200</f>
        <v>4950</v>
      </c>
      <c r="X38" s="52">
        <f>W38+200</f>
        <v>5150</v>
      </c>
      <c r="Y38" s="52">
        <f>X38+200</f>
        <v>5350</v>
      </c>
      <c r="Z38" s="52">
        <f>Y38+200</f>
        <v>5550</v>
      </c>
    </row>
    <row r="39" spans="1:26" ht="13.5" customHeight="1" thickBot="1">
      <c r="A39" s="189" t="s">
        <v>7</v>
      </c>
      <c r="B39" s="202">
        <f>B38+B37</f>
        <v>9260.568588405135</v>
      </c>
      <c r="C39" s="178"/>
      <c r="D39" s="210" t="s">
        <v>8</v>
      </c>
      <c r="E39" s="211"/>
      <c r="F39" s="76">
        <f aca="true" t="shared" si="8" ref="F39:N39">F38-$B$44</f>
        <v>3887</v>
      </c>
      <c r="G39" s="54">
        <f t="shared" si="8"/>
        <v>4087</v>
      </c>
      <c r="H39" s="54">
        <f t="shared" si="8"/>
        <v>4287</v>
      </c>
      <c r="I39" s="54">
        <f t="shared" si="8"/>
        <v>4487</v>
      </c>
      <c r="J39" s="56">
        <f t="shared" si="8"/>
        <v>4687</v>
      </c>
      <c r="K39" s="54">
        <f t="shared" si="8"/>
        <v>4887</v>
      </c>
      <c r="L39" s="54">
        <f t="shared" si="8"/>
        <v>5087</v>
      </c>
      <c r="M39" s="54">
        <f t="shared" si="8"/>
        <v>5287</v>
      </c>
      <c r="N39" s="54">
        <f t="shared" si="8"/>
        <v>5487</v>
      </c>
      <c r="P39" s="210" t="s">
        <v>8</v>
      </c>
      <c r="Q39" s="211"/>
      <c r="R39" s="54">
        <f aca="true" t="shared" si="9" ref="R39:Z39">R38-$B$44</f>
        <v>3887</v>
      </c>
      <c r="S39" s="54">
        <f t="shared" si="9"/>
        <v>4087</v>
      </c>
      <c r="T39" s="54">
        <f t="shared" si="9"/>
        <v>4287</v>
      </c>
      <c r="U39" s="54">
        <f t="shared" si="9"/>
        <v>4487</v>
      </c>
      <c r="V39" s="56">
        <f t="shared" si="9"/>
        <v>4687</v>
      </c>
      <c r="W39" s="54">
        <f t="shared" si="9"/>
        <v>4887</v>
      </c>
      <c r="X39" s="54">
        <f t="shared" si="9"/>
        <v>5087</v>
      </c>
      <c r="Y39" s="54">
        <f t="shared" si="9"/>
        <v>5287</v>
      </c>
      <c r="Z39" s="54">
        <f t="shared" si="9"/>
        <v>5487</v>
      </c>
    </row>
    <row r="40" spans="1:26" ht="13.5" customHeight="1" thickBot="1">
      <c r="A40" s="188"/>
      <c r="B40" s="174"/>
      <c r="C40" s="179"/>
      <c r="D40" s="204" t="s">
        <v>9</v>
      </c>
      <c r="E40" s="57">
        <f>E41-0.25</f>
        <v>1.5</v>
      </c>
      <c r="F40" s="58">
        <f>F$39-($B$39/$E40)</f>
        <v>-2286.7123922700894</v>
      </c>
      <c r="G40" s="59">
        <f aca="true" t="shared" si="10" ref="F40:N44">G$39-($B$39/$E40)</f>
        <v>-2086.7123922700894</v>
      </c>
      <c r="H40" s="59">
        <f t="shared" si="10"/>
        <v>-1886.7123922700894</v>
      </c>
      <c r="I40" s="59">
        <f t="shared" si="10"/>
        <v>-1686.7123922700894</v>
      </c>
      <c r="J40" s="59">
        <f t="shared" si="10"/>
        <v>-1486.7123922700894</v>
      </c>
      <c r="K40" s="59">
        <f t="shared" si="10"/>
        <v>-1286.7123922700894</v>
      </c>
      <c r="L40" s="59">
        <f t="shared" si="10"/>
        <v>-1086.7123922700894</v>
      </c>
      <c r="M40" s="60">
        <f t="shared" si="10"/>
        <v>-886.7123922700894</v>
      </c>
      <c r="N40" s="61">
        <f t="shared" si="10"/>
        <v>-686.7123922700894</v>
      </c>
      <c r="P40" s="204" t="s">
        <v>9</v>
      </c>
      <c r="Q40" s="57">
        <f>Q41-0.25</f>
        <v>1.5</v>
      </c>
      <c r="R40" s="58">
        <f>R$39-($B$37/$E40)</f>
        <v>-863.6790589367565</v>
      </c>
      <c r="S40" s="58">
        <f aca="true" t="shared" si="11" ref="S40:Z40">S$39-($B$37/$E40)</f>
        <v>-663.6790589367565</v>
      </c>
      <c r="T40" s="58">
        <f t="shared" si="11"/>
        <v>-463.6790589367565</v>
      </c>
      <c r="U40" s="58">
        <f t="shared" si="11"/>
        <v>-263.6790589367565</v>
      </c>
      <c r="V40" s="58">
        <f t="shared" si="11"/>
        <v>-63.67905893675652</v>
      </c>
      <c r="W40" s="58">
        <f t="shared" si="11"/>
        <v>136.32094106324348</v>
      </c>
      <c r="X40" s="58">
        <f t="shared" si="11"/>
        <v>336.3209410632435</v>
      </c>
      <c r="Y40" s="58">
        <f t="shared" si="11"/>
        <v>536.3209410632435</v>
      </c>
      <c r="Z40" s="58">
        <f t="shared" si="11"/>
        <v>736.3209410632435</v>
      </c>
    </row>
    <row r="41" spans="1:26" ht="13.5" customHeight="1" thickBot="1">
      <c r="A41" s="188" t="s">
        <v>10</v>
      </c>
      <c r="B41" s="190">
        <f>Sojabone!F5</f>
        <v>2</v>
      </c>
      <c r="C41" s="180"/>
      <c r="D41" s="205"/>
      <c r="E41" s="57">
        <f>E42-0.25</f>
        <v>1.75</v>
      </c>
      <c r="F41" s="62">
        <f t="shared" si="10"/>
        <v>-1404.7534790886484</v>
      </c>
      <c r="G41" s="63">
        <f t="shared" si="10"/>
        <v>-1204.7534790886484</v>
      </c>
      <c r="H41" s="63">
        <f t="shared" si="10"/>
        <v>-1004.7534790886484</v>
      </c>
      <c r="I41" s="63">
        <f t="shared" si="10"/>
        <v>-804.7534790886484</v>
      </c>
      <c r="J41" s="63">
        <f t="shared" si="10"/>
        <v>-604.7534790886484</v>
      </c>
      <c r="K41" s="64">
        <f t="shared" si="10"/>
        <v>-404.7534790886484</v>
      </c>
      <c r="L41" s="64">
        <f t="shared" si="10"/>
        <v>-204.75347908864842</v>
      </c>
      <c r="M41" s="64">
        <f t="shared" si="10"/>
        <v>-4.753479088648419</v>
      </c>
      <c r="N41" s="65">
        <f t="shared" si="10"/>
        <v>195.24652091135158</v>
      </c>
      <c r="P41" s="205"/>
      <c r="Q41" s="57">
        <f>Q42-0.25</f>
        <v>1.75</v>
      </c>
      <c r="R41" s="58">
        <f aca="true" t="shared" si="12" ref="R41:Z44">R$39-($B$37/$E41)</f>
        <v>-185.01062194579163</v>
      </c>
      <c r="S41" s="58">
        <f t="shared" si="12"/>
        <v>14.989378054208373</v>
      </c>
      <c r="T41" s="58">
        <f t="shared" si="12"/>
        <v>214.98937805420837</v>
      </c>
      <c r="U41" s="58">
        <f t="shared" si="12"/>
        <v>414.9893780542084</v>
      </c>
      <c r="V41" s="58">
        <f t="shared" si="12"/>
        <v>614.9893780542084</v>
      </c>
      <c r="W41" s="58">
        <f t="shared" si="12"/>
        <v>814.9893780542084</v>
      </c>
      <c r="X41" s="58">
        <f t="shared" si="12"/>
        <v>1014.9893780542084</v>
      </c>
      <c r="Y41" s="58">
        <f t="shared" si="12"/>
        <v>1214.9893780542084</v>
      </c>
      <c r="Z41" s="58">
        <f t="shared" si="12"/>
        <v>1414.9893780542084</v>
      </c>
    </row>
    <row r="42" spans="1:26" ht="13.5" customHeight="1" thickBot="1">
      <c r="A42" s="188"/>
      <c r="B42" s="174"/>
      <c r="C42" s="179"/>
      <c r="D42" s="205"/>
      <c r="E42" s="66">
        <f>B41</f>
        <v>2</v>
      </c>
      <c r="F42" s="62">
        <f t="shared" si="10"/>
        <v>-743.2842942025673</v>
      </c>
      <c r="G42" s="63">
        <f t="shared" si="10"/>
        <v>-543.2842942025673</v>
      </c>
      <c r="H42" s="63">
        <f t="shared" si="10"/>
        <v>-343.28429420256725</v>
      </c>
      <c r="I42" s="63">
        <f t="shared" si="10"/>
        <v>-143.28429420256725</v>
      </c>
      <c r="J42" s="64">
        <f t="shared" si="10"/>
        <v>56.71570579743275</v>
      </c>
      <c r="K42" s="64">
        <f t="shared" si="10"/>
        <v>256.71570579743275</v>
      </c>
      <c r="L42" s="64">
        <f t="shared" si="10"/>
        <v>456.71570579743275</v>
      </c>
      <c r="M42" s="64">
        <f t="shared" si="10"/>
        <v>656.7157057974327</v>
      </c>
      <c r="N42" s="65">
        <f t="shared" si="10"/>
        <v>856.7157057974327</v>
      </c>
      <c r="P42" s="205"/>
      <c r="Q42" s="66">
        <f>E42</f>
        <v>2</v>
      </c>
      <c r="R42" s="58">
        <f>R$39-($B$37/$E42)</f>
        <v>323.9907057974324</v>
      </c>
      <c r="S42" s="58">
        <f t="shared" si="12"/>
        <v>523.9907057974324</v>
      </c>
      <c r="T42" s="58">
        <f t="shared" si="12"/>
        <v>723.9907057974324</v>
      </c>
      <c r="U42" s="58">
        <f t="shared" si="12"/>
        <v>923.9907057974324</v>
      </c>
      <c r="V42" s="58">
        <f t="shared" si="12"/>
        <v>1123.9907057974324</v>
      </c>
      <c r="W42" s="58">
        <f t="shared" si="12"/>
        <v>1323.9907057974324</v>
      </c>
      <c r="X42" s="58">
        <f t="shared" si="12"/>
        <v>1523.9907057974324</v>
      </c>
      <c r="Y42" s="58">
        <f t="shared" si="12"/>
        <v>1723.9907057974324</v>
      </c>
      <c r="Z42" s="58">
        <f t="shared" si="12"/>
        <v>1923.9907057974324</v>
      </c>
    </row>
    <row r="43" spans="1:26" ht="13.5" customHeight="1" thickBot="1">
      <c r="A43" s="188" t="s">
        <v>121</v>
      </c>
      <c r="B43" s="201">
        <f>B5</f>
        <v>4750</v>
      </c>
      <c r="C43" s="179"/>
      <c r="D43" s="205"/>
      <c r="E43" s="57">
        <f>E42+0.25</f>
        <v>2.25</v>
      </c>
      <c r="F43" s="62">
        <f t="shared" si="10"/>
        <v>-228.80826151339352</v>
      </c>
      <c r="G43" s="63">
        <f t="shared" si="10"/>
        <v>-28.808261513393518</v>
      </c>
      <c r="H43" s="63">
        <f t="shared" si="10"/>
        <v>171.19173848660648</v>
      </c>
      <c r="I43" s="64">
        <f t="shared" si="10"/>
        <v>371.1917384866065</v>
      </c>
      <c r="J43" s="64">
        <f t="shared" si="10"/>
        <v>571.1917384866065</v>
      </c>
      <c r="K43" s="64">
        <f t="shared" si="10"/>
        <v>771.1917384866065</v>
      </c>
      <c r="L43" s="64">
        <f t="shared" si="10"/>
        <v>971.1917384866065</v>
      </c>
      <c r="M43" s="64">
        <f t="shared" si="10"/>
        <v>1171.1917384866065</v>
      </c>
      <c r="N43" s="65">
        <f t="shared" si="10"/>
        <v>1371.1917384866065</v>
      </c>
      <c r="P43" s="205"/>
      <c r="Q43" s="57">
        <f>Q42+0.25</f>
        <v>2.25</v>
      </c>
      <c r="R43" s="58">
        <f t="shared" si="12"/>
        <v>719.8806273754954</v>
      </c>
      <c r="S43" s="58">
        <f t="shared" si="12"/>
        <v>919.8806273754954</v>
      </c>
      <c r="T43" s="58">
        <f t="shared" si="12"/>
        <v>1119.8806273754954</v>
      </c>
      <c r="U43" s="58">
        <f t="shared" si="12"/>
        <v>1319.8806273754954</v>
      </c>
      <c r="V43" s="58">
        <f t="shared" si="12"/>
        <v>1519.8806273754954</v>
      </c>
      <c r="W43" s="58">
        <f t="shared" si="12"/>
        <v>1719.8806273754954</v>
      </c>
      <c r="X43" s="58">
        <f t="shared" si="12"/>
        <v>1919.8806273754954</v>
      </c>
      <c r="Y43" s="58">
        <f t="shared" si="12"/>
        <v>2119.8806273754954</v>
      </c>
      <c r="Z43" s="58">
        <f t="shared" si="12"/>
        <v>2319.8806273754954</v>
      </c>
    </row>
    <row r="44" spans="1:26" ht="13.5" customHeight="1" thickBot="1">
      <c r="A44" s="191" t="s">
        <v>11</v>
      </c>
      <c r="B44" s="201">
        <f>Sojabone!F33</f>
        <v>63</v>
      </c>
      <c r="C44" s="181"/>
      <c r="D44" s="206"/>
      <c r="E44" s="57">
        <f>E43+0.25</f>
        <v>2.5</v>
      </c>
      <c r="F44" s="67">
        <f t="shared" si="10"/>
        <v>182.7725646379463</v>
      </c>
      <c r="G44" s="68">
        <f>G$39-($B$39/$E44)</f>
        <v>382.7725646379463</v>
      </c>
      <c r="H44" s="69">
        <f t="shared" si="10"/>
        <v>582.7725646379463</v>
      </c>
      <c r="I44" s="69">
        <f t="shared" si="10"/>
        <v>782.7725646379463</v>
      </c>
      <c r="J44" s="69">
        <f t="shared" si="10"/>
        <v>982.7725646379463</v>
      </c>
      <c r="K44" s="69">
        <f t="shared" si="10"/>
        <v>1182.7725646379463</v>
      </c>
      <c r="L44" s="69">
        <f t="shared" si="10"/>
        <v>1382.7725646379463</v>
      </c>
      <c r="M44" s="69">
        <f>M$39-($B$39/$E44)</f>
        <v>1582.7725646379463</v>
      </c>
      <c r="N44" s="70">
        <f>N$39-($B$39/$E44)</f>
        <v>1782.7725646379463</v>
      </c>
      <c r="P44" s="206"/>
      <c r="Q44" s="57">
        <f>Q43+0.25</f>
        <v>2.5</v>
      </c>
      <c r="R44" s="58">
        <f t="shared" si="12"/>
        <v>1036.592564637946</v>
      </c>
      <c r="S44" s="58">
        <f>S$39-($B$37/$E44)</f>
        <v>1236.592564637946</v>
      </c>
      <c r="T44" s="58">
        <f t="shared" si="12"/>
        <v>1436.592564637946</v>
      </c>
      <c r="U44" s="58">
        <f t="shared" si="12"/>
        <v>1636.592564637946</v>
      </c>
      <c r="V44" s="58">
        <f t="shared" si="12"/>
        <v>1836.592564637946</v>
      </c>
      <c r="W44" s="58">
        <f t="shared" si="12"/>
        <v>2036.592564637946</v>
      </c>
      <c r="X44" s="58">
        <f t="shared" si="12"/>
        <v>2236.592564637946</v>
      </c>
      <c r="Y44" s="58">
        <f t="shared" si="12"/>
        <v>2436.592564637946</v>
      </c>
      <c r="Z44" s="58">
        <f t="shared" si="12"/>
        <v>2636.592564637946</v>
      </c>
    </row>
    <row r="45" spans="1:3" ht="13.5" customHeight="1">
      <c r="A45" s="176" t="s">
        <v>12</v>
      </c>
      <c r="B45" s="202">
        <f>B43-B44</f>
        <v>4687</v>
      </c>
      <c r="C45" s="181"/>
    </row>
    <row r="46" ht="13.5" customHeight="1"/>
    <row r="47" ht="13.5" customHeight="1"/>
    <row r="48" spans="1:2" ht="31.5" customHeight="1" thickBot="1">
      <c r="A48" s="213"/>
      <c r="B48" s="213"/>
    </row>
    <row r="49" spans="1:26" ht="19.5" customHeight="1" thickBot="1">
      <c r="A49" s="199" t="s">
        <v>58</v>
      </c>
      <c r="B49" s="200"/>
      <c r="C49" s="173"/>
      <c r="D49" s="207" t="s">
        <v>74</v>
      </c>
      <c r="E49" s="208"/>
      <c r="F49" s="208"/>
      <c r="G49" s="208"/>
      <c r="H49" s="208"/>
      <c r="I49" s="208"/>
      <c r="J49" s="208"/>
      <c r="K49" s="208"/>
      <c r="L49" s="208"/>
      <c r="M49" s="208"/>
      <c r="N49" s="209"/>
      <c r="P49" s="207" t="s">
        <v>75</v>
      </c>
      <c r="Q49" s="208"/>
      <c r="R49" s="208"/>
      <c r="S49" s="208"/>
      <c r="T49" s="208"/>
      <c r="U49" s="208"/>
      <c r="V49" s="208"/>
      <c r="W49" s="208"/>
      <c r="X49" s="208"/>
      <c r="Y49" s="208"/>
      <c r="Z49" s="209"/>
    </row>
    <row r="50" spans="1:26" ht="13.5" customHeight="1" thickBot="1">
      <c r="A50" s="188" t="s">
        <v>3</v>
      </c>
      <c r="B50" s="201">
        <f>INDEX('Sojabone verminderde bewerking'!K9:M14,MATCH($B$54,Sojaverminopbrengspeil,0),2)</f>
        <v>6061.552241642982</v>
      </c>
      <c r="C50" s="177"/>
      <c r="D50" s="45"/>
      <c r="E50" s="46"/>
      <c r="F50" s="47"/>
      <c r="G50" s="48"/>
      <c r="H50" s="47"/>
      <c r="I50" s="47"/>
      <c r="J50" s="47" t="s">
        <v>13</v>
      </c>
      <c r="K50" s="49"/>
      <c r="L50" s="47"/>
      <c r="M50" s="49"/>
      <c r="N50" s="47"/>
      <c r="P50" s="45"/>
      <c r="Q50" s="46"/>
      <c r="R50" s="47"/>
      <c r="S50" s="48"/>
      <c r="T50" s="47"/>
      <c r="U50" s="47"/>
      <c r="V50" s="47" t="s">
        <v>13</v>
      </c>
      <c r="W50" s="49"/>
      <c r="X50" s="47"/>
      <c r="Y50" s="49"/>
      <c r="Z50" s="47"/>
    </row>
    <row r="51" spans="1:26" ht="13.5" customHeight="1" thickBot="1">
      <c r="A51" s="188" t="s">
        <v>5</v>
      </c>
      <c r="B51" s="201">
        <f>INDEX('Sojabone verminderde bewerking'!K9:M14,MATCH($B$54,Sojaverminopbrengspeil,0),3)</f>
        <v>1508.6276238136477</v>
      </c>
      <c r="C51" s="177"/>
      <c r="D51" s="207" t="s">
        <v>6</v>
      </c>
      <c r="E51" s="209"/>
      <c r="F51" s="52">
        <f>G51-200</f>
        <v>3950</v>
      </c>
      <c r="G51" s="52">
        <f>H51-200</f>
        <v>4150</v>
      </c>
      <c r="H51" s="52">
        <f>I51-200</f>
        <v>4350</v>
      </c>
      <c r="I51" s="52">
        <f>J51-200</f>
        <v>4550</v>
      </c>
      <c r="J51" s="51">
        <f>B56</f>
        <v>4750</v>
      </c>
      <c r="K51" s="52">
        <f>J51+200</f>
        <v>4950</v>
      </c>
      <c r="L51" s="52">
        <f>K51+200</f>
        <v>5150</v>
      </c>
      <c r="M51" s="52">
        <f>L51+200</f>
        <v>5350</v>
      </c>
      <c r="N51" s="52">
        <f>M51+200</f>
        <v>5550</v>
      </c>
      <c r="P51" s="207" t="s">
        <v>6</v>
      </c>
      <c r="Q51" s="209"/>
      <c r="R51" s="52">
        <f>S51-200</f>
        <v>3950</v>
      </c>
      <c r="S51" s="52">
        <f>T51-200</f>
        <v>4150</v>
      </c>
      <c r="T51" s="52">
        <f>U51-200</f>
        <v>4350</v>
      </c>
      <c r="U51" s="52">
        <f>V51-200</f>
        <v>4550</v>
      </c>
      <c r="V51" s="51">
        <f>J51</f>
        <v>4750</v>
      </c>
      <c r="W51" s="52">
        <f>V51+200</f>
        <v>4950</v>
      </c>
      <c r="X51" s="52">
        <f>W51+200</f>
        <v>5150</v>
      </c>
      <c r="Y51" s="52">
        <f>X51+200</f>
        <v>5350</v>
      </c>
      <c r="Z51" s="52">
        <f>Y51+200</f>
        <v>5550</v>
      </c>
    </row>
    <row r="52" spans="1:26" ht="13.5" customHeight="1" thickBot="1">
      <c r="A52" s="189" t="s">
        <v>7</v>
      </c>
      <c r="B52" s="202">
        <f>B51+B50</f>
        <v>7570.17986545663</v>
      </c>
      <c r="C52" s="178"/>
      <c r="D52" s="210" t="s">
        <v>8</v>
      </c>
      <c r="E52" s="211"/>
      <c r="F52" s="76">
        <f>F51-$B$44</f>
        <v>3887</v>
      </c>
      <c r="G52" s="54">
        <f aca="true" t="shared" si="13" ref="G52:N52">G51-$B$44</f>
        <v>4087</v>
      </c>
      <c r="H52" s="54">
        <f t="shared" si="13"/>
        <v>4287</v>
      </c>
      <c r="I52" s="54">
        <f t="shared" si="13"/>
        <v>4487</v>
      </c>
      <c r="J52" s="56">
        <f t="shared" si="13"/>
        <v>4687</v>
      </c>
      <c r="K52" s="54">
        <f t="shared" si="13"/>
        <v>4887</v>
      </c>
      <c r="L52" s="54">
        <f t="shared" si="13"/>
        <v>5087</v>
      </c>
      <c r="M52" s="54">
        <f t="shared" si="13"/>
        <v>5287</v>
      </c>
      <c r="N52" s="54">
        <f t="shared" si="13"/>
        <v>5487</v>
      </c>
      <c r="P52" s="210" t="s">
        <v>8</v>
      </c>
      <c r="Q52" s="211"/>
      <c r="R52" s="54">
        <f aca="true" t="shared" si="14" ref="R52:Z52">R51-$B$44</f>
        <v>3887</v>
      </c>
      <c r="S52" s="54">
        <f t="shared" si="14"/>
        <v>4087</v>
      </c>
      <c r="T52" s="54">
        <f t="shared" si="14"/>
        <v>4287</v>
      </c>
      <c r="U52" s="54">
        <f t="shared" si="14"/>
        <v>4487</v>
      </c>
      <c r="V52" s="103">
        <f>V51-$B$44</f>
        <v>4687</v>
      </c>
      <c r="W52" s="54">
        <f t="shared" si="14"/>
        <v>4887</v>
      </c>
      <c r="X52" s="54">
        <f t="shared" si="14"/>
        <v>5087</v>
      </c>
      <c r="Y52" s="54">
        <f t="shared" si="14"/>
        <v>5287</v>
      </c>
      <c r="Z52" s="54">
        <f t="shared" si="14"/>
        <v>5487</v>
      </c>
    </row>
    <row r="53" spans="1:26" ht="13.5" customHeight="1" thickBot="1">
      <c r="A53" s="188"/>
      <c r="B53" s="174"/>
      <c r="C53" s="179"/>
      <c r="D53" s="204" t="s">
        <v>9</v>
      </c>
      <c r="E53" s="57">
        <f>E54-0.25</f>
        <v>1.5</v>
      </c>
      <c r="F53" s="58">
        <f>F$39-($B$52/$E53)</f>
        <v>-1159.786576971087</v>
      </c>
      <c r="G53" s="58">
        <f aca="true" t="shared" si="15" ref="G53:N57">G$39-($B$52/$E53)</f>
        <v>-959.786576971087</v>
      </c>
      <c r="H53" s="58">
        <f t="shared" si="15"/>
        <v>-759.786576971087</v>
      </c>
      <c r="I53" s="58">
        <f t="shared" si="15"/>
        <v>-559.786576971087</v>
      </c>
      <c r="J53" s="58">
        <f t="shared" si="15"/>
        <v>-359.786576971087</v>
      </c>
      <c r="K53" s="58">
        <f t="shared" si="15"/>
        <v>-159.78657697108702</v>
      </c>
      <c r="L53" s="58">
        <f t="shared" si="15"/>
        <v>40.213423028912985</v>
      </c>
      <c r="M53" s="58">
        <f t="shared" si="15"/>
        <v>240.21342302891298</v>
      </c>
      <c r="N53" s="58">
        <f t="shared" si="15"/>
        <v>440.213423028913</v>
      </c>
      <c r="P53" s="204" t="s">
        <v>9</v>
      </c>
      <c r="Q53" s="57">
        <f>Q54-0.25</f>
        <v>1.5</v>
      </c>
      <c r="R53" s="58">
        <f>R$39-($B$50/$E53)</f>
        <v>-154.03482776198825</v>
      </c>
      <c r="S53" s="58">
        <f aca="true" t="shared" si="16" ref="S53:Z57">S$39-($B$50/$E53)</f>
        <v>45.965172238011746</v>
      </c>
      <c r="T53" s="58">
        <f t="shared" si="16"/>
        <v>245.96517223801175</v>
      </c>
      <c r="U53" s="58">
        <f t="shared" si="16"/>
        <v>445.96517223801175</v>
      </c>
      <c r="V53" s="58">
        <f t="shared" si="16"/>
        <v>645.9651722380117</v>
      </c>
      <c r="W53" s="58">
        <f t="shared" si="16"/>
        <v>845.9651722380117</v>
      </c>
      <c r="X53" s="58">
        <f t="shared" si="16"/>
        <v>1045.9651722380117</v>
      </c>
      <c r="Y53" s="58">
        <f t="shared" si="16"/>
        <v>1245.9651722380117</v>
      </c>
      <c r="Z53" s="58">
        <f t="shared" si="16"/>
        <v>1445.9651722380117</v>
      </c>
    </row>
    <row r="54" spans="1:26" ht="13.5" customHeight="1" thickBot="1">
      <c r="A54" s="188" t="s">
        <v>10</v>
      </c>
      <c r="B54" s="190">
        <f>'Sojabone verminderde bewerking'!F5</f>
        <v>2</v>
      </c>
      <c r="C54" s="180"/>
      <c r="D54" s="205"/>
      <c r="E54" s="57">
        <f>E55-0.25</f>
        <v>1.75</v>
      </c>
      <c r="F54" s="58">
        <f>F$39-($B$52/$E54)</f>
        <v>-438.8170659752168</v>
      </c>
      <c r="G54" s="58">
        <f t="shared" si="15"/>
        <v>-238.8170659752168</v>
      </c>
      <c r="H54" s="58">
        <f t="shared" si="15"/>
        <v>-38.81706597521679</v>
      </c>
      <c r="I54" s="58">
        <f t="shared" si="15"/>
        <v>161.1829340247832</v>
      </c>
      <c r="J54" s="58">
        <f t="shared" si="15"/>
        <v>361.1829340247832</v>
      </c>
      <c r="K54" s="58">
        <f t="shared" si="15"/>
        <v>561.1829340247832</v>
      </c>
      <c r="L54" s="58">
        <f t="shared" si="15"/>
        <v>761.1829340247832</v>
      </c>
      <c r="M54" s="58">
        <f t="shared" si="15"/>
        <v>961.1829340247832</v>
      </c>
      <c r="N54" s="58">
        <f t="shared" si="15"/>
        <v>1161.1829340247832</v>
      </c>
      <c r="P54" s="205"/>
      <c r="Q54" s="57">
        <f>Q55-0.25</f>
        <v>1.75</v>
      </c>
      <c r="R54" s="58">
        <f>R$39-($B$50/$E54)</f>
        <v>423.255861918296</v>
      </c>
      <c r="S54" s="58">
        <f t="shared" si="16"/>
        <v>623.255861918296</v>
      </c>
      <c r="T54" s="58">
        <f t="shared" si="16"/>
        <v>823.255861918296</v>
      </c>
      <c r="U54" s="58">
        <f t="shared" si="16"/>
        <v>1023.255861918296</v>
      </c>
      <c r="V54" s="58">
        <f t="shared" si="16"/>
        <v>1223.255861918296</v>
      </c>
      <c r="W54" s="58">
        <f t="shared" si="16"/>
        <v>1423.255861918296</v>
      </c>
      <c r="X54" s="58">
        <f t="shared" si="16"/>
        <v>1623.255861918296</v>
      </c>
      <c r="Y54" s="58">
        <f t="shared" si="16"/>
        <v>1823.255861918296</v>
      </c>
      <c r="Z54" s="58">
        <f t="shared" si="16"/>
        <v>2023.255861918296</v>
      </c>
    </row>
    <row r="55" spans="1:26" ht="13.5" customHeight="1" thickBot="1">
      <c r="A55" s="188"/>
      <c r="B55" s="174"/>
      <c r="C55" s="179"/>
      <c r="D55" s="205"/>
      <c r="E55" s="66">
        <f>B54</f>
        <v>2</v>
      </c>
      <c r="F55" s="58">
        <f>F$39-($B$52/$E55)</f>
        <v>101.91006727168497</v>
      </c>
      <c r="G55" s="58">
        <f t="shared" si="15"/>
        <v>301.91006727168497</v>
      </c>
      <c r="H55" s="58">
        <f t="shared" si="15"/>
        <v>501.91006727168497</v>
      </c>
      <c r="I55" s="58">
        <f t="shared" si="15"/>
        <v>701.910067271685</v>
      </c>
      <c r="J55" s="58">
        <f t="shared" si="15"/>
        <v>901.910067271685</v>
      </c>
      <c r="K55" s="58">
        <f t="shared" si="15"/>
        <v>1101.910067271685</v>
      </c>
      <c r="L55" s="58">
        <f t="shared" si="15"/>
        <v>1301.910067271685</v>
      </c>
      <c r="M55" s="58">
        <f t="shared" si="15"/>
        <v>1501.910067271685</v>
      </c>
      <c r="N55" s="58">
        <f t="shared" si="15"/>
        <v>1701.910067271685</v>
      </c>
      <c r="P55" s="205"/>
      <c r="Q55" s="66">
        <f>E55</f>
        <v>2</v>
      </c>
      <c r="R55" s="58">
        <f>R$39-($B$50/$E55)</f>
        <v>856.2238791785089</v>
      </c>
      <c r="S55" s="58">
        <f t="shared" si="16"/>
        <v>1056.223879178509</v>
      </c>
      <c r="T55" s="58">
        <f t="shared" si="16"/>
        <v>1256.223879178509</v>
      </c>
      <c r="U55" s="58">
        <f t="shared" si="16"/>
        <v>1456.223879178509</v>
      </c>
      <c r="V55" s="58">
        <f t="shared" si="16"/>
        <v>1656.223879178509</v>
      </c>
      <c r="W55" s="58">
        <f t="shared" si="16"/>
        <v>1856.223879178509</v>
      </c>
      <c r="X55" s="58">
        <f t="shared" si="16"/>
        <v>2056.223879178509</v>
      </c>
      <c r="Y55" s="58">
        <f t="shared" si="16"/>
        <v>2256.223879178509</v>
      </c>
      <c r="Z55" s="58">
        <f t="shared" si="16"/>
        <v>2456.223879178509</v>
      </c>
    </row>
    <row r="56" spans="1:26" ht="13.5" customHeight="1" thickBot="1">
      <c r="A56" s="188" t="s">
        <v>122</v>
      </c>
      <c r="B56" s="201">
        <f>B5</f>
        <v>4750</v>
      </c>
      <c r="C56" s="179"/>
      <c r="D56" s="205"/>
      <c r="E56" s="57">
        <f>E55+0.25</f>
        <v>2.25</v>
      </c>
      <c r="F56" s="58">
        <f>F$39-($B$52/$E56)</f>
        <v>522.4756153526087</v>
      </c>
      <c r="G56" s="58">
        <f t="shared" si="15"/>
        <v>722.4756153526087</v>
      </c>
      <c r="H56" s="58">
        <f t="shared" si="15"/>
        <v>922.4756153526087</v>
      </c>
      <c r="I56" s="58">
        <f t="shared" si="15"/>
        <v>1122.4756153526087</v>
      </c>
      <c r="J56" s="58">
        <f t="shared" si="15"/>
        <v>1322.4756153526087</v>
      </c>
      <c r="K56" s="58">
        <f t="shared" si="15"/>
        <v>1522.4756153526087</v>
      </c>
      <c r="L56" s="58">
        <f t="shared" si="15"/>
        <v>1722.4756153526087</v>
      </c>
      <c r="M56" s="58">
        <f t="shared" si="15"/>
        <v>1922.4756153526087</v>
      </c>
      <c r="N56" s="58">
        <f t="shared" si="15"/>
        <v>2122.4756153526087</v>
      </c>
      <c r="P56" s="205"/>
      <c r="Q56" s="57">
        <f>Q55+0.25</f>
        <v>2.25</v>
      </c>
      <c r="R56" s="58">
        <f>R$39-($B$50/$E56)</f>
        <v>1192.9767814920078</v>
      </c>
      <c r="S56" s="58">
        <f t="shared" si="16"/>
        <v>1392.9767814920078</v>
      </c>
      <c r="T56" s="58">
        <f t="shared" si="16"/>
        <v>1592.9767814920078</v>
      </c>
      <c r="U56" s="58">
        <f t="shared" si="16"/>
        <v>1792.9767814920078</v>
      </c>
      <c r="V56" s="58">
        <f t="shared" si="16"/>
        <v>1992.9767814920078</v>
      </c>
      <c r="W56" s="58">
        <f t="shared" si="16"/>
        <v>2192.976781492008</v>
      </c>
      <c r="X56" s="58">
        <f t="shared" si="16"/>
        <v>2392.976781492008</v>
      </c>
      <c r="Y56" s="58">
        <f t="shared" si="16"/>
        <v>2592.976781492008</v>
      </c>
      <c r="Z56" s="58">
        <f t="shared" si="16"/>
        <v>2792.976781492008</v>
      </c>
    </row>
    <row r="57" spans="1:26" ht="13.5" customHeight="1" thickBot="1">
      <c r="A57" s="191" t="s">
        <v>11</v>
      </c>
      <c r="B57" s="201">
        <f>'Sojabone verminderde bewerking'!F33</f>
        <v>63</v>
      </c>
      <c r="C57" s="181"/>
      <c r="D57" s="206"/>
      <c r="E57" s="57">
        <f>E56+0.25</f>
        <v>2.5</v>
      </c>
      <c r="F57" s="58">
        <f>F$39-($B$52/$E57)</f>
        <v>858.928053817348</v>
      </c>
      <c r="G57" s="58">
        <f>G$39-($B$52/$E57)</f>
        <v>1058.928053817348</v>
      </c>
      <c r="H57" s="58">
        <f t="shared" si="15"/>
        <v>1258.928053817348</v>
      </c>
      <c r="I57" s="58">
        <f t="shared" si="15"/>
        <v>1458.928053817348</v>
      </c>
      <c r="J57" s="58">
        <f t="shared" si="15"/>
        <v>1658.928053817348</v>
      </c>
      <c r="K57" s="58">
        <f t="shared" si="15"/>
        <v>1858.928053817348</v>
      </c>
      <c r="L57" s="58">
        <f t="shared" si="15"/>
        <v>2058.928053817348</v>
      </c>
      <c r="M57" s="58">
        <f t="shared" si="15"/>
        <v>2258.928053817348</v>
      </c>
      <c r="N57" s="58">
        <f>N$39-($B$52/$E57)</f>
        <v>2458.928053817348</v>
      </c>
      <c r="P57" s="206"/>
      <c r="Q57" s="57">
        <f>Q56+0.25</f>
        <v>2.5</v>
      </c>
      <c r="R57" s="58">
        <f>R$39-($B$50/$E57)</f>
        <v>1462.379103342807</v>
      </c>
      <c r="S57" s="58">
        <f>S$39-($B$50/$E57)</f>
        <v>1662.379103342807</v>
      </c>
      <c r="T57" s="58">
        <f t="shared" si="16"/>
        <v>1862.379103342807</v>
      </c>
      <c r="U57" s="58">
        <f t="shared" si="16"/>
        <v>2062.379103342807</v>
      </c>
      <c r="V57" s="58">
        <f t="shared" si="16"/>
        <v>2262.379103342807</v>
      </c>
      <c r="W57" s="58">
        <f t="shared" si="16"/>
        <v>2462.379103342807</v>
      </c>
      <c r="X57" s="58">
        <f t="shared" si="16"/>
        <v>2662.379103342807</v>
      </c>
      <c r="Y57" s="58">
        <f t="shared" si="16"/>
        <v>2862.379103342807</v>
      </c>
      <c r="Z57" s="58">
        <f t="shared" si="16"/>
        <v>3062.379103342807</v>
      </c>
    </row>
    <row r="58" spans="1:3" ht="13.5" customHeight="1">
      <c r="A58" s="176" t="s">
        <v>12</v>
      </c>
      <c r="B58" s="202">
        <f>B56-B57</f>
        <v>4687</v>
      </c>
      <c r="C58" s="181"/>
    </row>
    <row r="61" ht="13.5" customHeight="1" thickBot="1">
      <c r="A61" s="192"/>
    </row>
    <row r="62" spans="1:26" ht="19.5" customHeight="1" thickBot="1">
      <c r="A62" s="199" t="s">
        <v>50</v>
      </c>
      <c r="B62" s="200"/>
      <c r="C62" s="173"/>
      <c r="D62" s="207" t="s">
        <v>76</v>
      </c>
      <c r="E62" s="208"/>
      <c r="F62" s="208"/>
      <c r="G62" s="208"/>
      <c r="H62" s="208"/>
      <c r="I62" s="208"/>
      <c r="J62" s="208"/>
      <c r="K62" s="208"/>
      <c r="L62" s="208"/>
      <c r="M62" s="208"/>
      <c r="N62" s="209"/>
      <c r="P62" s="207" t="s">
        <v>77</v>
      </c>
      <c r="Q62" s="208"/>
      <c r="R62" s="208"/>
      <c r="S62" s="208"/>
      <c r="T62" s="208"/>
      <c r="U62" s="208"/>
      <c r="V62" s="208"/>
      <c r="W62" s="208"/>
      <c r="X62" s="208"/>
      <c r="Y62" s="208"/>
      <c r="Z62" s="209"/>
    </row>
    <row r="63" spans="1:26" ht="13.5" customHeight="1" thickBot="1">
      <c r="A63" s="188" t="s">
        <v>3</v>
      </c>
      <c r="B63" s="201">
        <f>INDEX(Graansorghum!K9:M13,MATCH($B$67,Sorgopbrengspeil,0),2)</f>
        <v>7435.403809725</v>
      </c>
      <c r="C63" s="177"/>
      <c r="D63" s="45"/>
      <c r="E63" s="46"/>
      <c r="F63" s="47"/>
      <c r="G63" s="48"/>
      <c r="H63" s="47"/>
      <c r="I63" s="47"/>
      <c r="J63" s="47" t="s">
        <v>13</v>
      </c>
      <c r="K63" s="49"/>
      <c r="L63" s="47"/>
      <c r="M63" s="49"/>
      <c r="N63" s="47"/>
      <c r="P63" s="45"/>
      <c r="Q63" s="46"/>
      <c r="R63" s="47"/>
      <c r="S63" s="48"/>
      <c r="T63" s="47"/>
      <c r="U63" s="47"/>
      <c r="V63" s="47" t="s">
        <v>13</v>
      </c>
      <c r="W63" s="49"/>
      <c r="X63" s="47"/>
      <c r="Y63" s="49"/>
      <c r="Z63" s="47"/>
    </row>
    <row r="64" spans="1:26" ht="13.5" customHeight="1" thickBot="1">
      <c r="A64" s="188" t="s">
        <v>5</v>
      </c>
      <c r="B64" s="201">
        <f>INDEX(Graansorghum!K9:M13,MATCH($B$67,Sorgopbrengspeil,0),3)</f>
        <v>2509.6</v>
      </c>
      <c r="C64" s="177"/>
      <c r="D64" s="207" t="s">
        <v>6</v>
      </c>
      <c r="E64" s="209"/>
      <c r="F64" s="52">
        <f>G64-200</f>
        <v>1800</v>
      </c>
      <c r="G64" s="52">
        <f>H64-200</f>
        <v>2000</v>
      </c>
      <c r="H64" s="52">
        <f>I64-200</f>
        <v>2200</v>
      </c>
      <c r="I64" s="52">
        <f>J64-200</f>
        <v>2400</v>
      </c>
      <c r="J64" s="51">
        <f>B69</f>
        <v>2600</v>
      </c>
      <c r="K64" s="52">
        <f>J64+200</f>
        <v>2800</v>
      </c>
      <c r="L64" s="52">
        <f>K64+200</f>
        <v>3000</v>
      </c>
      <c r="M64" s="52">
        <f>L64+200</f>
        <v>3200</v>
      </c>
      <c r="N64" s="52">
        <f>M64+200</f>
        <v>3400</v>
      </c>
      <c r="P64" s="207" t="s">
        <v>6</v>
      </c>
      <c r="Q64" s="209"/>
      <c r="R64" s="52">
        <f>S64-200</f>
        <v>1800</v>
      </c>
      <c r="S64" s="52">
        <f>T64-200</f>
        <v>2000</v>
      </c>
      <c r="T64" s="52">
        <f>U64-200</f>
        <v>2200</v>
      </c>
      <c r="U64" s="52">
        <f>V64-200</f>
        <v>2400</v>
      </c>
      <c r="V64" s="51">
        <f>J64</f>
        <v>2600</v>
      </c>
      <c r="W64" s="52">
        <f>V64+200</f>
        <v>2800</v>
      </c>
      <c r="X64" s="52">
        <f>W64+200</f>
        <v>3000</v>
      </c>
      <c r="Y64" s="52">
        <f>X64+200</f>
        <v>3200</v>
      </c>
      <c r="Z64" s="52">
        <f>Y64+200</f>
        <v>3400</v>
      </c>
    </row>
    <row r="65" spans="1:26" ht="13.5" customHeight="1" thickBot="1">
      <c r="A65" s="189" t="s">
        <v>7</v>
      </c>
      <c r="B65" s="202">
        <f>B64+B63</f>
        <v>9945.003809725</v>
      </c>
      <c r="C65" s="178"/>
      <c r="D65" s="210" t="s">
        <v>8</v>
      </c>
      <c r="E65" s="211"/>
      <c r="F65" s="76">
        <f>F64-$B$70</f>
        <v>1737</v>
      </c>
      <c r="G65" s="76">
        <f aca="true" t="shared" si="17" ref="G65:N65">G64-$B$70</f>
        <v>1937</v>
      </c>
      <c r="H65" s="76">
        <f t="shared" si="17"/>
        <v>2137</v>
      </c>
      <c r="I65" s="76">
        <f t="shared" si="17"/>
        <v>2337</v>
      </c>
      <c r="J65" s="76">
        <f>J64-$B$70</f>
        <v>2537</v>
      </c>
      <c r="K65" s="76">
        <f t="shared" si="17"/>
        <v>2737</v>
      </c>
      <c r="L65" s="76">
        <f t="shared" si="17"/>
        <v>2937</v>
      </c>
      <c r="M65" s="76">
        <f t="shared" si="17"/>
        <v>3137</v>
      </c>
      <c r="N65" s="76">
        <f t="shared" si="17"/>
        <v>3337</v>
      </c>
      <c r="P65" s="210" t="s">
        <v>8</v>
      </c>
      <c r="Q65" s="211"/>
      <c r="R65" s="76">
        <f aca="true" t="shared" si="18" ref="R65:Z65">R64-$B$70</f>
        <v>1737</v>
      </c>
      <c r="S65" s="76">
        <f t="shared" si="18"/>
        <v>1937</v>
      </c>
      <c r="T65" s="76">
        <f t="shared" si="18"/>
        <v>2137</v>
      </c>
      <c r="U65" s="76">
        <f t="shared" si="18"/>
        <v>2337</v>
      </c>
      <c r="V65" s="76">
        <f t="shared" si="18"/>
        <v>2537</v>
      </c>
      <c r="W65" s="76">
        <f t="shared" si="18"/>
        <v>2737</v>
      </c>
      <c r="X65" s="76">
        <f t="shared" si="18"/>
        <v>2937</v>
      </c>
      <c r="Y65" s="76">
        <f t="shared" si="18"/>
        <v>3137</v>
      </c>
      <c r="Z65" s="76">
        <f t="shared" si="18"/>
        <v>3337</v>
      </c>
    </row>
    <row r="66" spans="1:26" ht="13.5" customHeight="1" thickBot="1">
      <c r="A66" s="188"/>
      <c r="B66" s="174"/>
      <c r="C66" s="179"/>
      <c r="D66" s="204" t="s">
        <v>9</v>
      </c>
      <c r="E66" s="57">
        <f>E67-0.5</f>
        <v>3.5</v>
      </c>
      <c r="F66" s="58">
        <f aca="true" t="shared" si="19" ref="F66:N70">F$65-($B$65/$E66)</f>
        <v>-1104.4296599214285</v>
      </c>
      <c r="G66" s="58">
        <f t="shared" si="19"/>
        <v>-904.4296599214285</v>
      </c>
      <c r="H66" s="58">
        <f t="shared" si="19"/>
        <v>-704.4296599214285</v>
      </c>
      <c r="I66" s="58">
        <f t="shared" si="19"/>
        <v>-504.42965992142854</v>
      </c>
      <c r="J66" s="58">
        <f t="shared" si="19"/>
        <v>-304.42965992142854</v>
      </c>
      <c r="K66" s="58">
        <f t="shared" si="19"/>
        <v>-104.42965992142854</v>
      </c>
      <c r="L66" s="58">
        <f t="shared" si="19"/>
        <v>95.57034007857146</v>
      </c>
      <c r="M66" s="58">
        <f t="shared" si="19"/>
        <v>295.57034007857146</v>
      </c>
      <c r="N66" s="58">
        <f t="shared" si="19"/>
        <v>495.57034007857146</v>
      </c>
      <c r="P66" s="204" t="s">
        <v>9</v>
      </c>
      <c r="Q66" s="57">
        <f>Q67-0.5</f>
        <v>3.5</v>
      </c>
      <c r="R66" s="58">
        <f aca="true" t="shared" si="20" ref="R66:Z70">R$65-($B$63/$E66)</f>
        <v>-387.40108849285707</v>
      </c>
      <c r="S66" s="58">
        <f t="shared" si="20"/>
        <v>-187.40108849285707</v>
      </c>
      <c r="T66" s="58">
        <f t="shared" si="20"/>
        <v>12.59891150714293</v>
      </c>
      <c r="U66" s="58">
        <f t="shared" si="20"/>
        <v>212.59891150714293</v>
      </c>
      <c r="V66" s="58">
        <f t="shared" si="20"/>
        <v>412.59891150714293</v>
      </c>
      <c r="W66" s="58">
        <f t="shared" si="20"/>
        <v>612.5989115071429</v>
      </c>
      <c r="X66" s="58">
        <f t="shared" si="20"/>
        <v>812.5989115071429</v>
      </c>
      <c r="Y66" s="58">
        <f t="shared" si="20"/>
        <v>1012.5989115071429</v>
      </c>
      <c r="Z66" s="58">
        <f t="shared" si="20"/>
        <v>1212.598911507143</v>
      </c>
    </row>
    <row r="67" spans="1:26" ht="13.5" customHeight="1" thickBot="1">
      <c r="A67" s="188" t="s">
        <v>10</v>
      </c>
      <c r="B67" s="190">
        <v>4.5</v>
      </c>
      <c r="C67" s="180"/>
      <c r="D67" s="205"/>
      <c r="E67" s="57">
        <f>E68-0.5</f>
        <v>4</v>
      </c>
      <c r="F67" s="58">
        <f t="shared" si="19"/>
        <v>-749.25095243125</v>
      </c>
      <c r="G67" s="58">
        <f t="shared" si="19"/>
        <v>-549.25095243125</v>
      </c>
      <c r="H67" s="58">
        <f t="shared" si="19"/>
        <v>-349.25095243124997</v>
      </c>
      <c r="I67" s="58">
        <f t="shared" si="19"/>
        <v>-149.25095243124997</v>
      </c>
      <c r="J67" s="58">
        <f t="shared" si="19"/>
        <v>50.74904756875003</v>
      </c>
      <c r="K67" s="58">
        <f t="shared" si="19"/>
        <v>250.74904756875003</v>
      </c>
      <c r="L67" s="58">
        <f t="shared" si="19"/>
        <v>450.74904756875003</v>
      </c>
      <c r="M67" s="58">
        <f t="shared" si="19"/>
        <v>650.74904756875</v>
      </c>
      <c r="N67" s="58">
        <f t="shared" si="19"/>
        <v>850.74904756875</v>
      </c>
      <c r="P67" s="205"/>
      <c r="Q67" s="57">
        <f>Q68-0.5</f>
        <v>4</v>
      </c>
      <c r="R67" s="58">
        <f t="shared" si="20"/>
        <v>-121.85095243125011</v>
      </c>
      <c r="S67" s="58">
        <f t="shared" si="20"/>
        <v>78.14904756874989</v>
      </c>
      <c r="T67" s="58">
        <f t="shared" si="20"/>
        <v>278.1490475687499</v>
      </c>
      <c r="U67" s="58">
        <f t="shared" si="20"/>
        <v>478.1490475687499</v>
      </c>
      <c r="V67" s="58">
        <f t="shared" si="20"/>
        <v>678.1490475687499</v>
      </c>
      <c r="W67" s="58">
        <f t="shared" si="20"/>
        <v>878.1490475687499</v>
      </c>
      <c r="X67" s="58">
        <f t="shared" si="20"/>
        <v>1078.14904756875</v>
      </c>
      <c r="Y67" s="58">
        <f t="shared" si="20"/>
        <v>1278.14904756875</v>
      </c>
      <c r="Z67" s="58">
        <f t="shared" si="20"/>
        <v>1478.14904756875</v>
      </c>
    </row>
    <row r="68" spans="1:26" ht="13.5" customHeight="1" thickBot="1">
      <c r="A68" s="188"/>
      <c r="B68" s="174"/>
      <c r="C68" s="179"/>
      <c r="D68" s="205"/>
      <c r="E68" s="66">
        <f>B67</f>
        <v>4.5</v>
      </c>
      <c r="F68" s="58">
        <f t="shared" si="19"/>
        <v>-473.0008466055556</v>
      </c>
      <c r="G68" s="58">
        <f t="shared" si="19"/>
        <v>-273.0008466055556</v>
      </c>
      <c r="H68" s="58">
        <f t="shared" si="19"/>
        <v>-73.00084660555558</v>
      </c>
      <c r="I68" s="58">
        <f t="shared" si="19"/>
        <v>126.99915339444442</v>
      </c>
      <c r="J68" s="58">
        <f t="shared" si="19"/>
        <v>326.9991533944444</v>
      </c>
      <c r="K68" s="58">
        <f t="shared" si="19"/>
        <v>526.9991533944444</v>
      </c>
      <c r="L68" s="58">
        <f t="shared" si="19"/>
        <v>726.9991533944444</v>
      </c>
      <c r="M68" s="58">
        <f t="shared" si="19"/>
        <v>926.9991533944444</v>
      </c>
      <c r="N68" s="58">
        <f t="shared" si="19"/>
        <v>1126.9991533944444</v>
      </c>
      <c r="P68" s="205"/>
      <c r="Q68" s="66">
        <f>E68</f>
        <v>4.5</v>
      </c>
      <c r="R68" s="58">
        <f t="shared" si="20"/>
        <v>84.68804228333329</v>
      </c>
      <c r="S68" s="58">
        <f t="shared" si="20"/>
        <v>284.6880422833333</v>
      </c>
      <c r="T68" s="58">
        <f t="shared" si="20"/>
        <v>484.6880422833333</v>
      </c>
      <c r="U68" s="58">
        <f t="shared" si="20"/>
        <v>684.6880422833333</v>
      </c>
      <c r="V68" s="58">
        <f t="shared" si="20"/>
        <v>884.6880422833333</v>
      </c>
      <c r="W68" s="58">
        <f t="shared" si="20"/>
        <v>1084.6880422833333</v>
      </c>
      <c r="X68" s="58">
        <f t="shared" si="20"/>
        <v>1284.6880422833333</v>
      </c>
      <c r="Y68" s="58">
        <f t="shared" si="20"/>
        <v>1484.6880422833333</v>
      </c>
      <c r="Z68" s="58">
        <f t="shared" si="20"/>
        <v>1684.6880422833333</v>
      </c>
    </row>
    <row r="69" spans="1:26" ht="13.5" customHeight="1" thickBot="1">
      <c r="A69" s="188" t="s">
        <v>67</v>
      </c>
      <c r="B69" s="201">
        <f>B6</f>
        <v>2600</v>
      </c>
      <c r="C69" s="179"/>
      <c r="D69" s="205"/>
      <c r="E69" s="57">
        <f>E68+0.5</f>
        <v>5</v>
      </c>
      <c r="F69" s="58">
        <f t="shared" si="19"/>
        <v>-252.00076194500002</v>
      </c>
      <c r="G69" s="58">
        <f t="shared" si="19"/>
        <v>-52.00076194500002</v>
      </c>
      <c r="H69" s="58">
        <f t="shared" si="19"/>
        <v>147.99923805499998</v>
      </c>
      <c r="I69" s="58">
        <f t="shared" si="19"/>
        <v>347.999238055</v>
      </c>
      <c r="J69" s="58">
        <f t="shared" si="19"/>
        <v>547.999238055</v>
      </c>
      <c r="K69" s="58">
        <f t="shared" si="19"/>
        <v>747.999238055</v>
      </c>
      <c r="L69" s="58">
        <f t="shared" si="19"/>
        <v>947.999238055</v>
      </c>
      <c r="M69" s="58">
        <f t="shared" si="19"/>
        <v>1147.999238055</v>
      </c>
      <c r="N69" s="58">
        <f t="shared" si="19"/>
        <v>1347.999238055</v>
      </c>
      <c r="P69" s="205"/>
      <c r="Q69" s="57">
        <f>Q68+0.5</f>
        <v>5</v>
      </c>
      <c r="R69" s="58">
        <f t="shared" si="20"/>
        <v>249.91923805499982</v>
      </c>
      <c r="S69" s="58">
        <f t="shared" si="20"/>
        <v>449.9192380549998</v>
      </c>
      <c r="T69" s="58">
        <f t="shared" si="20"/>
        <v>649.9192380549998</v>
      </c>
      <c r="U69" s="58">
        <f t="shared" si="20"/>
        <v>849.9192380549998</v>
      </c>
      <c r="V69" s="58">
        <f t="shared" si="20"/>
        <v>1049.9192380549998</v>
      </c>
      <c r="W69" s="58">
        <f t="shared" si="20"/>
        <v>1249.9192380549998</v>
      </c>
      <c r="X69" s="58">
        <f t="shared" si="20"/>
        <v>1449.9192380549998</v>
      </c>
      <c r="Y69" s="58">
        <f t="shared" si="20"/>
        <v>1649.9192380549998</v>
      </c>
      <c r="Z69" s="58">
        <f t="shared" si="20"/>
        <v>1849.9192380549998</v>
      </c>
    </row>
    <row r="70" spans="1:26" ht="13.5" customHeight="1" thickBot="1">
      <c r="A70" s="191" t="s">
        <v>11</v>
      </c>
      <c r="B70" s="201">
        <f>D6</f>
        <v>63</v>
      </c>
      <c r="C70" s="181"/>
      <c r="D70" s="206"/>
      <c r="E70" s="57">
        <f>E69+0.5</f>
        <v>5.5</v>
      </c>
      <c r="F70" s="58">
        <f>F$65-($B$65/$E70)</f>
        <v>-71.18251085909083</v>
      </c>
      <c r="G70" s="58">
        <f t="shared" si="19"/>
        <v>128.81748914090917</v>
      </c>
      <c r="H70" s="58">
        <f t="shared" si="19"/>
        <v>328.8174891409092</v>
      </c>
      <c r="I70" s="58">
        <f t="shared" si="19"/>
        <v>528.8174891409092</v>
      </c>
      <c r="J70" s="58">
        <f t="shared" si="19"/>
        <v>728.8174891409092</v>
      </c>
      <c r="K70" s="58">
        <f t="shared" si="19"/>
        <v>928.8174891409092</v>
      </c>
      <c r="L70" s="58">
        <f t="shared" si="19"/>
        <v>1128.8174891409092</v>
      </c>
      <c r="M70" s="58">
        <f t="shared" si="19"/>
        <v>1328.8174891409092</v>
      </c>
      <c r="N70" s="58">
        <f>N$65-($B$65/$E70)</f>
        <v>1528.8174891409092</v>
      </c>
      <c r="P70" s="206"/>
      <c r="Q70" s="57">
        <f>Q69+0.5</f>
        <v>5.5</v>
      </c>
      <c r="R70" s="58">
        <f>R$65-($B$63/$E70)</f>
        <v>385.108398231818</v>
      </c>
      <c r="S70" s="58">
        <f t="shared" si="20"/>
        <v>585.108398231818</v>
      </c>
      <c r="T70" s="58">
        <f t="shared" si="20"/>
        <v>785.108398231818</v>
      </c>
      <c r="U70" s="58">
        <f t="shared" si="20"/>
        <v>985.108398231818</v>
      </c>
      <c r="V70" s="58">
        <f t="shared" si="20"/>
        <v>1185.108398231818</v>
      </c>
      <c r="W70" s="58">
        <f t="shared" si="20"/>
        <v>1385.108398231818</v>
      </c>
      <c r="X70" s="58">
        <f t="shared" si="20"/>
        <v>1585.108398231818</v>
      </c>
      <c r="Y70" s="58">
        <f t="shared" si="20"/>
        <v>1785.108398231818</v>
      </c>
      <c r="Z70" s="58">
        <f t="shared" si="20"/>
        <v>1985.108398231818</v>
      </c>
    </row>
    <row r="71" spans="1:3" ht="13.5" customHeight="1">
      <c r="A71" s="176" t="s">
        <v>12</v>
      </c>
      <c r="B71" s="202">
        <f>B69-B70</f>
        <v>2537</v>
      </c>
      <c r="C71" s="181"/>
    </row>
  </sheetData>
  <sheetProtection sheet="1" selectLockedCells="1"/>
  <mergeCells count="44">
    <mergeCell ref="D53:D57"/>
    <mergeCell ref="P53:P57"/>
    <mergeCell ref="D49:N49"/>
    <mergeCell ref="P49:Z49"/>
    <mergeCell ref="D51:E51"/>
    <mergeCell ref="P51:Q51"/>
    <mergeCell ref="D52:E52"/>
    <mergeCell ref="P52:Q52"/>
    <mergeCell ref="D38:E38"/>
    <mergeCell ref="P38:Q38"/>
    <mergeCell ref="D40:D44"/>
    <mergeCell ref="P40:P44"/>
    <mergeCell ref="D39:E39"/>
    <mergeCell ref="P39:Q39"/>
    <mergeCell ref="D25:E25"/>
    <mergeCell ref="P25:Q25"/>
    <mergeCell ref="D26:E26"/>
    <mergeCell ref="P26:Q26"/>
    <mergeCell ref="D36:N36"/>
    <mergeCell ref="P36:Z36"/>
    <mergeCell ref="D13:E13"/>
    <mergeCell ref="P13:Q13"/>
    <mergeCell ref="D23:N23"/>
    <mergeCell ref="P23:Z23"/>
    <mergeCell ref="D14:D18"/>
    <mergeCell ref="P14:P18"/>
    <mergeCell ref="A9:B9"/>
    <mergeCell ref="A22:B22"/>
    <mergeCell ref="A35:B35"/>
    <mergeCell ref="A48:B48"/>
    <mergeCell ref="D27:D31"/>
    <mergeCell ref="P27:P31"/>
    <mergeCell ref="D10:N10"/>
    <mergeCell ref="P10:Z10"/>
    <mergeCell ref="D12:E12"/>
    <mergeCell ref="P12:Q12"/>
    <mergeCell ref="D66:D70"/>
    <mergeCell ref="P66:P70"/>
    <mergeCell ref="D62:N62"/>
    <mergeCell ref="P62:Z62"/>
    <mergeCell ref="D64:E64"/>
    <mergeCell ref="P64:Q64"/>
    <mergeCell ref="D65:E65"/>
    <mergeCell ref="P65:Q65"/>
  </mergeCells>
  <conditionalFormatting sqref="F14:N18">
    <cfRule type="cellIs" priority="49" dxfId="0" operator="lessThan" stopIfTrue="1">
      <formula>1</formula>
    </cfRule>
    <cfRule type="cellIs" priority="50" dxfId="1" operator="greaterThan" stopIfTrue="1">
      <formula>1</formula>
    </cfRule>
    <cfRule type="cellIs" priority="51" dxfId="0" operator="lessThan" stopIfTrue="1">
      <formula>1</formula>
    </cfRule>
    <cfRule type="cellIs" priority="52" dxfId="1" operator="greaterThan" stopIfTrue="1">
      <formula>1</formula>
    </cfRule>
  </conditionalFormatting>
  <conditionalFormatting sqref="F40:N44">
    <cfRule type="cellIs" priority="45" dxfId="0" operator="lessThan" stopIfTrue="1">
      <formula>1</formula>
    </cfRule>
    <cfRule type="cellIs" priority="46" dxfId="1" operator="greaterThan" stopIfTrue="1">
      <formula>1</formula>
    </cfRule>
    <cfRule type="cellIs" priority="47" dxfId="0" operator="lessThan" stopIfTrue="1">
      <formula>1</formula>
    </cfRule>
    <cfRule type="cellIs" priority="48" dxfId="1" operator="greaterThan" stopIfTrue="1">
      <formula>1</formula>
    </cfRule>
  </conditionalFormatting>
  <conditionalFormatting sqref="R14:Z18">
    <cfRule type="cellIs" priority="41" dxfId="0" operator="lessThan" stopIfTrue="1">
      <formula>1</formula>
    </cfRule>
    <cfRule type="cellIs" priority="42" dxfId="1" operator="greaterThan" stopIfTrue="1">
      <formula>1</formula>
    </cfRule>
    <cfRule type="cellIs" priority="43" dxfId="0" operator="lessThan" stopIfTrue="1">
      <formula>1</formula>
    </cfRule>
    <cfRule type="cellIs" priority="44" dxfId="1" operator="greaterThan" stopIfTrue="1">
      <formula>1</formula>
    </cfRule>
  </conditionalFormatting>
  <conditionalFormatting sqref="R40:Z44">
    <cfRule type="cellIs" priority="37" dxfId="0" operator="lessThan" stopIfTrue="1">
      <formula>1</formula>
    </cfRule>
    <cfRule type="cellIs" priority="38" dxfId="1" operator="greaterThan" stopIfTrue="1">
      <formula>1</formula>
    </cfRule>
    <cfRule type="cellIs" priority="39" dxfId="0" operator="lessThan" stopIfTrue="1">
      <formula>1</formula>
    </cfRule>
    <cfRule type="cellIs" priority="40" dxfId="1" operator="greaterThan" stopIfTrue="1">
      <formula>1</formula>
    </cfRule>
  </conditionalFormatting>
  <conditionalFormatting sqref="F53:N57">
    <cfRule type="cellIs" priority="25" dxfId="0" operator="lessThan" stopIfTrue="1">
      <formula>1</formula>
    </cfRule>
    <cfRule type="cellIs" priority="26" dxfId="1" operator="greaterThan" stopIfTrue="1">
      <formula>1</formula>
    </cfRule>
    <cfRule type="cellIs" priority="27" dxfId="0" operator="lessThan" stopIfTrue="1">
      <formula>1</formula>
    </cfRule>
    <cfRule type="cellIs" priority="28" dxfId="1" operator="greaterThan" stopIfTrue="1">
      <formula>1</formula>
    </cfRule>
  </conditionalFormatting>
  <conditionalFormatting sqref="R53:Z57">
    <cfRule type="cellIs" priority="21" dxfId="0" operator="lessThan" stopIfTrue="1">
      <formula>1</formula>
    </cfRule>
    <cfRule type="cellIs" priority="22" dxfId="1" operator="greaterThan" stopIfTrue="1">
      <formula>1</formula>
    </cfRule>
    <cfRule type="cellIs" priority="23" dxfId="0" operator="lessThan" stopIfTrue="1">
      <formula>1</formula>
    </cfRule>
    <cfRule type="cellIs" priority="24" dxfId="1" operator="greaterThan" stopIfTrue="1">
      <formula>1</formula>
    </cfRule>
  </conditionalFormatting>
  <conditionalFormatting sqref="F27:N31">
    <cfRule type="cellIs" priority="17" dxfId="0" operator="lessThan" stopIfTrue="1">
      <formula>1</formula>
    </cfRule>
    <cfRule type="cellIs" priority="18" dxfId="1" operator="greaterThan" stopIfTrue="1">
      <formula>1</formula>
    </cfRule>
    <cfRule type="cellIs" priority="19" dxfId="0" operator="lessThan" stopIfTrue="1">
      <formula>1</formula>
    </cfRule>
    <cfRule type="cellIs" priority="20" dxfId="1" operator="greaterThan" stopIfTrue="1">
      <formula>1</formula>
    </cfRule>
  </conditionalFormatting>
  <conditionalFormatting sqref="R27:Z31">
    <cfRule type="cellIs" priority="13" dxfId="0" operator="lessThan" stopIfTrue="1">
      <formula>1</formula>
    </cfRule>
    <cfRule type="cellIs" priority="14" dxfId="1" operator="greaterThan" stopIfTrue="1">
      <formula>1</formula>
    </cfRule>
    <cfRule type="cellIs" priority="15" dxfId="0" operator="lessThan" stopIfTrue="1">
      <formula>1</formula>
    </cfRule>
    <cfRule type="cellIs" priority="16" dxfId="1" operator="greaterThan" stopIfTrue="1">
      <formula>1</formula>
    </cfRule>
  </conditionalFormatting>
  <conditionalFormatting sqref="F66:N70">
    <cfRule type="cellIs" priority="9" dxfId="0" operator="lessThan" stopIfTrue="1">
      <formula>1</formula>
    </cfRule>
    <cfRule type="cellIs" priority="10" dxfId="1" operator="greaterThan" stopIfTrue="1">
      <formula>1</formula>
    </cfRule>
    <cfRule type="cellIs" priority="11" dxfId="0" operator="lessThan" stopIfTrue="1">
      <formula>1</formula>
    </cfRule>
    <cfRule type="cellIs" priority="12" dxfId="1" operator="greaterThan" stopIfTrue="1">
      <formula>1</formula>
    </cfRule>
  </conditionalFormatting>
  <conditionalFormatting sqref="R66:Z70">
    <cfRule type="cellIs" priority="1" dxfId="0" operator="lessThan" stopIfTrue="1">
      <formula>1</formula>
    </cfRule>
    <cfRule type="cellIs" priority="2" dxfId="1" operator="greaterThan" stopIfTrue="1">
      <formula>1</formula>
    </cfRule>
    <cfRule type="cellIs" priority="3" dxfId="0" operator="lessThan" stopIfTrue="1">
      <formula>1</formula>
    </cfRule>
    <cfRule type="cellIs" priority="4" dxfId="1" operator="greaterThan" stopIfTrue="1">
      <formula>1</formula>
    </cfRule>
  </conditionalFormatting>
  <dataValidations count="5">
    <dataValidation type="list" allowBlank="1" showInputMessage="1" showErrorMessage="1" sqref="B67">
      <formula1>Sorgopbrengspeil</formula1>
    </dataValidation>
    <dataValidation type="list" allowBlank="1" showInputMessage="1" showErrorMessage="1" sqref="B54">
      <formula1>Sojaverminopbrengspeil</formula1>
    </dataValidation>
    <dataValidation type="list" allowBlank="1" showInputMessage="1" showErrorMessage="1" sqref="B41">
      <formula1>Sojaopbrengspeil</formula1>
    </dataValidation>
    <dataValidation type="list" allowBlank="1" showInputMessage="1" showErrorMessage="1" sqref="B28">
      <formula1>Verminopbrengspeil</formula1>
    </dataValidation>
    <dataValidation type="list" allowBlank="1" showInputMessage="1" showErrorMessage="1" sqref="B15">
      <formula1>Opbrengspeil</formula1>
    </dataValidation>
  </dataValidations>
  <printOptions/>
  <pageMargins left="0.7" right="0.7" top="0.75" bottom="0.75" header="0.3" footer="0.3"/>
  <pageSetup horizontalDpi="600" verticalDpi="600" orientation="portrait" r:id="rId4"/>
  <drawing r:id="rId3"/>
  <legacyDrawing r:id="rId2"/>
</worksheet>
</file>

<file path=xl/worksheets/sheet10.xml><?xml version="1.0" encoding="utf-8"?>
<worksheet xmlns="http://schemas.openxmlformats.org/spreadsheetml/2006/main" xmlns:r="http://schemas.openxmlformats.org/officeDocument/2006/relationships">
  <dimension ref="A1:N86"/>
  <sheetViews>
    <sheetView zoomScalePageLayoutView="0" workbookViewId="0" topLeftCell="A1">
      <selection activeCell="I9" sqref="I9"/>
    </sheetView>
  </sheetViews>
  <sheetFormatPr defaultColWidth="9.140625" defaultRowHeight="12.75"/>
  <cols>
    <col min="1" max="1" width="51.7109375" style="109" customWidth="1"/>
    <col min="2" max="7" width="14.28125" style="109" customWidth="1"/>
    <col min="8" max="8" width="9.140625" style="109" customWidth="1"/>
    <col min="9" max="9" width="10.8515625" style="109" bestFit="1" customWidth="1"/>
    <col min="10" max="16384" width="9.140625" style="109" customWidth="1"/>
  </cols>
  <sheetData>
    <row r="1" spans="1:8" ht="15">
      <c r="A1" s="106" t="s">
        <v>81</v>
      </c>
      <c r="B1" s="107"/>
      <c r="C1" s="107"/>
      <c r="D1" s="107"/>
      <c r="E1" s="107"/>
      <c r="F1" s="107"/>
      <c r="G1" s="107"/>
      <c r="H1" s="108"/>
    </row>
    <row r="2" spans="1:8" ht="30.75" customHeight="1">
      <c r="A2" s="110" t="s">
        <v>82</v>
      </c>
      <c r="B2" s="111" t="str">
        <f>'[2]Rent calculations'!C2</f>
        <v>Maize (RR)</v>
      </c>
      <c r="C2" s="111" t="str">
        <f>'[2]Rent calculations'!D2</f>
        <v>Maize (min tillage)</v>
      </c>
      <c r="D2" s="111" t="str">
        <f>'[2]Rent calculations'!E2</f>
        <v>Soy bean (conventional)</v>
      </c>
      <c r="E2" s="111" t="str">
        <f>'[2]Rent calculations'!F2</f>
        <v>Soy bean (min tillage)</v>
      </c>
      <c r="F2" s="111" t="str">
        <f>'[2]Rent calculations'!G2</f>
        <v>Grain Sorghum</v>
      </c>
      <c r="G2" s="111" t="str">
        <f>'[2]Rent calculations'!H2</f>
        <v>Irr-Maize</v>
      </c>
      <c r="H2" s="108"/>
    </row>
    <row r="3" spans="1:8" ht="15">
      <c r="A3" s="112" t="s">
        <v>83</v>
      </c>
      <c r="B3" s="113"/>
      <c r="C3" s="113"/>
      <c r="D3" s="113"/>
      <c r="E3" s="113"/>
      <c r="F3" s="113"/>
      <c r="G3" s="113"/>
      <c r="H3" s="108"/>
    </row>
    <row r="4" spans="1:8" ht="15">
      <c r="A4" s="114" t="s">
        <v>84</v>
      </c>
      <c r="B4" s="115">
        <f>'W-Roundup R mielies '!F5</f>
        <v>5.5</v>
      </c>
      <c r="C4" s="115">
        <f>'Mielie Vermin Bewerk'!F5</f>
        <v>5.5</v>
      </c>
      <c r="D4" s="115">
        <f>Sojabone!F5</f>
        <v>2</v>
      </c>
      <c r="E4" s="115">
        <f>'Sojabone Vermin bewerk'!F5</f>
        <v>2</v>
      </c>
      <c r="F4" s="115">
        <f>Graansorghum!E5</f>
        <v>4.5</v>
      </c>
      <c r="G4" s="115">
        <f>'Bes-mielies'!F5</f>
        <v>12</v>
      </c>
      <c r="H4" s="108"/>
    </row>
    <row r="5" spans="1:8" s="118" customFormat="1" ht="15">
      <c r="A5" s="114" t="s">
        <v>85</v>
      </c>
      <c r="B5" s="116">
        <v>2300</v>
      </c>
      <c r="C5" s="116">
        <f>B5</f>
        <v>2300</v>
      </c>
      <c r="D5" s="116">
        <f>'Pryse + Sensatiwiteitsanalise'!B5</f>
        <v>4750</v>
      </c>
      <c r="E5" s="116">
        <f>D5</f>
        <v>4750</v>
      </c>
      <c r="F5" s="116">
        <f>'Pryse + Sensatiwiteitsanalise'!B6</f>
        <v>2600</v>
      </c>
      <c r="G5" s="116">
        <f>B5</f>
        <v>2300</v>
      </c>
      <c r="H5" s="117"/>
    </row>
    <row r="6" spans="1:8" s="118" customFormat="1" ht="15">
      <c r="A6" s="114" t="s">
        <v>86</v>
      </c>
      <c r="B6" s="116">
        <f>'Pryse + Sensatiwiteitsanalise'!D4</f>
        <v>289</v>
      </c>
      <c r="C6" s="116">
        <f>B6</f>
        <v>289</v>
      </c>
      <c r="D6" s="116">
        <f>'Pryse + Sensatiwiteitsanalise'!D5</f>
        <v>63</v>
      </c>
      <c r="E6" s="116">
        <f>D6</f>
        <v>63</v>
      </c>
      <c r="F6" s="116">
        <f>'Pryse + Sensatiwiteitsanalise'!D6</f>
        <v>63</v>
      </c>
      <c r="G6" s="116">
        <f>B6</f>
        <v>289</v>
      </c>
      <c r="H6" s="117"/>
    </row>
    <row r="7" spans="1:8" s="118" customFormat="1" ht="15.75" thickBot="1">
      <c r="A7" s="114" t="s">
        <v>87</v>
      </c>
      <c r="B7" s="119">
        <f aca="true" t="shared" si="0" ref="B7:G7">B5-B6</f>
        <v>2011</v>
      </c>
      <c r="C7" s="119">
        <f t="shared" si="0"/>
        <v>2011</v>
      </c>
      <c r="D7" s="119">
        <f t="shared" si="0"/>
        <v>4687</v>
      </c>
      <c r="E7" s="119">
        <f t="shared" si="0"/>
        <v>4687</v>
      </c>
      <c r="F7" s="119">
        <f t="shared" si="0"/>
        <v>2537</v>
      </c>
      <c r="G7" s="119">
        <f t="shared" si="0"/>
        <v>2011</v>
      </c>
      <c r="H7" s="117"/>
    </row>
    <row r="8" spans="1:8" ht="15.75" thickTop="1">
      <c r="A8" s="120" t="s">
        <v>88</v>
      </c>
      <c r="B8" s="121">
        <f aca="true" t="shared" si="1" ref="B8:G8">B4*B7</f>
        <v>11060.5</v>
      </c>
      <c r="C8" s="121">
        <f t="shared" si="1"/>
        <v>11060.5</v>
      </c>
      <c r="D8" s="121">
        <f t="shared" si="1"/>
        <v>9374</v>
      </c>
      <c r="E8" s="121">
        <f t="shared" si="1"/>
        <v>9374</v>
      </c>
      <c r="F8" s="121">
        <f t="shared" si="1"/>
        <v>11416.5</v>
      </c>
      <c r="G8" s="121">
        <f t="shared" si="1"/>
        <v>24132</v>
      </c>
      <c r="H8" s="108"/>
    </row>
    <row r="9" spans="1:8" ht="15">
      <c r="A9" s="114"/>
      <c r="B9" s="122"/>
      <c r="C9" s="122"/>
      <c r="D9" s="122"/>
      <c r="E9" s="122"/>
      <c r="F9" s="122"/>
      <c r="G9" s="122"/>
      <c r="H9" s="108"/>
    </row>
    <row r="10" spans="1:8" ht="15">
      <c r="A10" s="112" t="s">
        <v>89</v>
      </c>
      <c r="B10" s="122"/>
      <c r="C10" s="122"/>
      <c r="D10" s="122"/>
      <c r="E10" s="122"/>
      <c r="F10" s="122"/>
      <c r="G10" s="122"/>
      <c r="H10" s="108"/>
    </row>
    <row r="11" spans="1:8" ht="15">
      <c r="A11" s="123" t="s">
        <v>20</v>
      </c>
      <c r="B11" s="123">
        <f>'W-Roundup R mielies '!F9</f>
        <v>2230.875</v>
      </c>
      <c r="C11" s="123">
        <f>'Mielie Vermin Bewerk'!F9</f>
        <v>2229.975</v>
      </c>
      <c r="D11" s="123">
        <f>Sojabone!F9</f>
        <v>1026.93</v>
      </c>
      <c r="E11" s="123">
        <f>'Sojabone Vermin bewerk'!F9</f>
        <v>1026.93</v>
      </c>
      <c r="F11" s="123">
        <f>Graansorghum!E9</f>
        <v>585.48</v>
      </c>
      <c r="G11" s="123">
        <f>'Bes-mielies'!F9</f>
        <v>4455</v>
      </c>
      <c r="H11" s="108"/>
    </row>
    <row r="12" spans="1:8" ht="15">
      <c r="A12" s="123" t="s">
        <v>21</v>
      </c>
      <c r="B12" s="160">
        <f>'W-Roundup R mielies '!F10</f>
        <v>2796.5499999999997</v>
      </c>
      <c r="C12" s="160">
        <f>'Mielie Vermin Bewerk'!F10</f>
        <v>2796.5499999999997</v>
      </c>
      <c r="D12" s="160">
        <f>Sojabone!F10</f>
        <v>2051</v>
      </c>
      <c r="E12" s="160">
        <f>'Sojabone Vermin bewerk'!F10</f>
        <v>1804</v>
      </c>
      <c r="F12" s="160">
        <f>Graansorghum!E10</f>
        <v>2214.45</v>
      </c>
      <c r="G12" s="160">
        <f>'Bes-mielies'!F10</f>
        <v>7282.799999999999</v>
      </c>
      <c r="H12" s="108"/>
    </row>
    <row r="13" spans="1:9" ht="15">
      <c r="A13" s="123" t="s">
        <v>22</v>
      </c>
      <c r="B13" s="160">
        <f>'W-Roundup R mielies '!F11</f>
        <v>199.79999999999998</v>
      </c>
      <c r="C13" s="160">
        <f>'Mielie Vermin Bewerk'!F11</f>
        <v>199.79999999999998</v>
      </c>
      <c r="D13" s="160">
        <f>Sojabone!F11</f>
        <v>0</v>
      </c>
      <c r="E13" s="160">
        <f>'Sojabone Vermin bewerk'!F11</f>
        <v>0</v>
      </c>
      <c r="F13" s="160">
        <f>Graansorghum!E11</f>
        <v>199.79999999999998</v>
      </c>
      <c r="G13" s="160">
        <f>'Bes-mielies'!F11</f>
        <v>199.79999999999998</v>
      </c>
      <c r="H13" s="108"/>
      <c r="I13" s="153"/>
    </row>
    <row r="14" spans="1:8" ht="15">
      <c r="A14" s="123" t="s">
        <v>23</v>
      </c>
      <c r="B14" s="160">
        <f>'W-Roundup R mielies '!F12</f>
        <v>1054.24824</v>
      </c>
      <c r="C14" s="160">
        <f>'Mielie Vermin Bewerk'!F12</f>
        <v>958.54609</v>
      </c>
      <c r="D14" s="160">
        <f>Sojabone!F12</f>
        <v>917.9542</v>
      </c>
      <c r="E14" s="160">
        <f>'Sojabone Vermin bewerk'!F12</f>
        <v>640.8114</v>
      </c>
      <c r="F14" s="160">
        <f>Graansorghum!E12</f>
        <v>1053.63574</v>
      </c>
      <c r="G14" s="160">
        <f>'Bes-mielies'!F12</f>
        <v>1469.5902800000003</v>
      </c>
      <c r="H14" s="108"/>
    </row>
    <row r="15" spans="1:8" ht="15">
      <c r="A15" s="123" t="s">
        <v>24</v>
      </c>
      <c r="B15" s="160">
        <f>'W-Roundup R mielies '!F13</f>
        <v>669.01344</v>
      </c>
      <c r="C15" s="160">
        <f>'Mielie Vermin Bewerk'!F13</f>
        <v>590.106284</v>
      </c>
      <c r="D15" s="160">
        <f>Sojabone!F13</f>
        <v>499.8359999999999</v>
      </c>
      <c r="E15" s="160">
        <f>'Sojabone Vermin bewerk'!F13</f>
        <v>418.584</v>
      </c>
      <c r="F15" s="160">
        <f>Graansorghum!E13</f>
        <v>656.2274399999999</v>
      </c>
      <c r="G15" s="160">
        <f>'Bes-mielies'!F13</f>
        <v>817.6758399999999</v>
      </c>
      <c r="H15" s="108"/>
    </row>
    <row r="16" spans="1:8" ht="15">
      <c r="A16" s="123" t="s">
        <v>25</v>
      </c>
      <c r="B16" s="160">
        <f>'W-Roundup R mielies '!F14</f>
        <v>996.0519999999999</v>
      </c>
      <c r="C16" s="160">
        <f>'Mielie Vermin Bewerk'!F14</f>
        <v>783.5519999999999</v>
      </c>
      <c r="D16" s="160">
        <f>Sojabone!F14</f>
        <v>900.552</v>
      </c>
      <c r="E16" s="160">
        <f>'Sojabone Vermin bewerk'!F14</f>
        <v>815.552</v>
      </c>
      <c r="F16" s="160">
        <f>Graansorghum!E14</f>
        <v>600.432</v>
      </c>
      <c r="G16" s="160">
        <f>'Bes-mielies'!F14</f>
        <v>996.0519999999999</v>
      </c>
      <c r="H16" s="108"/>
    </row>
    <row r="17" spans="1:8" ht="15">
      <c r="A17" s="123" t="s">
        <v>26</v>
      </c>
      <c r="B17" s="160">
        <f>'W-Roundup R mielies '!F15</f>
        <v>602.56</v>
      </c>
      <c r="C17" s="160">
        <f>'Mielie Vermin Bewerk'!F15</f>
        <v>581.28</v>
      </c>
      <c r="D17" s="160">
        <f>Sojabone!F15</f>
        <v>252.44800000000004</v>
      </c>
      <c r="E17" s="160">
        <f>'Sojabone Vermin bewerk'!F15</f>
        <v>252.44800000000004</v>
      </c>
      <c r="F17" s="160">
        <f>Graansorghum!E15</f>
        <v>976.6400000000001</v>
      </c>
      <c r="G17" s="160">
        <f>'Bes-mielies'!F15</f>
        <v>602.56</v>
      </c>
      <c r="H17" s="108"/>
    </row>
    <row r="18" spans="1:8" ht="15">
      <c r="A18" s="123" t="s">
        <v>27</v>
      </c>
      <c r="B18" s="160">
        <f>'W-Roundup R mielies '!F16</f>
        <v>215.67974999999998</v>
      </c>
      <c r="C18" s="160">
        <f>'Mielie Vermin Bewerk'!F16</f>
        <v>215.67974999999998</v>
      </c>
      <c r="D18" s="160">
        <f>Sojabone!F16</f>
        <v>186.849</v>
      </c>
      <c r="E18" s="160">
        <f>'Sojabone Vermin bewerk'!F16</f>
        <v>186.849</v>
      </c>
      <c r="F18" s="160">
        <f>Graansorghum!E16</f>
        <v>222.62175</v>
      </c>
      <c r="G18" s="160">
        <f>'Bes-mielies'!F16</f>
        <v>0</v>
      </c>
      <c r="H18" s="108"/>
    </row>
    <row r="19" spans="1:8" ht="15">
      <c r="A19" s="160" t="s">
        <v>28</v>
      </c>
      <c r="B19" s="160"/>
      <c r="C19" s="160"/>
      <c r="D19" s="160"/>
      <c r="E19" s="160"/>
      <c r="F19" s="160"/>
      <c r="G19" s="160">
        <f>'Bes-mielies'!F17</f>
        <v>6226.707200000001</v>
      </c>
      <c r="H19" s="152"/>
    </row>
    <row r="20" spans="1:8" ht="15">
      <c r="A20" s="123" t="s">
        <v>29</v>
      </c>
      <c r="B20" s="160">
        <f>'W-Roundup R mielies '!F17</f>
        <v>932.4642396817502</v>
      </c>
      <c r="C20" s="160">
        <f>'Mielie Vermin Bewerk'!F17</f>
        <v>893.8434708105423</v>
      </c>
      <c r="D20" s="160">
        <f>Sojabone!F17</f>
        <v>346.8666566478815</v>
      </c>
      <c r="E20" s="160">
        <f>'Sojabone Vermin bewerk'!F17</f>
        <v>309.400021707368</v>
      </c>
      <c r="F20" s="160">
        <f>Graansorghum!E17</f>
        <v>0</v>
      </c>
      <c r="G20" s="160">
        <f>'Bes-mielies'!F18</f>
        <v>2303.0028165091994</v>
      </c>
      <c r="H20" s="108"/>
    </row>
    <row r="21" spans="1:8" ht="15">
      <c r="A21" s="123" t="s">
        <v>30</v>
      </c>
      <c r="B21" s="160">
        <f>'W-Roundup R mielies '!F18</f>
        <v>0</v>
      </c>
      <c r="C21" s="160">
        <f>'Mielie Vermin Bewerk'!F18</f>
        <v>0</v>
      </c>
      <c r="D21" s="160">
        <f>Sojabone!F18</f>
        <v>0</v>
      </c>
      <c r="E21" s="160">
        <f>'Sojabone Vermin bewerk'!F18</f>
        <v>0</v>
      </c>
      <c r="F21" s="160">
        <f>Graansorghum!E18</f>
        <v>0</v>
      </c>
      <c r="G21" s="160">
        <f>'Bes-mielies'!F19</f>
        <v>0</v>
      </c>
      <c r="H21" s="108"/>
    </row>
    <row r="22" spans="1:8" ht="15">
      <c r="A22" s="123" t="s">
        <v>31</v>
      </c>
      <c r="B22" s="160">
        <f>'W-Roundup R mielies '!F19</f>
        <v>419.1495</v>
      </c>
      <c r="C22" s="160">
        <f>'Mielie Vermin Bewerk'!F19</f>
        <v>440.10697500000003</v>
      </c>
      <c r="D22" s="160">
        <f>Sojabone!F19</f>
        <v>364.116</v>
      </c>
      <c r="E22" s="160">
        <f>'Sojabone Vermin bewerk'!F19</f>
        <v>364.116</v>
      </c>
      <c r="F22" s="160">
        <f>Graansorghum!E19</f>
        <v>340.2675</v>
      </c>
      <c r="G22" s="160">
        <f>'Bes-mielies'!F20</f>
        <v>914.5079999999999</v>
      </c>
      <c r="H22" s="108"/>
    </row>
    <row r="23" spans="1:8" ht="15">
      <c r="A23" s="123" t="s">
        <v>32</v>
      </c>
      <c r="B23" s="160">
        <f>'W-Roundup R mielies '!F20</f>
        <v>0</v>
      </c>
      <c r="C23" s="160">
        <f>'Mielie Vermin Bewerk'!F20</f>
        <v>0</v>
      </c>
      <c r="D23" s="160">
        <f>Sojabone!F20</f>
        <v>0</v>
      </c>
      <c r="E23" s="160">
        <f>'Sojabone Vermin bewerk'!F20</f>
        <v>0</v>
      </c>
      <c r="F23" s="160">
        <f>Graansorghum!E20</f>
        <v>0</v>
      </c>
      <c r="G23" s="160">
        <f>'Bes-mielies'!F21</f>
        <v>0</v>
      </c>
      <c r="H23" s="108"/>
    </row>
    <row r="24" spans="1:8" ht="15">
      <c r="A24" s="123" t="s">
        <v>33</v>
      </c>
      <c r="B24" s="160">
        <f>'W-Roundup R mielies '!F21</f>
        <v>192</v>
      </c>
      <c r="C24" s="160">
        <f>'Mielie Vermin Bewerk'!F21</f>
        <v>192</v>
      </c>
      <c r="D24" s="160">
        <f>Sojabone!F21</f>
        <v>192</v>
      </c>
      <c r="E24" s="160">
        <f>'Sojabone Vermin bewerk'!F21</f>
        <v>192</v>
      </c>
      <c r="F24" s="160">
        <f>Graansorghum!E21</f>
        <v>0</v>
      </c>
      <c r="G24" s="160">
        <f>'Bes-mielies'!F22</f>
        <v>192</v>
      </c>
      <c r="H24" s="108"/>
    </row>
    <row r="25" spans="1:8" ht="15">
      <c r="A25" s="123" t="s">
        <v>34</v>
      </c>
      <c r="B25" s="160">
        <f>'W-Roundup R mielies '!F22</f>
        <v>0</v>
      </c>
      <c r="C25" s="160">
        <f>'Mielie Vermin Bewerk'!F22</f>
        <v>0</v>
      </c>
      <c r="D25" s="160">
        <f>Sojabone!F22</f>
        <v>0</v>
      </c>
      <c r="E25" s="160">
        <f>'Sojabone Vermin bewerk'!F22</f>
        <v>0</v>
      </c>
      <c r="F25" s="160">
        <f>Graansorghum!E22</f>
        <v>192</v>
      </c>
      <c r="G25" s="160">
        <f>'Bes-mielies'!F23</f>
        <v>0</v>
      </c>
      <c r="H25" s="108"/>
    </row>
    <row r="26" spans="1:8" ht="30">
      <c r="A26" s="148" t="s">
        <v>35</v>
      </c>
      <c r="B26" s="160">
        <f>'W-Roundup R mielies '!F23</f>
        <v>0</v>
      </c>
      <c r="C26" s="160">
        <f>'Mielie Vermin Bewerk'!F23</f>
        <v>0</v>
      </c>
      <c r="D26" s="160">
        <f>Sojabone!F23</f>
        <v>0</v>
      </c>
      <c r="E26" s="160">
        <f>'Sojabone Vermin bewerk'!F23</f>
        <v>0</v>
      </c>
      <c r="F26" s="160">
        <f>Graansorghum!E23</f>
        <v>0</v>
      </c>
      <c r="G26" s="160">
        <f>'Bes-mielies'!F24</f>
        <v>0</v>
      </c>
      <c r="H26" s="108"/>
    </row>
    <row r="27" spans="1:8" ht="15.75" thickBot="1">
      <c r="A27" s="123" t="s">
        <v>36</v>
      </c>
      <c r="B27" s="161">
        <f>'W-Roundup R mielies '!F24</f>
        <v>592.7325497567005</v>
      </c>
      <c r="C27" s="161">
        <f>'Mielie Vermin Bewerk'!F24</f>
        <v>568.1827752641061</v>
      </c>
      <c r="D27" s="161">
        <f>Sojabone!F24</f>
        <v>387.4667317572532</v>
      </c>
      <c r="E27" s="161">
        <f>'Sojabone Vermin bewerk'!F24</f>
        <v>345.61469924817374</v>
      </c>
      <c r="F27" s="161">
        <f>Graansorghum!E24</f>
        <v>393.849379725</v>
      </c>
      <c r="G27" s="161">
        <f>'Bes-mielies'!F25</f>
        <v>1463.932527849279</v>
      </c>
      <c r="H27" s="108"/>
    </row>
    <row r="28" spans="1:8" ht="15.75" thickTop="1">
      <c r="A28" s="120" t="s">
        <v>90</v>
      </c>
      <c r="B28" s="124">
        <f aca="true" t="shared" si="2" ref="B28:G28">SUM(B11:B27)</f>
        <v>10901.124719438449</v>
      </c>
      <c r="C28" s="124">
        <f t="shared" si="2"/>
        <v>10449.622345074647</v>
      </c>
      <c r="D28" s="124">
        <f t="shared" si="2"/>
        <v>7126.018588405135</v>
      </c>
      <c r="E28" s="124">
        <f t="shared" si="2"/>
        <v>6356.305120955542</v>
      </c>
      <c r="F28" s="124">
        <f t="shared" si="2"/>
        <v>7435.403809725</v>
      </c>
      <c r="G28" s="124">
        <f t="shared" si="2"/>
        <v>26923.62866435848</v>
      </c>
      <c r="H28" s="108"/>
    </row>
    <row r="29" spans="1:8" ht="15.75" thickBot="1">
      <c r="A29" s="120"/>
      <c r="B29" s="125"/>
      <c r="C29" s="125"/>
      <c r="D29" s="125"/>
      <c r="E29" s="125"/>
      <c r="F29" s="125"/>
      <c r="G29" s="125"/>
      <c r="H29" s="108"/>
    </row>
    <row r="30" spans="1:14" ht="15.75" thickTop="1">
      <c r="A30" s="120" t="s">
        <v>91</v>
      </c>
      <c r="B30" s="124">
        <f>'[2]vaste koste'!D151</f>
        <v>2447.83</v>
      </c>
      <c r="C30" s="124">
        <f>'[2]vaste koste'!E151</f>
        <v>2238.9100000000003</v>
      </c>
      <c r="D30" s="124">
        <f>'[2]vaste koste'!F151</f>
        <v>2134.55</v>
      </c>
      <c r="E30" s="124">
        <f>'[2]vaste koste'!G151</f>
        <v>1513.5200000000004</v>
      </c>
      <c r="F30" s="124">
        <f>'[2]vaste koste'!H151</f>
        <v>2509.6</v>
      </c>
      <c r="G30" s="124">
        <f>'[2]vaste koste'!I151</f>
        <v>3855.4500000000003</v>
      </c>
      <c r="H30" s="108"/>
      <c r="I30" s="126"/>
      <c r="J30" s="126"/>
      <c r="K30" s="126"/>
      <c r="L30" s="126"/>
      <c r="M30" s="126"/>
      <c r="N30" s="126"/>
    </row>
    <row r="31" spans="1:8" ht="15">
      <c r="A31" s="120"/>
      <c r="B31" s="124"/>
      <c r="C31" s="124"/>
      <c r="D31" s="124"/>
      <c r="E31" s="124"/>
      <c r="F31" s="124"/>
      <c r="G31" s="124"/>
      <c r="H31" s="108"/>
    </row>
    <row r="32" spans="1:8" ht="15.75" thickBot="1">
      <c r="A32" s="120" t="s">
        <v>92</v>
      </c>
      <c r="B32" s="127">
        <f aca="true" t="shared" si="3" ref="B32:G32">B28+B30</f>
        <v>13348.954719438449</v>
      </c>
      <c r="C32" s="127">
        <f t="shared" si="3"/>
        <v>12688.532345074647</v>
      </c>
      <c r="D32" s="127">
        <f t="shared" si="3"/>
        <v>9260.568588405135</v>
      </c>
      <c r="E32" s="127">
        <f t="shared" si="3"/>
        <v>7869.825120955543</v>
      </c>
      <c r="F32" s="127">
        <f t="shared" si="3"/>
        <v>9945.003809725</v>
      </c>
      <c r="G32" s="127">
        <f t="shared" si="3"/>
        <v>30779.07866435848</v>
      </c>
      <c r="H32" s="108"/>
    </row>
    <row r="33" spans="1:8" ht="16.5" thickBot="1" thickTop="1">
      <c r="A33" s="128"/>
      <c r="B33" s="125"/>
      <c r="C33" s="125"/>
      <c r="D33" s="125"/>
      <c r="E33" s="125"/>
      <c r="F33" s="125"/>
      <c r="G33" s="125"/>
      <c r="H33" s="108"/>
    </row>
    <row r="34" spans="1:8" ht="15.75" thickTop="1">
      <c r="A34" s="129" t="s">
        <v>93</v>
      </c>
      <c r="B34" s="130">
        <f aca="true" t="shared" si="4" ref="B34:G34">B8-B28</f>
        <v>159.37528056155134</v>
      </c>
      <c r="C34" s="130">
        <f t="shared" si="4"/>
        <v>610.8776549253525</v>
      </c>
      <c r="D34" s="130">
        <f t="shared" si="4"/>
        <v>2247.9814115948648</v>
      </c>
      <c r="E34" s="130">
        <f t="shared" si="4"/>
        <v>3017.6948790444576</v>
      </c>
      <c r="F34" s="130">
        <f t="shared" si="4"/>
        <v>3981.0961902749996</v>
      </c>
      <c r="G34" s="130">
        <f t="shared" si="4"/>
        <v>-2791.628664358479</v>
      </c>
      <c r="H34" s="108"/>
    </row>
    <row r="35" spans="1:8" ht="15">
      <c r="A35" s="129" t="s">
        <v>94</v>
      </c>
      <c r="B35" s="130">
        <f aca="true" t="shared" si="5" ref="B35:G35">B8-B32</f>
        <v>-2288.4547194384486</v>
      </c>
      <c r="C35" s="130">
        <f t="shared" si="5"/>
        <v>-1628.0323450746473</v>
      </c>
      <c r="D35" s="130">
        <f t="shared" si="5"/>
        <v>113.4314115948655</v>
      </c>
      <c r="E35" s="130">
        <f t="shared" si="5"/>
        <v>1504.1748790444572</v>
      </c>
      <c r="F35" s="130">
        <f t="shared" si="5"/>
        <v>1471.4961902750001</v>
      </c>
      <c r="G35" s="130">
        <f t="shared" si="5"/>
        <v>-6647.07866435848</v>
      </c>
      <c r="H35" s="108"/>
    </row>
    <row r="36" spans="1:8" ht="15">
      <c r="A36" s="129"/>
      <c r="B36" s="130"/>
      <c r="C36" s="130"/>
      <c r="D36" s="130"/>
      <c r="E36" s="130"/>
      <c r="F36" s="130"/>
      <c r="G36" s="130"/>
      <c r="H36" s="108"/>
    </row>
    <row r="37" spans="1:8" ht="33.75" customHeight="1">
      <c r="A37" s="240" t="s">
        <v>95</v>
      </c>
      <c r="B37" s="241"/>
      <c r="C37" s="241"/>
      <c r="D37" s="241"/>
      <c r="E37" s="242"/>
      <c r="F37" s="242"/>
      <c r="G37" s="242"/>
      <c r="H37" s="108"/>
    </row>
    <row r="38" spans="1:8" ht="9.75" customHeight="1">
      <c r="A38" s="131"/>
      <c r="B38" s="131"/>
      <c r="C38" s="131"/>
      <c r="D38" s="131"/>
      <c r="E38" s="132"/>
      <c r="F38" s="132"/>
      <c r="G38" s="132"/>
      <c r="H38" s="108"/>
    </row>
    <row r="39" spans="1:8" ht="12.75">
      <c r="A39" s="133"/>
      <c r="B39" s="133"/>
      <c r="C39" s="133"/>
      <c r="D39" s="133"/>
      <c r="E39" s="133"/>
      <c r="F39" s="133"/>
      <c r="G39" s="133"/>
      <c r="H39" s="108"/>
    </row>
    <row r="40" spans="1:8" ht="12.75">
      <c r="A40" s="133"/>
      <c r="B40" s="133"/>
      <c r="C40" s="133"/>
      <c r="D40" s="133"/>
      <c r="E40" s="133"/>
      <c r="F40" s="133"/>
      <c r="G40" s="133"/>
      <c r="H40" s="108"/>
    </row>
    <row r="41" spans="1:8" ht="12.75">
      <c r="A41" s="133"/>
      <c r="B41" s="133"/>
      <c r="C41" s="133"/>
      <c r="D41" s="133"/>
      <c r="E41" s="133"/>
      <c r="F41" s="133"/>
      <c r="G41" s="133"/>
      <c r="H41" s="108"/>
    </row>
    <row r="42" spans="1:8" ht="12.75">
      <c r="A42" s="133"/>
      <c r="B42" s="133"/>
      <c r="C42" s="133"/>
      <c r="D42" s="133"/>
      <c r="E42" s="133"/>
      <c r="F42" s="133"/>
      <c r="G42" s="133"/>
      <c r="H42" s="108"/>
    </row>
    <row r="43" spans="1:8" ht="12.75">
      <c r="A43" s="133"/>
      <c r="B43" s="133"/>
      <c r="C43" s="133"/>
      <c r="D43" s="133"/>
      <c r="E43" s="133"/>
      <c r="F43" s="133"/>
      <c r="G43" s="133"/>
      <c r="H43" s="108"/>
    </row>
    <row r="44" spans="1:8" ht="12.75">
      <c r="A44" s="133"/>
      <c r="B44" s="133"/>
      <c r="C44" s="133"/>
      <c r="D44" s="133"/>
      <c r="E44" s="133"/>
      <c r="F44" s="133"/>
      <c r="G44" s="133"/>
      <c r="H44" s="108"/>
    </row>
    <row r="45" spans="1:8" ht="12.75">
      <c r="A45" s="133"/>
      <c r="B45" s="133"/>
      <c r="C45" s="133"/>
      <c r="D45" s="133"/>
      <c r="E45" s="133"/>
      <c r="F45" s="133"/>
      <c r="G45" s="133"/>
      <c r="H45" s="108"/>
    </row>
    <row r="46" spans="1:8" ht="12.75">
      <c r="A46" s="133"/>
      <c r="B46" s="133"/>
      <c r="C46" s="133"/>
      <c r="D46" s="133"/>
      <c r="E46" s="133"/>
      <c r="F46" s="133"/>
      <c r="G46" s="133"/>
      <c r="H46" s="108"/>
    </row>
    <row r="47" spans="1:8" ht="12.75">
      <c r="A47" s="133"/>
      <c r="B47" s="133"/>
      <c r="C47" s="133"/>
      <c r="D47" s="133"/>
      <c r="E47" s="133"/>
      <c r="F47" s="133"/>
      <c r="G47" s="133"/>
      <c r="H47" s="108"/>
    </row>
    <row r="48" spans="1:8" ht="12.75">
      <c r="A48" s="133"/>
      <c r="B48" s="133"/>
      <c r="C48" s="133"/>
      <c r="D48" s="133"/>
      <c r="E48" s="133"/>
      <c r="F48" s="133"/>
      <c r="G48" s="133"/>
      <c r="H48" s="108"/>
    </row>
    <row r="49" spans="1:8" ht="12.75">
      <c r="A49" s="133"/>
      <c r="B49" s="133"/>
      <c r="C49" s="133"/>
      <c r="D49" s="133"/>
      <c r="E49" s="133"/>
      <c r="F49" s="133"/>
      <c r="G49" s="133"/>
      <c r="H49" s="108"/>
    </row>
    <row r="50" spans="1:8" ht="12.75">
      <c r="A50" s="133"/>
      <c r="B50" s="133"/>
      <c r="C50" s="133"/>
      <c r="D50" s="133"/>
      <c r="E50" s="133"/>
      <c r="F50" s="133"/>
      <c r="G50" s="133"/>
      <c r="H50" s="108"/>
    </row>
    <row r="51" spans="1:8" ht="12.75">
      <c r="A51" s="133"/>
      <c r="B51" s="133"/>
      <c r="C51" s="133"/>
      <c r="D51" s="133"/>
      <c r="E51" s="133"/>
      <c r="F51" s="133"/>
      <c r="G51" s="133"/>
      <c r="H51" s="108"/>
    </row>
    <row r="52" spans="1:8" ht="12.75">
      <c r="A52" s="133"/>
      <c r="B52" s="133"/>
      <c r="C52" s="133"/>
      <c r="D52" s="133"/>
      <c r="E52" s="133"/>
      <c r="F52" s="133"/>
      <c r="G52" s="133"/>
      <c r="H52" s="108"/>
    </row>
    <row r="53" spans="1:8" ht="12.75">
      <c r="A53" s="133"/>
      <c r="B53" s="133"/>
      <c r="C53" s="133"/>
      <c r="D53" s="133"/>
      <c r="E53" s="133"/>
      <c r="F53" s="133"/>
      <c r="G53" s="133"/>
      <c r="H53" s="108"/>
    </row>
    <row r="54" spans="1:8" ht="12.75">
      <c r="A54" s="133"/>
      <c r="B54" s="133"/>
      <c r="C54" s="133"/>
      <c r="D54" s="133"/>
      <c r="E54" s="133"/>
      <c r="F54" s="133"/>
      <c r="G54" s="133"/>
      <c r="H54" s="108"/>
    </row>
    <row r="55" spans="1:8" ht="12.75">
      <c r="A55" s="133"/>
      <c r="B55" s="133"/>
      <c r="C55" s="133"/>
      <c r="D55" s="133"/>
      <c r="E55" s="133"/>
      <c r="F55" s="133"/>
      <c r="G55" s="133"/>
      <c r="H55" s="108"/>
    </row>
    <row r="56" spans="1:8" ht="12.75">
      <c r="A56" s="133"/>
      <c r="B56" s="133"/>
      <c r="C56" s="133"/>
      <c r="D56" s="133"/>
      <c r="E56" s="133"/>
      <c r="F56" s="133"/>
      <c r="G56" s="133"/>
      <c r="H56" s="108"/>
    </row>
    <row r="57" spans="1:8" ht="12.75">
      <c r="A57" s="133"/>
      <c r="B57" s="133"/>
      <c r="C57" s="133"/>
      <c r="D57" s="133"/>
      <c r="E57" s="133"/>
      <c r="F57" s="133"/>
      <c r="G57" s="133"/>
      <c r="H57" s="108"/>
    </row>
    <row r="58" spans="1:8" ht="15">
      <c r="A58" s="134" t="s">
        <v>96</v>
      </c>
      <c r="B58" s="135"/>
      <c r="C58" s="135"/>
      <c r="D58" s="135"/>
      <c r="E58" s="135"/>
      <c r="F58" s="135"/>
      <c r="G58" s="135"/>
      <c r="H58" s="108"/>
    </row>
    <row r="59" spans="1:8" ht="30.75" thickBot="1">
      <c r="A59" s="136"/>
      <c r="B59" s="137" t="str">
        <f aca="true" t="shared" si="6" ref="B59:G59">B2</f>
        <v>Maize (RR)</v>
      </c>
      <c r="C59" s="137" t="str">
        <f t="shared" si="6"/>
        <v>Maize (min tillage)</v>
      </c>
      <c r="D59" s="137" t="str">
        <f t="shared" si="6"/>
        <v>Soy bean (conventional)</v>
      </c>
      <c r="E59" s="137" t="str">
        <f t="shared" si="6"/>
        <v>Soy bean (min tillage)</v>
      </c>
      <c r="F59" s="137" t="str">
        <f t="shared" si="6"/>
        <v>Grain Sorghum</v>
      </c>
      <c r="G59" s="137" t="str">
        <f t="shared" si="6"/>
        <v>Irr-Maize</v>
      </c>
      <c r="H59" s="108"/>
    </row>
    <row r="60" spans="1:8" ht="15">
      <c r="A60" s="138" t="s">
        <v>85</v>
      </c>
      <c r="B60" s="139">
        <f aca="true" t="shared" si="7" ref="B60:G60">B5</f>
        <v>2300</v>
      </c>
      <c r="C60" s="139">
        <f t="shared" si="7"/>
        <v>2300</v>
      </c>
      <c r="D60" s="139">
        <f t="shared" si="7"/>
        <v>4750</v>
      </c>
      <c r="E60" s="139">
        <f t="shared" si="7"/>
        <v>4750</v>
      </c>
      <c r="F60" s="139">
        <f t="shared" si="7"/>
        <v>2600</v>
      </c>
      <c r="G60" s="139">
        <f t="shared" si="7"/>
        <v>2300</v>
      </c>
      <c r="H60" s="108"/>
    </row>
    <row r="61" spans="1:8" ht="12.75">
      <c r="A61" s="140" t="s">
        <v>97</v>
      </c>
      <c r="B61" s="141">
        <f aca="true" t="shared" si="8" ref="B61:G61">B4</f>
        <v>5.5</v>
      </c>
      <c r="C61" s="141">
        <f t="shared" si="8"/>
        <v>5.5</v>
      </c>
      <c r="D61" s="141">
        <f t="shared" si="8"/>
        <v>2</v>
      </c>
      <c r="E61" s="141">
        <f t="shared" si="8"/>
        <v>2</v>
      </c>
      <c r="F61" s="141">
        <f t="shared" si="8"/>
        <v>4.5</v>
      </c>
      <c r="G61" s="141">
        <f t="shared" si="8"/>
        <v>12</v>
      </c>
      <c r="H61" s="108"/>
    </row>
    <row r="62" spans="1:8" ht="12.75">
      <c r="A62" s="140"/>
      <c r="B62" s="141"/>
      <c r="C62" s="141"/>
      <c r="D62" s="141"/>
      <c r="E62" s="141"/>
      <c r="F62" s="141"/>
      <c r="G62" s="141"/>
      <c r="H62" s="108"/>
    </row>
    <row r="63" spans="1:8" ht="15">
      <c r="A63" s="142" t="s">
        <v>83</v>
      </c>
      <c r="B63" s="143"/>
      <c r="C63" s="143"/>
      <c r="D63" s="143"/>
      <c r="E63" s="143"/>
      <c r="F63" s="143"/>
      <c r="G63" s="143"/>
      <c r="H63" s="108"/>
    </row>
    <row r="64" spans="1:8" ht="12.75">
      <c r="A64" s="140" t="s">
        <v>98</v>
      </c>
      <c r="B64" s="139">
        <f aca="true" t="shared" si="9" ref="B64:G64">B7</f>
        <v>2011</v>
      </c>
      <c r="C64" s="139">
        <f t="shared" si="9"/>
        <v>2011</v>
      </c>
      <c r="D64" s="139">
        <f t="shared" si="9"/>
        <v>4687</v>
      </c>
      <c r="E64" s="139">
        <f t="shared" si="9"/>
        <v>4687</v>
      </c>
      <c r="F64" s="139">
        <f t="shared" si="9"/>
        <v>2537</v>
      </c>
      <c r="G64" s="139">
        <f t="shared" si="9"/>
        <v>2011</v>
      </c>
      <c r="H64" s="108"/>
    </row>
    <row r="65" spans="1:8" ht="12.75">
      <c r="A65" s="140" t="s">
        <v>99</v>
      </c>
      <c r="B65" s="139">
        <f aca="true" t="shared" si="10" ref="B65:G65">B64/B61</f>
        <v>365.6363636363636</v>
      </c>
      <c r="C65" s="139">
        <f t="shared" si="10"/>
        <v>365.6363636363636</v>
      </c>
      <c r="D65" s="139">
        <f t="shared" si="10"/>
        <v>2343.5</v>
      </c>
      <c r="E65" s="139">
        <f t="shared" si="10"/>
        <v>2343.5</v>
      </c>
      <c r="F65" s="139">
        <f t="shared" si="10"/>
        <v>563.7777777777778</v>
      </c>
      <c r="G65" s="139">
        <f t="shared" si="10"/>
        <v>167.58333333333334</v>
      </c>
      <c r="H65" s="108"/>
    </row>
    <row r="66" spans="1:8" ht="12.75">
      <c r="A66" s="140"/>
      <c r="B66" s="139"/>
      <c r="C66" s="139"/>
      <c r="D66" s="139"/>
      <c r="E66" s="139"/>
      <c r="F66" s="139"/>
      <c r="G66" s="139"/>
      <c r="H66" s="108"/>
    </row>
    <row r="67" spans="1:8" ht="15">
      <c r="A67" s="146" t="s">
        <v>106</v>
      </c>
      <c r="B67" s="143"/>
      <c r="C67" s="143"/>
      <c r="D67" s="143"/>
      <c r="E67" s="143"/>
      <c r="F67" s="143"/>
      <c r="G67" s="143"/>
      <c r="H67" s="108"/>
    </row>
    <row r="68" spans="1:8" ht="12.75">
      <c r="A68" s="147" t="s">
        <v>107</v>
      </c>
      <c r="B68" s="154">
        <f aca="true" t="shared" si="11" ref="B68:G68">B28</f>
        <v>10901.124719438449</v>
      </c>
      <c r="C68" s="154">
        <f t="shared" si="11"/>
        <v>10449.622345074647</v>
      </c>
      <c r="D68" s="154">
        <f t="shared" si="11"/>
        <v>7126.018588405135</v>
      </c>
      <c r="E68" s="154">
        <f t="shared" si="11"/>
        <v>6356.305120955542</v>
      </c>
      <c r="F68" s="154">
        <f t="shared" si="11"/>
        <v>7435.403809725</v>
      </c>
      <c r="G68" s="154">
        <f t="shared" si="11"/>
        <v>26923.62866435848</v>
      </c>
      <c r="H68" s="108"/>
    </row>
    <row r="69" spans="1:8" ht="12.75">
      <c r="A69" s="147" t="s">
        <v>108</v>
      </c>
      <c r="B69" s="154">
        <f aca="true" t="shared" si="12" ref="B69:G69">B68/B61</f>
        <v>1982.0226762615362</v>
      </c>
      <c r="C69" s="154">
        <f t="shared" si="12"/>
        <v>1899.9313354681178</v>
      </c>
      <c r="D69" s="154">
        <f t="shared" si="12"/>
        <v>3563.0092942025676</v>
      </c>
      <c r="E69" s="154">
        <f t="shared" si="12"/>
        <v>3178.152560477771</v>
      </c>
      <c r="F69" s="154">
        <f t="shared" si="12"/>
        <v>1652.3119577166667</v>
      </c>
      <c r="G69" s="154">
        <f t="shared" si="12"/>
        <v>2243.6357220298732</v>
      </c>
      <c r="H69" s="108"/>
    </row>
    <row r="70" spans="1:8" ht="12.75">
      <c r="A70" s="140"/>
      <c r="B70" s="139"/>
      <c r="C70" s="139"/>
      <c r="D70" s="139"/>
      <c r="E70" s="139"/>
      <c r="F70" s="139"/>
      <c r="G70" s="139"/>
      <c r="H70" s="108"/>
    </row>
    <row r="71" spans="1:8" ht="12.75">
      <c r="A71" s="140" t="s">
        <v>100</v>
      </c>
      <c r="B71" s="139">
        <f aca="true" t="shared" si="13" ref="B71:G71">B32</f>
        <v>13348.954719438449</v>
      </c>
      <c r="C71" s="139">
        <f t="shared" si="13"/>
        <v>12688.532345074647</v>
      </c>
      <c r="D71" s="139">
        <f t="shared" si="13"/>
        <v>9260.568588405135</v>
      </c>
      <c r="E71" s="139">
        <f t="shared" si="13"/>
        <v>7869.825120955543</v>
      </c>
      <c r="F71" s="139">
        <f>F32</f>
        <v>9945.003809725</v>
      </c>
      <c r="G71" s="139">
        <f t="shared" si="13"/>
        <v>30779.07866435848</v>
      </c>
      <c r="H71" s="108"/>
    </row>
    <row r="72" spans="1:8" ht="12.75">
      <c r="A72" s="140" t="s">
        <v>101</v>
      </c>
      <c r="B72" s="139">
        <f aca="true" t="shared" si="14" ref="B72:G72">B71/B61</f>
        <v>2427.082676261536</v>
      </c>
      <c r="C72" s="139">
        <f t="shared" si="14"/>
        <v>2307.005880922663</v>
      </c>
      <c r="D72" s="139">
        <f t="shared" si="14"/>
        <v>4630.284294202567</v>
      </c>
      <c r="E72" s="139">
        <f t="shared" si="14"/>
        <v>3934.9125604777714</v>
      </c>
      <c r="F72" s="139">
        <f t="shared" si="14"/>
        <v>2210.0008466055556</v>
      </c>
      <c r="G72" s="139">
        <f t="shared" si="14"/>
        <v>2564.923222029873</v>
      </c>
      <c r="H72" s="108"/>
    </row>
    <row r="73" spans="1:8" ht="12.75">
      <c r="A73" s="140"/>
      <c r="B73" s="139"/>
      <c r="C73" s="139"/>
      <c r="D73" s="139"/>
      <c r="E73" s="139"/>
      <c r="F73" s="139"/>
      <c r="G73" s="139"/>
      <c r="H73" s="108"/>
    </row>
    <row r="74" spans="1:8" ht="12.75">
      <c r="A74" s="149" t="s">
        <v>109</v>
      </c>
      <c r="B74" s="144"/>
      <c r="C74" s="144"/>
      <c r="D74" s="144"/>
      <c r="E74" s="144"/>
      <c r="F74" s="144"/>
      <c r="G74" s="144"/>
      <c r="H74" s="108"/>
    </row>
    <row r="75" spans="1:8" ht="12.75">
      <c r="A75" s="147" t="s">
        <v>110</v>
      </c>
      <c r="B75" s="154">
        <f aca="true" t="shared" si="15" ref="B75:G75">B34</f>
        <v>159.37528056155134</v>
      </c>
      <c r="C75" s="154">
        <f t="shared" si="15"/>
        <v>610.8776549253525</v>
      </c>
      <c r="D75" s="154">
        <f t="shared" si="15"/>
        <v>2247.9814115948648</v>
      </c>
      <c r="E75" s="154">
        <f t="shared" si="15"/>
        <v>3017.6948790444576</v>
      </c>
      <c r="F75" s="154">
        <f t="shared" si="15"/>
        <v>3981.0961902749996</v>
      </c>
      <c r="G75" s="154">
        <f t="shared" si="15"/>
        <v>-2791.628664358479</v>
      </c>
      <c r="H75" s="108"/>
    </row>
    <row r="76" spans="1:8" ht="12.75">
      <c r="A76" s="147" t="s">
        <v>111</v>
      </c>
      <c r="B76" s="154">
        <f aca="true" t="shared" si="16" ref="B76:G76">B75/B61</f>
        <v>28.97732373846388</v>
      </c>
      <c r="C76" s="154">
        <f t="shared" si="16"/>
        <v>111.06866453188228</v>
      </c>
      <c r="D76" s="154">
        <f t="shared" si="16"/>
        <v>1123.9907057974324</v>
      </c>
      <c r="E76" s="154">
        <f t="shared" si="16"/>
        <v>1508.8474395222288</v>
      </c>
      <c r="F76" s="154">
        <f t="shared" si="16"/>
        <v>884.6880422833333</v>
      </c>
      <c r="G76" s="154">
        <f t="shared" si="16"/>
        <v>-232.63572202987325</v>
      </c>
      <c r="H76" s="108"/>
    </row>
    <row r="77" spans="1:8" ht="12.75">
      <c r="A77" s="140"/>
      <c r="B77" s="139"/>
      <c r="C77" s="139"/>
      <c r="D77" s="139"/>
      <c r="E77" s="139"/>
      <c r="F77" s="139"/>
      <c r="G77" s="139"/>
      <c r="H77" s="108"/>
    </row>
    <row r="78" spans="1:8" ht="12.75">
      <c r="A78" s="140" t="s">
        <v>102</v>
      </c>
      <c r="B78" s="139">
        <f aca="true" t="shared" si="17" ref="B78:G78">B35</f>
        <v>-2288.4547194384486</v>
      </c>
      <c r="C78" s="139">
        <f t="shared" si="17"/>
        <v>-1628.0323450746473</v>
      </c>
      <c r="D78" s="139">
        <f t="shared" si="17"/>
        <v>113.4314115948655</v>
      </c>
      <c r="E78" s="139">
        <f t="shared" si="17"/>
        <v>1504.1748790444572</v>
      </c>
      <c r="F78" s="139">
        <f t="shared" si="17"/>
        <v>1471.4961902750001</v>
      </c>
      <c r="G78" s="139">
        <f t="shared" si="17"/>
        <v>-6647.07866435848</v>
      </c>
      <c r="H78" s="108"/>
    </row>
    <row r="79" spans="1:8" ht="12.75">
      <c r="A79" s="140" t="s">
        <v>103</v>
      </c>
      <c r="B79" s="139">
        <f aca="true" t="shared" si="18" ref="B79:G79">B78/B4</f>
        <v>-416.0826762615361</v>
      </c>
      <c r="C79" s="139">
        <f t="shared" si="18"/>
        <v>-296.00588092266315</v>
      </c>
      <c r="D79" s="139">
        <f t="shared" si="18"/>
        <v>56.71570579743275</v>
      </c>
      <c r="E79" s="139">
        <f t="shared" si="18"/>
        <v>752.0874395222286</v>
      </c>
      <c r="F79" s="139">
        <f t="shared" si="18"/>
        <v>326.9991533944445</v>
      </c>
      <c r="G79" s="139">
        <f t="shared" si="18"/>
        <v>-553.9232220298733</v>
      </c>
      <c r="H79" s="108"/>
    </row>
    <row r="80" spans="1:8" ht="12.75">
      <c r="A80" s="140"/>
      <c r="B80" s="139"/>
      <c r="C80" s="139"/>
      <c r="D80" s="139"/>
      <c r="E80" s="139"/>
      <c r="F80" s="139"/>
      <c r="G80" s="139"/>
      <c r="H80" s="108"/>
    </row>
    <row r="81" spans="1:8" ht="15">
      <c r="A81" s="156" t="s">
        <v>112</v>
      </c>
      <c r="B81" s="144"/>
      <c r="C81" s="144"/>
      <c r="D81" s="144"/>
      <c r="E81" s="144"/>
      <c r="F81" s="144"/>
      <c r="G81" s="144"/>
      <c r="H81" s="108"/>
    </row>
    <row r="82" spans="1:8" ht="13.5" thickBot="1">
      <c r="A82" s="147" t="s">
        <v>104</v>
      </c>
      <c r="B82" s="145">
        <f aca="true" t="shared" si="19" ref="B82:G82">B68/B61</f>
        <v>1982.0226762615362</v>
      </c>
      <c r="C82" s="145">
        <f t="shared" si="19"/>
        <v>1899.9313354681178</v>
      </c>
      <c r="D82" s="145">
        <f t="shared" si="19"/>
        <v>3563.0092942025676</v>
      </c>
      <c r="E82" s="145">
        <f t="shared" si="19"/>
        <v>3178.152560477771</v>
      </c>
      <c r="F82" s="145">
        <f t="shared" si="19"/>
        <v>1652.3119577166667</v>
      </c>
      <c r="G82" s="145">
        <f t="shared" si="19"/>
        <v>2243.6357220298732</v>
      </c>
      <c r="H82" s="108"/>
    </row>
    <row r="83" spans="1:8" ht="14.25" thickBot="1" thickTop="1">
      <c r="A83" s="147" t="s">
        <v>105</v>
      </c>
      <c r="B83" s="155">
        <f aca="true" t="shared" si="20" ref="B83:G83">B69+B6</f>
        <v>2271.022676261536</v>
      </c>
      <c r="C83" s="155">
        <f t="shared" si="20"/>
        <v>2188.931335468118</v>
      </c>
      <c r="D83" s="155">
        <f t="shared" si="20"/>
        <v>3626.0092942025676</v>
      </c>
      <c r="E83" s="155">
        <f t="shared" si="20"/>
        <v>3241.152560477771</v>
      </c>
      <c r="F83" s="155">
        <f t="shared" si="20"/>
        <v>1715.3119577166667</v>
      </c>
      <c r="G83" s="155">
        <f t="shared" si="20"/>
        <v>2532.6357220298732</v>
      </c>
      <c r="H83" s="108"/>
    </row>
    <row r="84" spans="1:8" ht="15.75" thickTop="1">
      <c r="A84" s="156" t="s">
        <v>113</v>
      </c>
      <c r="B84" s="144"/>
      <c r="C84" s="144"/>
      <c r="D84" s="144"/>
      <c r="E84" s="144"/>
      <c r="F84" s="144"/>
      <c r="G84" s="144"/>
      <c r="H84" s="108"/>
    </row>
    <row r="85" spans="1:8" ht="13.5" thickBot="1">
      <c r="A85" s="140" t="s">
        <v>104</v>
      </c>
      <c r="B85" s="145">
        <f aca="true" t="shared" si="21" ref="B85:G85">B71/B64</f>
        <v>6.637968532788886</v>
      </c>
      <c r="C85" s="145">
        <f t="shared" si="21"/>
        <v>6.309563572886448</v>
      </c>
      <c r="D85" s="145">
        <f t="shared" si="21"/>
        <v>1.975798717389617</v>
      </c>
      <c r="E85" s="145">
        <f t="shared" si="21"/>
        <v>1.6790751271507451</v>
      </c>
      <c r="F85" s="145">
        <f t="shared" si="21"/>
        <v>3.919985735011825</v>
      </c>
      <c r="G85" s="145">
        <f t="shared" si="21"/>
        <v>15.305359852987808</v>
      </c>
      <c r="H85" s="108"/>
    </row>
    <row r="86" spans="1:8" ht="14.25" thickBot="1" thickTop="1">
      <c r="A86" s="140" t="s">
        <v>105</v>
      </c>
      <c r="B86" s="155">
        <f aca="true" t="shared" si="22" ref="B86:G86">B72+B6</f>
        <v>2716.082676261536</v>
      </c>
      <c r="C86" s="155">
        <f t="shared" si="22"/>
        <v>2596.005880922663</v>
      </c>
      <c r="D86" s="155">
        <f t="shared" si="22"/>
        <v>4693.284294202567</v>
      </c>
      <c r="E86" s="155">
        <f t="shared" si="22"/>
        <v>3997.9125604777714</v>
      </c>
      <c r="F86" s="155">
        <f t="shared" si="22"/>
        <v>2273.0008466055556</v>
      </c>
      <c r="G86" s="155">
        <f t="shared" si="22"/>
        <v>2853.923222029873</v>
      </c>
      <c r="H86" s="108"/>
    </row>
    <row r="87" ht="13.5" thickTop="1"/>
  </sheetData>
  <sheetProtection/>
  <mergeCells count="1">
    <mergeCell ref="A37:G37"/>
  </mergeCells>
  <conditionalFormatting sqref="E35:G35 B35:D36 B34:G34">
    <cfRule type="colorScale" priority="2" dxfId="30">
      <colorScale>
        <cfvo type="min" val="0"/>
        <cfvo type="percentile" val="50"/>
        <cfvo type="max"/>
        <color rgb="FFF8696B"/>
        <color rgb="FFFFEB84"/>
        <color rgb="FF63BE7B"/>
      </colorScale>
    </cfRule>
  </conditionalFormatting>
  <conditionalFormatting sqref="E34:G36">
    <cfRule type="colorScale" priority="3" dxfId="30">
      <colorScale>
        <cfvo type="min" val="0"/>
        <cfvo type="percentile" val="50"/>
        <cfvo type="max"/>
        <color rgb="FFF8696B"/>
        <color rgb="FFFFEB84"/>
        <color rgb="FF63BE7B"/>
      </colorScale>
    </cfRule>
  </conditionalFormatting>
  <conditionalFormatting sqref="B34:G36">
    <cfRule type="colorScale" priority="55" dxfId="30">
      <colorScale>
        <cfvo type="min" val="0"/>
        <cfvo type="percentile" val="50"/>
        <cfvo type="max"/>
        <color rgb="FFF8696B"/>
        <color rgb="FFFFEB84"/>
        <color rgb="FF63BE7B"/>
      </colorScale>
    </cfRule>
  </conditionalFormatting>
  <printOptions/>
  <pageMargins left="0.3937007874015748" right="0.31496062992125984" top="0.7480314960629921" bottom="0.7480314960629921" header="0.31496062992125984" footer="0.31496062992125984"/>
  <pageSetup horizontalDpi="600" verticalDpi="600" orientation="portrait" paperSize="9" scale="6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43"/>
  <sheetViews>
    <sheetView zoomScale="80" zoomScaleNormal="80" zoomScalePageLayoutView="0" workbookViewId="0" topLeftCell="A10">
      <selection activeCell="D26" sqref="D26"/>
    </sheetView>
  </sheetViews>
  <sheetFormatPr defaultColWidth="9.140625" defaultRowHeight="12.75"/>
  <cols>
    <col min="1" max="1" width="47.8515625" style="1" customWidth="1"/>
    <col min="2" max="2" width="13.28125" style="1" customWidth="1"/>
    <col min="3" max="3" width="17.28125" style="1" customWidth="1"/>
    <col min="4" max="4" width="16.140625" style="1" customWidth="1"/>
    <col min="5" max="6" width="14.28125" style="1" customWidth="1"/>
    <col min="7" max="7" width="14.8515625" style="1" customWidth="1"/>
    <col min="8" max="8" width="14.57421875" style="1" customWidth="1"/>
    <col min="9" max="9" width="16.28125" style="1" customWidth="1"/>
    <col min="10" max="10" width="14.421875" style="1" customWidth="1"/>
    <col min="11" max="13" width="12.7109375" style="1" hidden="1" customWidth="1"/>
    <col min="14" max="26" width="12.7109375" style="1" customWidth="1"/>
    <col min="27" max="16384" width="9.140625" style="1" customWidth="1"/>
  </cols>
  <sheetData>
    <row r="1" spans="1:10" s="3" customFormat="1" ht="30" customHeight="1" thickBot="1">
      <c r="A1" s="215" t="s">
        <v>115</v>
      </c>
      <c r="B1" s="216"/>
      <c r="C1" s="216"/>
      <c r="D1" s="216"/>
      <c r="E1" s="14"/>
      <c r="F1" s="217" t="s">
        <v>80</v>
      </c>
      <c r="G1" s="217"/>
      <c r="H1" s="217"/>
      <c r="I1" s="16"/>
      <c r="J1" s="15"/>
    </row>
    <row r="2" spans="1:10" ht="16.5" thickBot="1">
      <c r="A2" s="17"/>
      <c r="B2" s="18"/>
      <c r="C2" s="19"/>
      <c r="D2" s="19"/>
      <c r="E2" s="10"/>
      <c r="F2" s="10"/>
      <c r="G2" s="10"/>
      <c r="H2" s="10"/>
      <c r="I2" s="4"/>
      <c r="J2" s="3"/>
    </row>
    <row r="3" spans="1:11" ht="27.75" customHeight="1" thickBot="1">
      <c r="A3" s="218" t="s">
        <v>16</v>
      </c>
      <c r="B3" s="219"/>
      <c r="C3" s="219"/>
      <c r="D3" s="29"/>
      <c r="E3" s="37">
        <f>'Pryse + Sensatiwiteitsanalise'!B19</f>
        <v>2011</v>
      </c>
      <c r="F3" s="29" t="s">
        <v>0</v>
      </c>
      <c r="G3" s="20"/>
      <c r="H3" s="20"/>
      <c r="I3" s="5"/>
      <c r="K3" s="3"/>
    </row>
    <row r="4" spans="1:11" ht="13.5" thickBot="1">
      <c r="A4" s="80"/>
      <c r="B4" s="90"/>
      <c r="C4" s="90"/>
      <c r="D4" s="6"/>
      <c r="E4" s="9"/>
      <c r="F4" s="21"/>
      <c r="G4" s="7"/>
      <c r="H4" s="22"/>
      <c r="I4" s="22"/>
      <c r="J4" s="3"/>
      <c r="K4" s="15"/>
    </row>
    <row r="5" spans="1:11" ht="13.5" thickBot="1">
      <c r="A5" s="80" t="s">
        <v>17</v>
      </c>
      <c r="B5" s="90"/>
      <c r="C5" s="90"/>
      <c r="D5" s="41">
        <v>4.5</v>
      </c>
      <c r="E5" s="41">
        <v>5</v>
      </c>
      <c r="F5" s="41">
        <v>5.5</v>
      </c>
      <c r="G5" s="41">
        <v>6</v>
      </c>
      <c r="H5" s="41">
        <v>7</v>
      </c>
      <c r="I5" s="41">
        <v>8</v>
      </c>
      <c r="J5" s="3"/>
      <c r="K5" s="15"/>
    </row>
    <row r="6" spans="1:11" ht="13.5" thickBot="1">
      <c r="A6" s="81" t="s">
        <v>18</v>
      </c>
      <c r="B6" s="91"/>
      <c r="C6" s="92"/>
      <c r="D6" s="36">
        <f aca="true" t="shared" si="0" ref="D6:I6">$E$3*D5</f>
        <v>9049.5</v>
      </c>
      <c r="E6" s="36">
        <f t="shared" si="0"/>
        <v>10055</v>
      </c>
      <c r="F6" s="36">
        <f t="shared" si="0"/>
        <v>11060.5</v>
      </c>
      <c r="G6" s="36">
        <f t="shared" si="0"/>
        <v>12066</v>
      </c>
      <c r="H6" s="36">
        <f t="shared" si="0"/>
        <v>14077</v>
      </c>
      <c r="I6" s="36">
        <f t="shared" si="0"/>
        <v>16088</v>
      </c>
      <c r="J6" s="3"/>
      <c r="K6" s="15"/>
    </row>
    <row r="7" spans="1:13" ht="15.75" thickBot="1">
      <c r="A7" s="83"/>
      <c r="B7" s="84"/>
      <c r="C7" s="84"/>
      <c r="D7" s="24"/>
      <c r="E7" s="24"/>
      <c r="F7" s="24"/>
      <c r="G7" s="24"/>
      <c r="H7" s="24"/>
      <c r="I7" s="24"/>
      <c r="J7" s="3"/>
      <c r="K7" s="226" t="s">
        <v>63</v>
      </c>
      <c r="L7" s="226"/>
      <c r="M7" s="226"/>
    </row>
    <row r="8" spans="1:13" ht="15.75" thickBot="1">
      <c r="A8" s="220" t="s">
        <v>19</v>
      </c>
      <c r="B8" s="221"/>
      <c r="C8" s="222"/>
      <c r="D8" s="25"/>
      <c r="E8" s="25"/>
      <c r="F8" s="25"/>
      <c r="G8" s="25"/>
      <c r="H8" s="25"/>
      <c r="I8" s="25"/>
      <c r="J8" s="3"/>
      <c r="K8" s="104" t="s">
        <v>60</v>
      </c>
      <c r="L8" s="104" t="s">
        <v>61</v>
      </c>
      <c r="M8" s="104" t="s">
        <v>62</v>
      </c>
    </row>
    <row r="9" spans="1:13" ht="15">
      <c r="A9" s="85" t="s">
        <v>20</v>
      </c>
      <c r="B9" s="86"/>
      <c r="C9" s="86"/>
      <c r="D9" s="158">
        <v>1735.125</v>
      </c>
      <c r="E9" s="158">
        <v>1735.125</v>
      </c>
      <c r="F9" s="158">
        <v>2230.875</v>
      </c>
      <c r="G9" s="158">
        <v>2230.875</v>
      </c>
      <c r="H9" s="158">
        <v>2726.625</v>
      </c>
      <c r="I9" s="158">
        <v>2726.625</v>
      </c>
      <c r="J9" s="3"/>
      <c r="K9" s="105">
        <f>D5</f>
        <v>4.5</v>
      </c>
      <c r="L9" s="105">
        <f>D25</f>
        <v>9562.34795303119</v>
      </c>
      <c r="M9" s="105">
        <f>D27</f>
        <v>2447.83</v>
      </c>
    </row>
    <row r="10" spans="1:13" ht="15">
      <c r="A10" s="82" t="s">
        <v>21</v>
      </c>
      <c r="B10" s="87"/>
      <c r="C10" s="87"/>
      <c r="D10" s="157">
        <v>2304.45</v>
      </c>
      <c r="E10" s="157">
        <v>2550.5</v>
      </c>
      <c r="F10" s="157">
        <v>2796.5499999999997</v>
      </c>
      <c r="G10" s="157">
        <v>3042.6</v>
      </c>
      <c r="H10" s="157">
        <v>3534.7</v>
      </c>
      <c r="I10" s="157">
        <v>4026.7999999999997</v>
      </c>
      <c r="J10" s="3"/>
      <c r="K10" s="105">
        <f>E5</f>
        <v>5</v>
      </c>
      <c r="L10" s="105">
        <f>E25</f>
        <v>9943.539124182358</v>
      </c>
      <c r="M10" s="105">
        <f>E27</f>
        <v>2447.83</v>
      </c>
    </row>
    <row r="11" spans="1:13" ht="15">
      <c r="A11" s="82" t="s">
        <v>22</v>
      </c>
      <c r="B11" s="87"/>
      <c r="C11" s="87"/>
      <c r="D11" s="157">
        <v>199.79999999999998</v>
      </c>
      <c r="E11" s="157">
        <v>199.79999999999998</v>
      </c>
      <c r="F11" s="157">
        <v>199.79999999999998</v>
      </c>
      <c r="G11" s="157">
        <v>199.79999999999998</v>
      </c>
      <c r="H11" s="157">
        <v>199.79999999999998</v>
      </c>
      <c r="I11" s="157">
        <v>199.79999999999998</v>
      </c>
      <c r="J11" s="3"/>
      <c r="K11" s="105">
        <f>F5</f>
        <v>5.5</v>
      </c>
      <c r="L11" s="105">
        <f>F25</f>
        <v>10901.124719438449</v>
      </c>
      <c r="M11" s="105">
        <f>F27</f>
        <v>2447.83</v>
      </c>
    </row>
    <row r="12" spans="1:13" ht="15">
      <c r="A12" s="82" t="s">
        <v>23</v>
      </c>
      <c r="B12" s="87"/>
      <c r="C12" s="87"/>
      <c r="D12" s="157">
        <v>1013.41174</v>
      </c>
      <c r="E12" s="157">
        <v>1033.82999</v>
      </c>
      <c r="F12" s="157">
        <v>1054.24824</v>
      </c>
      <c r="G12" s="157">
        <v>1074.66649</v>
      </c>
      <c r="H12" s="157">
        <v>1107.79799</v>
      </c>
      <c r="I12" s="157">
        <v>1140.92949</v>
      </c>
      <c r="J12" s="3"/>
      <c r="K12" s="105">
        <f>G5</f>
        <v>6</v>
      </c>
      <c r="L12" s="105">
        <f>G25</f>
        <v>11282.315890589622</v>
      </c>
      <c r="M12" s="105">
        <f>G27</f>
        <v>2447.83</v>
      </c>
    </row>
    <row r="13" spans="1:13" ht="15">
      <c r="A13" s="82" t="s">
        <v>24</v>
      </c>
      <c r="B13" s="87"/>
      <c r="C13" s="87"/>
      <c r="D13" s="157">
        <v>661.65744</v>
      </c>
      <c r="E13" s="157">
        <v>665.33544</v>
      </c>
      <c r="F13" s="157">
        <v>669.01344</v>
      </c>
      <c r="G13" s="157">
        <v>672.69144</v>
      </c>
      <c r="H13" s="157">
        <v>680.04744</v>
      </c>
      <c r="I13" s="157">
        <v>687.40344</v>
      </c>
      <c r="J13" s="3"/>
      <c r="K13" s="105">
        <f>H5</f>
        <v>7</v>
      </c>
      <c r="L13" s="105">
        <f>H25</f>
        <v>12612.134272654512</v>
      </c>
      <c r="M13" s="105">
        <f>H27</f>
        <v>2447.83</v>
      </c>
    </row>
    <row r="14" spans="1:13" ht="15">
      <c r="A14" s="82" t="s">
        <v>25</v>
      </c>
      <c r="B14" s="87"/>
      <c r="C14" s="87"/>
      <c r="D14" s="157">
        <v>996.0519999999999</v>
      </c>
      <c r="E14" s="157">
        <v>996.0519999999999</v>
      </c>
      <c r="F14" s="157">
        <v>996.0519999999999</v>
      </c>
      <c r="G14" s="157">
        <v>996.0519999999999</v>
      </c>
      <c r="H14" s="157">
        <v>996.0519999999999</v>
      </c>
      <c r="I14" s="157">
        <v>996.0519999999999</v>
      </c>
      <c r="J14" s="3"/>
      <c r="K14" s="105">
        <f>I5</f>
        <v>8</v>
      </c>
      <c r="L14" s="105">
        <f>I25</f>
        <v>13365.558230614482</v>
      </c>
      <c r="M14" s="105">
        <f>I27</f>
        <v>2447.83</v>
      </c>
    </row>
    <row r="15" spans="1:11" ht="12.75">
      <c r="A15" s="82" t="s">
        <v>26</v>
      </c>
      <c r="B15" s="87"/>
      <c r="C15" s="87"/>
      <c r="D15" s="157">
        <v>602.56</v>
      </c>
      <c r="E15" s="157">
        <v>602.56</v>
      </c>
      <c r="F15" s="157">
        <v>602.56</v>
      </c>
      <c r="G15" s="157">
        <v>602.56</v>
      </c>
      <c r="H15" s="157">
        <v>602.56</v>
      </c>
      <c r="I15" s="157">
        <v>602.56</v>
      </c>
      <c r="J15" s="3"/>
      <c r="K15" s="15"/>
    </row>
    <row r="16" spans="1:11" ht="12.75">
      <c r="A16" s="82" t="s">
        <v>27</v>
      </c>
      <c r="B16" s="87"/>
      <c r="C16" s="87"/>
      <c r="D16" s="157">
        <v>176.46525</v>
      </c>
      <c r="E16" s="157">
        <v>196.07250000000002</v>
      </c>
      <c r="F16" s="157">
        <v>215.67974999999998</v>
      </c>
      <c r="G16" s="157">
        <v>235.28699999999998</v>
      </c>
      <c r="H16" s="157">
        <v>274.5015</v>
      </c>
      <c r="I16" s="157">
        <v>313.716</v>
      </c>
      <c r="J16" s="3"/>
      <c r="K16" s="15"/>
    </row>
    <row r="17" spans="1:11" ht="12.75">
      <c r="A17" s="82" t="s">
        <v>29</v>
      </c>
      <c r="B17" s="87"/>
      <c r="C17" s="87"/>
      <c r="D17" s="157">
        <v>817.9474818498256</v>
      </c>
      <c r="E17" s="157">
        <v>850.5539462953755</v>
      </c>
      <c r="F17" s="157">
        <v>932.4642396817502</v>
      </c>
      <c r="G17" s="157">
        <v>965.0707041272998</v>
      </c>
      <c r="H17" s="157">
        <v>1078.82117652909</v>
      </c>
      <c r="I17" s="157">
        <v>1143.2678199900547</v>
      </c>
      <c r="J17" s="3"/>
      <c r="K17" s="15"/>
    </row>
    <row r="18" spans="1:11" ht="12.75">
      <c r="A18" s="82" t="s">
        <v>30</v>
      </c>
      <c r="B18" s="87"/>
      <c r="C18" s="87"/>
      <c r="D18" s="157">
        <v>0</v>
      </c>
      <c r="E18" s="157">
        <v>0</v>
      </c>
      <c r="F18" s="157">
        <v>0</v>
      </c>
      <c r="G18" s="157">
        <v>0</v>
      </c>
      <c r="H18" s="157">
        <v>0</v>
      </c>
      <c r="I18" s="157">
        <v>0</v>
      </c>
      <c r="J18" s="3"/>
      <c r="K18" s="15"/>
    </row>
    <row r="19" spans="1:11" ht="12.75">
      <c r="A19" s="82" t="s">
        <v>31</v>
      </c>
      <c r="B19" s="87"/>
      <c r="C19" s="87"/>
      <c r="D19" s="157">
        <v>342.9405</v>
      </c>
      <c r="E19" s="157">
        <v>381.045</v>
      </c>
      <c r="F19" s="157">
        <v>419.1495</v>
      </c>
      <c r="G19" s="157">
        <v>457.25399999999996</v>
      </c>
      <c r="H19" s="157">
        <v>533.463</v>
      </c>
      <c r="I19" s="157">
        <v>609.672</v>
      </c>
      <c r="J19" s="3"/>
      <c r="K19" s="15"/>
    </row>
    <row r="20" spans="1:11" ht="12.75">
      <c r="A20" s="82" t="s">
        <v>32</v>
      </c>
      <c r="B20" s="87"/>
      <c r="C20" s="87"/>
      <c r="D20" s="157">
        <v>0</v>
      </c>
      <c r="E20" s="157">
        <v>0</v>
      </c>
      <c r="F20" s="157">
        <v>0</v>
      </c>
      <c r="G20" s="157">
        <v>0</v>
      </c>
      <c r="H20" s="157">
        <v>0</v>
      </c>
      <c r="I20" s="157">
        <v>0</v>
      </c>
      <c r="J20" s="3"/>
      <c r="K20" s="15"/>
    </row>
    <row r="21" spans="1:11" ht="12.75">
      <c r="A21" s="82" t="s">
        <v>33</v>
      </c>
      <c r="B21" s="87"/>
      <c r="C21" s="87"/>
      <c r="D21" s="157">
        <v>192</v>
      </c>
      <c r="E21" s="157">
        <v>192</v>
      </c>
      <c r="F21" s="157">
        <v>192</v>
      </c>
      <c r="G21" s="157">
        <v>192</v>
      </c>
      <c r="H21" s="157">
        <v>192</v>
      </c>
      <c r="I21" s="157">
        <v>192</v>
      </c>
      <c r="J21" s="3"/>
      <c r="K21" s="15"/>
    </row>
    <row r="22" spans="1:11" ht="12.75">
      <c r="A22" s="82" t="s">
        <v>34</v>
      </c>
      <c r="B22" s="87"/>
      <c r="C22" s="87"/>
      <c r="D22" s="157">
        <v>0</v>
      </c>
      <c r="E22" s="157">
        <v>0</v>
      </c>
      <c r="F22" s="157">
        <v>0</v>
      </c>
      <c r="G22" s="157">
        <v>0</v>
      </c>
      <c r="H22" s="157">
        <v>0</v>
      </c>
      <c r="I22" s="157">
        <v>0</v>
      </c>
      <c r="J22" s="3"/>
      <c r="K22" s="15"/>
    </row>
    <row r="23" spans="1:11" ht="12.75">
      <c r="A23" s="82" t="s">
        <v>35</v>
      </c>
      <c r="B23" s="87"/>
      <c r="C23" s="87"/>
      <c r="D23" s="157">
        <v>0</v>
      </c>
      <c r="E23" s="157">
        <v>0</v>
      </c>
      <c r="F23" s="157">
        <v>0</v>
      </c>
      <c r="G23" s="157">
        <v>0</v>
      </c>
      <c r="H23" s="157">
        <v>0</v>
      </c>
      <c r="I23" s="157">
        <v>0</v>
      </c>
      <c r="J23" s="3"/>
      <c r="K23" s="15"/>
    </row>
    <row r="24" spans="1:11" ht="13.5" thickBot="1">
      <c r="A24" s="82" t="s">
        <v>36</v>
      </c>
      <c r="B24" s="87"/>
      <c r="C24" s="87"/>
      <c r="D24" s="157">
        <v>519.938541181365</v>
      </c>
      <c r="E24" s="157">
        <v>540.6652478869842</v>
      </c>
      <c r="F24" s="157">
        <v>592.7325497567005</v>
      </c>
      <c r="G24" s="157">
        <v>613.4592564623198</v>
      </c>
      <c r="H24" s="157">
        <v>685.7661661254227</v>
      </c>
      <c r="I24" s="157">
        <v>726.7324806244281</v>
      </c>
      <c r="J24" s="3"/>
      <c r="K24" s="15"/>
    </row>
    <row r="25" spans="1:11" ht="26.25" customHeight="1" thickBot="1">
      <c r="A25" s="223" t="s">
        <v>37</v>
      </c>
      <c r="B25" s="224"/>
      <c r="C25" s="225"/>
      <c r="D25" s="32">
        <f aca="true" t="shared" si="1" ref="D25:I25">SUM(D9:D24)</f>
        <v>9562.34795303119</v>
      </c>
      <c r="E25" s="32">
        <f t="shared" si="1"/>
        <v>9943.539124182358</v>
      </c>
      <c r="F25" s="32">
        <f t="shared" si="1"/>
        <v>10901.124719438449</v>
      </c>
      <c r="G25" s="32">
        <f t="shared" si="1"/>
        <v>11282.315890589622</v>
      </c>
      <c r="H25" s="32">
        <f t="shared" si="1"/>
        <v>12612.134272654512</v>
      </c>
      <c r="I25" s="32">
        <f t="shared" si="1"/>
        <v>13365.558230614482</v>
      </c>
      <c r="J25" s="3"/>
      <c r="K25" s="15"/>
    </row>
    <row r="26" spans="1:11" ht="13.5" thickBot="1">
      <c r="A26" s="88"/>
      <c r="B26" s="89"/>
      <c r="C26" s="89"/>
      <c r="D26" s="33"/>
      <c r="E26" s="33"/>
      <c r="F26" s="33"/>
      <c r="G26" s="33"/>
      <c r="H26" s="33"/>
      <c r="I26" s="33"/>
      <c r="J26" s="3"/>
      <c r="K26" s="15"/>
    </row>
    <row r="27" spans="1:11" ht="13.5" thickBot="1">
      <c r="A27" s="227" t="s">
        <v>38</v>
      </c>
      <c r="B27" s="228"/>
      <c r="C27" s="229"/>
      <c r="D27" s="159">
        <v>2447.83</v>
      </c>
      <c r="E27" s="32">
        <f>D27</f>
        <v>2447.83</v>
      </c>
      <c r="F27" s="32">
        <f>E27</f>
        <v>2447.83</v>
      </c>
      <c r="G27" s="32">
        <f>F27</f>
        <v>2447.83</v>
      </c>
      <c r="H27" s="32">
        <f>G27</f>
        <v>2447.83</v>
      </c>
      <c r="I27" s="32">
        <f>H27</f>
        <v>2447.83</v>
      </c>
      <c r="J27" s="28"/>
      <c r="K27" s="15"/>
    </row>
    <row r="28" spans="1:11" ht="13.5" thickBot="1">
      <c r="A28" s="88"/>
      <c r="B28" s="89"/>
      <c r="C28" s="89"/>
      <c r="D28" s="33"/>
      <c r="E28" s="33"/>
      <c r="F28" s="33"/>
      <c r="G28" s="33"/>
      <c r="H28" s="33"/>
      <c r="I28" s="33"/>
      <c r="J28" s="3"/>
      <c r="K28" s="15"/>
    </row>
    <row r="29" spans="1:11" ht="27.75" customHeight="1" thickBot="1">
      <c r="A29" s="223" t="s">
        <v>39</v>
      </c>
      <c r="B29" s="224"/>
      <c r="C29" s="225"/>
      <c r="D29" s="32">
        <f aca="true" t="shared" si="2" ref="D29:I29">D25+D27</f>
        <v>12010.17795303119</v>
      </c>
      <c r="E29" s="32">
        <f t="shared" si="2"/>
        <v>12391.369124182358</v>
      </c>
      <c r="F29" s="32">
        <f t="shared" si="2"/>
        <v>13348.954719438449</v>
      </c>
      <c r="G29" s="32">
        <f t="shared" si="2"/>
        <v>13730.145890589622</v>
      </c>
      <c r="H29" s="32">
        <f t="shared" si="2"/>
        <v>15059.964272654512</v>
      </c>
      <c r="I29" s="32">
        <f t="shared" si="2"/>
        <v>15813.388230614482</v>
      </c>
      <c r="J29" s="3"/>
      <c r="K29" s="3"/>
    </row>
    <row r="30" spans="1:11" ht="13.5" thickBot="1">
      <c r="A30" s="83"/>
      <c r="B30" s="84"/>
      <c r="C30" s="84"/>
      <c r="D30" s="35"/>
      <c r="E30" s="35"/>
      <c r="F30" s="35"/>
      <c r="G30" s="35"/>
      <c r="H30" s="35"/>
      <c r="I30" s="35"/>
      <c r="J30" s="3"/>
      <c r="K30" s="3"/>
    </row>
    <row r="31" spans="1:11" ht="26.25" customHeight="1" thickBot="1">
      <c r="A31" s="223" t="s">
        <v>40</v>
      </c>
      <c r="B31" s="219"/>
      <c r="C31" s="230"/>
      <c r="D31" s="32">
        <f aca="true" t="shared" si="3" ref="D31:I31">D29/D5</f>
        <v>2668.928434006931</v>
      </c>
      <c r="E31" s="32">
        <f t="shared" si="3"/>
        <v>2478.2738248364717</v>
      </c>
      <c r="F31" s="32">
        <f t="shared" si="3"/>
        <v>2427.082676261536</v>
      </c>
      <c r="G31" s="32">
        <f t="shared" si="3"/>
        <v>2288.3576484316036</v>
      </c>
      <c r="H31" s="32">
        <f t="shared" si="3"/>
        <v>2151.423467522073</v>
      </c>
      <c r="I31" s="32">
        <f t="shared" si="3"/>
        <v>1976.6735288268103</v>
      </c>
      <c r="J31" s="3"/>
      <c r="K31" s="3"/>
    </row>
    <row r="32" spans="1:11" ht="13.5" thickBot="1">
      <c r="A32" s="83"/>
      <c r="B32" s="84"/>
      <c r="C32" s="84"/>
      <c r="D32" s="35"/>
      <c r="E32" s="35"/>
      <c r="F32" s="35"/>
      <c r="G32" s="35"/>
      <c r="H32" s="35"/>
      <c r="I32" s="35"/>
      <c r="J32" s="3"/>
      <c r="K32" s="15"/>
    </row>
    <row r="33" spans="1:11" ht="13.5" thickBot="1">
      <c r="A33" s="81" t="s">
        <v>41</v>
      </c>
      <c r="B33" s="91"/>
      <c r="C33" s="91"/>
      <c r="D33" s="32">
        <f>'Pryse + Sensatiwiteitsanalise'!D4</f>
        <v>289</v>
      </c>
      <c r="E33" s="32">
        <f>$D$33</f>
        <v>289</v>
      </c>
      <c r="F33" s="32">
        <f>$D$33</f>
        <v>289</v>
      </c>
      <c r="G33" s="32">
        <f>$D$33</f>
        <v>289</v>
      </c>
      <c r="H33" s="32">
        <f>$D$33</f>
        <v>289</v>
      </c>
      <c r="I33" s="32">
        <f>$D$33</f>
        <v>289</v>
      </c>
      <c r="J33" s="3"/>
      <c r="K33" s="15"/>
    </row>
    <row r="34" spans="1:11" ht="13.5" thickBot="1">
      <c r="A34" s="83"/>
      <c r="B34" s="84"/>
      <c r="C34" s="84"/>
      <c r="D34" s="35"/>
      <c r="E34" s="35"/>
      <c r="F34" s="35"/>
      <c r="G34" s="35"/>
      <c r="H34" s="35"/>
      <c r="I34" s="35"/>
      <c r="J34" s="3"/>
      <c r="K34" s="15"/>
    </row>
    <row r="35" spans="1:11" ht="13.5" thickBot="1">
      <c r="A35" s="218" t="s">
        <v>42</v>
      </c>
      <c r="B35" s="219"/>
      <c r="C35" s="230"/>
      <c r="D35" s="34">
        <f aca="true" t="shared" si="4" ref="D35:I35">D31+D33</f>
        <v>2957.928434006931</v>
      </c>
      <c r="E35" s="34">
        <f t="shared" si="4"/>
        <v>2767.2738248364717</v>
      </c>
      <c r="F35" s="34">
        <f t="shared" si="4"/>
        <v>2716.082676261536</v>
      </c>
      <c r="G35" s="34">
        <f t="shared" si="4"/>
        <v>2577.3576484316036</v>
      </c>
      <c r="H35" s="34">
        <f t="shared" si="4"/>
        <v>2440.423467522073</v>
      </c>
      <c r="I35" s="34">
        <f t="shared" si="4"/>
        <v>2265.67352882681</v>
      </c>
      <c r="J35" s="3"/>
      <c r="K35" s="15"/>
    </row>
    <row r="36" spans="1:11" ht="13.5" thickBot="1">
      <c r="A36" s="77" t="s">
        <v>70</v>
      </c>
      <c r="B36" s="78"/>
      <c r="C36" s="79"/>
      <c r="D36" s="34">
        <f>'Pryse + Sensatiwiteitsanalise'!B4</f>
        <v>2300</v>
      </c>
      <c r="E36" s="34">
        <f>$D$36</f>
        <v>2300</v>
      </c>
      <c r="F36" s="34">
        <f>$D$36</f>
        <v>2300</v>
      </c>
      <c r="G36" s="34">
        <f>$D$36</f>
        <v>2300</v>
      </c>
      <c r="H36" s="34">
        <f>$D$36</f>
        <v>2300</v>
      </c>
      <c r="I36" s="34">
        <f>$D$36</f>
        <v>2300</v>
      </c>
      <c r="J36" s="15"/>
      <c r="K36" s="3"/>
    </row>
    <row r="37" spans="1:10" ht="15">
      <c r="A37" s="101" t="s">
        <v>45</v>
      </c>
      <c r="B37" s="100"/>
      <c r="C37" s="100"/>
      <c r="D37" s="100"/>
      <c r="E37" s="100"/>
      <c r="F37" s="100"/>
      <c r="G37" s="100"/>
      <c r="H37" s="99"/>
      <c r="I37" s="102"/>
      <c r="J37" s="102"/>
    </row>
    <row r="38" spans="1:10" ht="15">
      <c r="A38" s="98" t="s">
        <v>46</v>
      </c>
      <c r="B38" s="97"/>
      <c r="C38" s="97"/>
      <c r="D38" s="97"/>
      <c r="E38" s="97"/>
      <c r="F38" s="97"/>
      <c r="G38" s="97"/>
      <c r="H38" s="96"/>
      <c r="I38" s="102"/>
      <c r="J38" s="102"/>
    </row>
    <row r="39" spans="1:10" ht="15.75" thickBot="1">
      <c r="A39" s="95" t="s">
        <v>47</v>
      </c>
      <c r="B39" s="94"/>
      <c r="C39" s="94"/>
      <c r="D39" s="94"/>
      <c r="E39" s="94"/>
      <c r="F39" s="94"/>
      <c r="G39" s="94"/>
      <c r="H39" s="93"/>
      <c r="I39" s="102"/>
      <c r="J39" s="102"/>
    </row>
    <row r="40" spans="1:8" ht="12.75">
      <c r="A40" s="231" t="s">
        <v>48</v>
      </c>
      <c r="B40" s="232"/>
      <c r="C40" s="232"/>
      <c r="D40" s="232"/>
      <c r="E40" s="232"/>
      <c r="F40" s="232"/>
      <c r="G40" s="232"/>
      <c r="H40" s="233"/>
    </row>
    <row r="41" spans="1:8" ht="12.75">
      <c r="A41" s="234"/>
      <c r="B41" s="235"/>
      <c r="C41" s="235"/>
      <c r="D41" s="235"/>
      <c r="E41" s="235"/>
      <c r="F41" s="235"/>
      <c r="G41" s="235"/>
      <c r="H41" s="236"/>
    </row>
    <row r="42" spans="1:8" ht="12.75">
      <c r="A42" s="234"/>
      <c r="B42" s="235"/>
      <c r="C42" s="235"/>
      <c r="D42" s="235"/>
      <c r="E42" s="235"/>
      <c r="F42" s="235"/>
      <c r="G42" s="235"/>
      <c r="H42" s="236"/>
    </row>
    <row r="43" spans="1:8" ht="13.5" thickBot="1">
      <c r="A43" s="237"/>
      <c r="B43" s="238"/>
      <c r="C43" s="238"/>
      <c r="D43" s="238"/>
      <c r="E43" s="238"/>
      <c r="F43" s="238"/>
      <c r="G43" s="238"/>
      <c r="H43" s="239"/>
    </row>
    <row r="83" ht="12.75"/>
    <row r="84" ht="12.75"/>
    <row r="85" ht="12.75"/>
  </sheetData>
  <sheetProtection/>
  <mergeCells count="11">
    <mergeCell ref="A27:C27"/>
    <mergeCell ref="A29:C29"/>
    <mergeCell ref="A31:C31"/>
    <mergeCell ref="A35:C35"/>
    <mergeCell ref="A40:H43"/>
    <mergeCell ref="A1:D1"/>
    <mergeCell ref="F1:H1"/>
    <mergeCell ref="A3:C3"/>
    <mergeCell ref="A8:C8"/>
    <mergeCell ref="A25:C25"/>
    <mergeCell ref="K7:M7"/>
  </mergeCells>
  <printOptions/>
  <pageMargins left="0.35433070866141736" right="0.35433070866141736" top="0.5905511811023623" bottom="0.5905511811023623" header="0.31496062992125984" footer="0.31496062992125984"/>
  <pageSetup fitToHeight="0" fitToWidth="1" horizontalDpi="600" verticalDpi="600" orientation="portrait" paperSize="9" scale="58" r:id="rId2"/>
  <headerFooter alignWithMargins="0">
    <oddHeader>&amp;C&amp;F</oddHeader>
    <oddFooter>&amp;C&amp;A&amp;RPage &amp;P</oddFooter>
  </headerFooter>
  <drawing r:id="rId1"/>
</worksheet>
</file>

<file path=xl/worksheets/sheet3.xml><?xml version="1.0" encoding="utf-8"?>
<worksheet xmlns="http://schemas.openxmlformats.org/spreadsheetml/2006/main" xmlns:r="http://schemas.openxmlformats.org/officeDocument/2006/relationships">
  <dimension ref="A1:M43"/>
  <sheetViews>
    <sheetView zoomScale="85" zoomScaleNormal="85" zoomScalePageLayoutView="0" workbookViewId="0" topLeftCell="A1">
      <selection activeCell="J20" sqref="J20"/>
    </sheetView>
  </sheetViews>
  <sheetFormatPr defaultColWidth="9.140625" defaultRowHeight="12.75"/>
  <cols>
    <col min="1" max="1" width="41.7109375" style="1" customWidth="1"/>
    <col min="2" max="2" width="17.28125" style="1" customWidth="1"/>
    <col min="3" max="3" width="16.7109375" style="1" customWidth="1"/>
    <col min="4" max="4" width="16.140625" style="1" customWidth="1"/>
    <col min="5" max="7" width="14.28125" style="1" customWidth="1"/>
    <col min="8" max="8" width="14.140625" style="1" customWidth="1"/>
    <col min="9" max="9" width="14.28125" style="1" customWidth="1"/>
    <col min="10" max="10" width="14.421875" style="1" customWidth="1"/>
    <col min="11" max="13" width="12.7109375" style="1" hidden="1" customWidth="1"/>
    <col min="14" max="26" width="12.7109375" style="1" customWidth="1"/>
    <col min="27" max="16384" width="9.140625" style="1" customWidth="1"/>
  </cols>
  <sheetData>
    <row r="1" spans="1:10" s="3" customFormat="1" ht="33" customHeight="1" thickBot="1">
      <c r="A1" s="215" t="s">
        <v>43</v>
      </c>
      <c r="B1" s="216"/>
      <c r="C1" s="216"/>
      <c r="D1" s="216"/>
      <c r="E1" s="217" t="s">
        <v>69</v>
      </c>
      <c r="F1" s="217"/>
      <c r="G1" s="217"/>
      <c r="H1" s="2"/>
      <c r="I1" s="16"/>
      <c r="J1" s="15"/>
    </row>
    <row r="2" spans="1:10" ht="16.5" thickBot="1">
      <c r="A2" s="17"/>
      <c r="B2" s="18"/>
      <c r="C2" s="19"/>
      <c r="D2" s="19"/>
      <c r="E2" s="10"/>
      <c r="F2" s="10"/>
      <c r="G2" s="10"/>
      <c r="H2" s="10"/>
      <c r="I2" s="4"/>
      <c r="J2" s="3"/>
    </row>
    <row r="3" spans="1:11" ht="27.75" customHeight="1" thickBot="1">
      <c r="A3" s="218" t="s">
        <v>16</v>
      </c>
      <c r="B3" s="219"/>
      <c r="C3" s="219"/>
      <c r="D3" s="29"/>
      <c r="E3" s="37">
        <f>'Pryse + Sensatiwiteitsanalise'!B19</f>
        <v>2011</v>
      </c>
      <c r="F3" s="29" t="s">
        <v>0</v>
      </c>
      <c r="G3" s="20"/>
      <c r="H3" s="20"/>
      <c r="I3" s="5"/>
      <c r="K3" s="3"/>
    </row>
    <row r="4" spans="1:11" ht="13.5" thickBot="1">
      <c r="A4" s="80"/>
      <c r="B4" s="90"/>
      <c r="C4" s="90"/>
      <c r="D4" s="6"/>
      <c r="E4" s="9"/>
      <c r="F4" s="21"/>
      <c r="G4" s="7"/>
      <c r="H4" s="22"/>
      <c r="I4" s="22"/>
      <c r="J4" s="3"/>
      <c r="K4" s="15"/>
    </row>
    <row r="5" spans="1:11" ht="13.5" thickBot="1">
      <c r="A5" s="80" t="s">
        <v>17</v>
      </c>
      <c r="B5" s="90"/>
      <c r="C5" s="90"/>
      <c r="D5" s="41">
        <v>4.5</v>
      </c>
      <c r="E5" s="41">
        <v>5</v>
      </c>
      <c r="F5" s="41">
        <v>5.5</v>
      </c>
      <c r="G5" s="41">
        <v>6</v>
      </c>
      <c r="H5" s="41">
        <v>7</v>
      </c>
      <c r="I5" s="41">
        <v>8</v>
      </c>
      <c r="J5" s="3"/>
      <c r="K5" s="15"/>
    </row>
    <row r="6" spans="1:11" ht="13.5" thickBot="1">
      <c r="A6" s="81" t="s">
        <v>18</v>
      </c>
      <c r="B6" s="91"/>
      <c r="C6" s="92"/>
      <c r="D6" s="36">
        <f aca="true" t="shared" si="0" ref="D6:I6">$E$3*D5</f>
        <v>9049.5</v>
      </c>
      <c r="E6" s="36">
        <f t="shared" si="0"/>
        <v>10055</v>
      </c>
      <c r="F6" s="36">
        <f t="shared" si="0"/>
        <v>11060.5</v>
      </c>
      <c r="G6" s="36">
        <f t="shared" si="0"/>
        <v>12066</v>
      </c>
      <c r="H6" s="36">
        <f t="shared" si="0"/>
        <v>14077</v>
      </c>
      <c r="I6" s="36">
        <f t="shared" si="0"/>
        <v>16088</v>
      </c>
      <c r="J6" s="3"/>
      <c r="K6" s="15"/>
    </row>
    <row r="7" spans="1:13" ht="15.75" thickBot="1">
      <c r="A7" s="83"/>
      <c r="B7" s="84"/>
      <c r="C7" s="84"/>
      <c r="D7" s="24"/>
      <c r="E7" s="24"/>
      <c r="F7" s="24"/>
      <c r="G7" s="24"/>
      <c r="H7" s="24"/>
      <c r="I7" s="24"/>
      <c r="J7" s="3"/>
      <c r="K7" s="226" t="s">
        <v>64</v>
      </c>
      <c r="L7" s="226"/>
      <c r="M7" s="226"/>
    </row>
    <row r="8" spans="1:13" ht="15.75" thickBot="1">
      <c r="A8" s="220" t="s">
        <v>19</v>
      </c>
      <c r="B8" s="221"/>
      <c r="C8" s="222"/>
      <c r="D8" s="25"/>
      <c r="E8" s="25"/>
      <c r="F8" s="25"/>
      <c r="G8" s="25"/>
      <c r="H8" s="25"/>
      <c r="I8" s="25"/>
      <c r="J8" s="3"/>
      <c r="K8" s="104" t="s">
        <v>60</v>
      </c>
      <c r="L8" s="104" t="s">
        <v>61</v>
      </c>
      <c r="M8" s="104" t="s">
        <v>62</v>
      </c>
    </row>
    <row r="9" spans="1:13" ht="15">
      <c r="A9" s="85" t="s">
        <v>20</v>
      </c>
      <c r="B9" s="86"/>
      <c r="C9" s="86"/>
      <c r="D9" s="30">
        <v>1756.5625</v>
      </c>
      <c r="E9" s="30">
        <v>1756.5625</v>
      </c>
      <c r="F9" s="30">
        <v>2258.4375</v>
      </c>
      <c r="G9" s="30">
        <v>2258.4375</v>
      </c>
      <c r="H9" s="30">
        <v>2760.3125</v>
      </c>
      <c r="I9" s="30">
        <v>2569.1875</v>
      </c>
      <c r="J9" s="3"/>
      <c r="K9" s="105">
        <f>D5</f>
        <v>4.5</v>
      </c>
      <c r="L9" s="105">
        <f>D25</f>
        <v>8652.31979203756</v>
      </c>
      <c r="M9" s="105">
        <f>D27</f>
        <v>2578.7064961761193</v>
      </c>
    </row>
    <row r="10" spans="1:13" ht="15">
      <c r="A10" s="82" t="s">
        <v>21</v>
      </c>
      <c r="B10" s="87"/>
      <c r="C10" s="87"/>
      <c r="D10" s="31">
        <v>2314.7</v>
      </c>
      <c r="E10" s="31">
        <v>2563</v>
      </c>
      <c r="F10" s="31">
        <v>2811.3</v>
      </c>
      <c r="G10" s="31">
        <v>3059.6000000000004</v>
      </c>
      <c r="H10" s="31">
        <v>3556.2</v>
      </c>
      <c r="I10" s="31">
        <v>4103.6</v>
      </c>
      <c r="J10" s="3"/>
      <c r="K10" s="105">
        <f>E5</f>
        <v>5</v>
      </c>
      <c r="L10" s="105">
        <f>E25</f>
        <v>9025.258756072737</v>
      </c>
      <c r="M10" s="105">
        <f>E27</f>
        <v>2578.7064961761193</v>
      </c>
    </row>
    <row r="11" spans="1:13" ht="15">
      <c r="A11" s="82" t="s">
        <v>22</v>
      </c>
      <c r="B11" s="87"/>
      <c r="C11" s="87"/>
      <c r="D11" s="31">
        <v>217.58220000000003</v>
      </c>
      <c r="E11" s="31">
        <v>217.58220000000003</v>
      </c>
      <c r="F11" s="31">
        <v>217.58220000000003</v>
      </c>
      <c r="G11" s="31">
        <v>217.58220000000003</v>
      </c>
      <c r="H11" s="31">
        <v>217.58220000000003</v>
      </c>
      <c r="I11" s="31">
        <v>217.58220000000003</v>
      </c>
      <c r="J11" s="3"/>
      <c r="K11" s="105">
        <f>F5</f>
        <v>5.5</v>
      </c>
      <c r="L11" s="105">
        <f>F25</f>
        <v>9987.735543852834</v>
      </c>
      <c r="M11" s="105">
        <f>F27</f>
        <v>2578.7064961761193</v>
      </c>
    </row>
    <row r="12" spans="1:13" ht="15">
      <c r="A12" s="82" t="s">
        <v>23</v>
      </c>
      <c r="B12" s="87"/>
      <c r="C12" s="87"/>
      <c r="D12" s="31">
        <v>757.6476827879007</v>
      </c>
      <c r="E12" s="31">
        <v>772.7629280431197</v>
      </c>
      <c r="F12" s="31">
        <v>787.8781732983387</v>
      </c>
      <c r="G12" s="31">
        <v>802.9934185535576</v>
      </c>
      <c r="H12" s="31">
        <v>827.5200429299507</v>
      </c>
      <c r="I12" s="31">
        <v>952.16518</v>
      </c>
      <c r="J12" s="3"/>
      <c r="K12" s="105">
        <f>G5</f>
        <v>6</v>
      </c>
      <c r="L12" s="105">
        <f>G25</f>
        <v>10360.67450788801</v>
      </c>
      <c r="M12" s="105">
        <f>G27</f>
        <v>2578.7064961761193</v>
      </c>
    </row>
    <row r="13" spans="1:13" ht="15">
      <c r="A13" s="82" t="s">
        <v>24</v>
      </c>
      <c r="B13" s="87"/>
      <c r="C13" s="87"/>
      <c r="D13" s="31">
        <v>583.547184</v>
      </c>
      <c r="E13" s="31">
        <v>586.826734</v>
      </c>
      <c r="F13" s="31">
        <v>590.106284</v>
      </c>
      <c r="G13" s="31">
        <v>593.3858339999999</v>
      </c>
      <c r="H13" s="31">
        <v>599.944934</v>
      </c>
      <c r="I13" s="31">
        <v>566.8262</v>
      </c>
      <c r="J13" s="3"/>
      <c r="K13" s="105">
        <f>H5</f>
        <v>7</v>
      </c>
      <c r="L13" s="105">
        <f>H25</f>
        <v>11689.39009566324</v>
      </c>
      <c r="M13" s="105">
        <f>H27</f>
        <v>2578.7064961761193</v>
      </c>
    </row>
    <row r="14" spans="1:13" ht="15">
      <c r="A14" s="82" t="s">
        <v>25</v>
      </c>
      <c r="B14" s="87"/>
      <c r="C14" s="87"/>
      <c r="D14" s="31">
        <v>699.5999999999999</v>
      </c>
      <c r="E14" s="31">
        <v>699.5999999999999</v>
      </c>
      <c r="F14" s="31">
        <v>699.5999999999999</v>
      </c>
      <c r="G14" s="31">
        <v>699.5999999999999</v>
      </c>
      <c r="H14" s="31">
        <v>699.5999999999999</v>
      </c>
      <c r="I14" s="31">
        <v>783</v>
      </c>
      <c r="J14" s="3"/>
      <c r="K14" s="105">
        <f>I5</f>
        <v>8</v>
      </c>
      <c r="L14" s="105">
        <f>I25</f>
        <v>12569.81901193063</v>
      </c>
      <c r="M14" s="105">
        <f>I27</f>
        <v>2326.7760716424914</v>
      </c>
    </row>
    <row r="15" spans="1:11" ht="12.75">
      <c r="A15" s="82" t="s">
        <v>26</v>
      </c>
      <c r="B15" s="87"/>
      <c r="C15" s="87"/>
      <c r="D15" s="31">
        <v>579</v>
      </c>
      <c r="E15" s="31">
        <v>579</v>
      </c>
      <c r="F15" s="31">
        <v>579</v>
      </c>
      <c r="G15" s="31">
        <v>579</v>
      </c>
      <c r="H15" s="31">
        <v>579</v>
      </c>
      <c r="I15" s="31">
        <v>648</v>
      </c>
      <c r="J15" s="3"/>
      <c r="K15" s="15"/>
    </row>
    <row r="16" spans="1:11" ht="12.75">
      <c r="A16" s="82" t="s">
        <v>27</v>
      </c>
      <c r="B16" s="87"/>
      <c r="C16" s="87"/>
      <c r="D16" s="31">
        <v>151.19324999999998</v>
      </c>
      <c r="E16" s="31">
        <v>167.9925</v>
      </c>
      <c r="F16" s="31">
        <v>184.79175</v>
      </c>
      <c r="G16" s="31">
        <v>201.59099999999998</v>
      </c>
      <c r="H16" s="31">
        <v>235.1895</v>
      </c>
      <c r="I16" s="31">
        <v>422.76</v>
      </c>
      <c r="J16" s="3"/>
      <c r="K16" s="15"/>
    </row>
    <row r="17" spans="1:11" ht="12.75">
      <c r="A17" s="82" t="s">
        <v>29</v>
      </c>
      <c r="B17" s="87"/>
      <c r="C17" s="87"/>
      <c r="D17" s="31">
        <v>854.990264572014</v>
      </c>
      <c r="E17" s="31">
        <v>891.8427146886962</v>
      </c>
      <c r="F17" s="31">
        <v>986.9511137316701</v>
      </c>
      <c r="G17" s="31">
        <v>1023.8035638483526</v>
      </c>
      <c r="H17" s="31">
        <v>1155.1023275600637</v>
      </c>
      <c r="I17" s="31">
        <v>820.8124339483396</v>
      </c>
      <c r="J17" s="3"/>
      <c r="K17" s="15"/>
    </row>
    <row r="18" spans="1:11" ht="12.75">
      <c r="A18" s="82" t="s">
        <v>30</v>
      </c>
      <c r="B18" s="87"/>
      <c r="C18" s="87"/>
      <c r="D18" s="31">
        <v>0</v>
      </c>
      <c r="E18" s="31">
        <v>0</v>
      </c>
      <c r="F18" s="31">
        <v>0</v>
      </c>
      <c r="G18" s="31">
        <v>0</v>
      </c>
      <c r="H18" s="31">
        <v>0</v>
      </c>
      <c r="I18" s="31">
        <v>0</v>
      </c>
      <c r="J18" s="3"/>
      <c r="K18" s="15"/>
    </row>
    <row r="19" spans="1:11" ht="12.75">
      <c r="A19" s="82" t="s">
        <v>31</v>
      </c>
      <c r="B19" s="87"/>
      <c r="C19" s="87"/>
      <c r="D19" s="31">
        <v>305.9083125</v>
      </c>
      <c r="E19" s="31">
        <v>339.89812500000005</v>
      </c>
      <c r="F19" s="31">
        <v>373.8879375000001</v>
      </c>
      <c r="G19" s="31">
        <v>407.87775000000005</v>
      </c>
      <c r="H19" s="31">
        <v>475.85737500000005</v>
      </c>
      <c r="I19" s="31">
        <v>858.8874</v>
      </c>
      <c r="J19" s="3"/>
      <c r="K19" s="15"/>
    </row>
    <row r="20" spans="1:11" ht="12.75">
      <c r="A20" s="82" t="s">
        <v>32</v>
      </c>
      <c r="B20" s="87"/>
      <c r="C20" s="87"/>
      <c r="D20" s="31">
        <v>0</v>
      </c>
      <c r="E20" s="31">
        <v>0</v>
      </c>
      <c r="F20" s="31">
        <v>0</v>
      </c>
      <c r="G20" s="31">
        <v>0</v>
      </c>
      <c r="H20" s="31">
        <v>0</v>
      </c>
      <c r="I20" s="31">
        <v>0</v>
      </c>
      <c r="J20" s="3"/>
      <c r="K20" s="15"/>
    </row>
    <row r="21" spans="1:11" ht="12.75">
      <c r="A21" s="82" t="s">
        <v>33</v>
      </c>
      <c r="B21" s="87"/>
      <c r="C21" s="87"/>
      <c r="D21" s="31">
        <v>0</v>
      </c>
      <c r="E21" s="31">
        <v>0</v>
      </c>
      <c r="F21" s="31">
        <v>0</v>
      </c>
      <c r="G21" s="31">
        <v>0</v>
      </c>
      <c r="H21" s="31">
        <v>0</v>
      </c>
      <c r="I21" s="31">
        <v>0</v>
      </c>
      <c r="J21" s="3"/>
      <c r="K21" s="15"/>
    </row>
    <row r="22" spans="1:11" ht="12.75">
      <c r="A22" s="82" t="s">
        <v>34</v>
      </c>
      <c r="B22" s="87"/>
      <c r="C22" s="87"/>
      <c r="D22" s="31">
        <v>0</v>
      </c>
      <c r="E22" s="31">
        <v>0</v>
      </c>
      <c r="F22" s="31">
        <v>0</v>
      </c>
      <c r="G22" s="31">
        <v>0</v>
      </c>
      <c r="H22" s="31">
        <v>0</v>
      </c>
      <c r="I22" s="31">
        <v>0</v>
      </c>
      <c r="J22" s="3"/>
      <c r="K22" s="15"/>
    </row>
    <row r="23" spans="1:11" ht="12.75">
      <c r="A23" s="82" t="s">
        <v>35</v>
      </c>
      <c r="B23" s="87"/>
      <c r="C23" s="87"/>
      <c r="D23" s="31">
        <v>0</v>
      </c>
      <c r="E23" s="31">
        <v>0</v>
      </c>
      <c r="F23" s="31">
        <v>0</v>
      </c>
      <c r="G23" s="31">
        <v>0</v>
      </c>
      <c r="H23" s="31">
        <v>0</v>
      </c>
      <c r="I23" s="31">
        <v>0</v>
      </c>
      <c r="J23" s="3"/>
      <c r="K23" s="15"/>
    </row>
    <row r="24" spans="1:11" ht="13.5" thickBot="1">
      <c r="A24" s="82" t="s">
        <v>36</v>
      </c>
      <c r="B24" s="87"/>
      <c r="C24" s="87"/>
      <c r="D24" s="31">
        <v>431.5883981776455</v>
      </c>
      <c r="E24" s="31">
        <v>450.1910543409203</v>
      </c>
      <c r="F24" s="31">
        <v>498.2005853228255</v>
      </c>
      <c r="G24" s="31">
        <v>516.8032414861003</v>
      </c>
      <c r="H24" s="31">
        <v>583.0812161732257</v>
      </c>
      <c r="I24" s="31">
        <v>626.9980979822878</v>
      </c>
      <c r="J24" s="3"/>
      <c r="K24" s="15"/>
    </row>
    <row r="25" spans="1:11" ht="26.25" customHeight="1" thickBot="1">
      <c r="A25" s="223" t="s">
        <v>37</v>
      </c>
      <c r="B25" s="224"/>
      <c r="C25" s="225"/>
      <c r="D25" s="32">
        <f aca="true" t="shared" si="1" ref="D25:I25">SUM(D9:D24)</f>
        <v>8652.31979203756</v>
      </c>
      <c r="E25" s="32">
        <f t="shared" si="1"/>
        <v>9025.258756072737</v>
      </c>
      <c r="F25" s="32">
        <f t="shared" si="1"/>
        <v>9987.735543852834</v>
      </c>
      <c r="G25" s="32">
        <f t="shared" si="1"/>
        <v>10360.67450788801</v>
      </c>
      <c r="H25" s="32">
        <f t="shared" si="1"/>
        <v>11689.39009566324</v>
      </c>
      <c r="I25" s="32">
        <f t="shared" si="1"/>
        <v>12569.81901193063</v>
      </c>
      <c r="J25" s="3"/>
      <c r="K25" s="15"/>
    </row>
    <row r="26" spans="1:11" ht="13.5" thickBot="1">
      <c r="A26" s="88"/>
      <c r="B26" s="89"/>
      <c r="C26" s="89"/>
      <c r="D26" s="33"/>
      <c r="E26" s="33"/>
      <c r="F26" s="33"/>
      <c r="G26" s="33"/>
      <c r="H26" s="33"/>
      <c r="I26" s="33"/>
      <c r="J26" s="3"/>
      <c r="K26" s="15"/>
    </row>
    <row r="27" spans="1:11" ht="13.5" thickBot="1">
      <c r="A27" s="227" t="s">
        <v>38</v>
      </c>
      <c r="B27" s="228"/>
      <c r="C27" s="229"/>
      <c r="D27" s="32">
        <v>2578.7064961761193</v>
      </c>
      <c r="E27" s="32">
        <v>2578.7064961761193</v>
      </c>
      <c r="F27" s="32">
        <v>2578.7064961761193</v>
      </c>
      <c r="G27" s="32">
        <v>2578.7064961761193</v>
      </c>
      <c r="H27" s="32">
        <v>2578.7064961761193</v>
      </c>
      <c r="I27" s="32">
        <v>2326.7760716424914</v>
      </c>
      <c r="J27" s="28"/>
      <c r="K27" s="15"/>
    </row>
    <row r="28" spans="1:11" ht="13.5" thickBot="1">
      <c r="A28" s="88"/>
      <c r="B28" s="89"/>
      <c r="C28" s="89"/>
      <c r="D28" s="33"/>
      <c r="E28" s="33"/>
      <c r="F28" s="33"/>
      <c r="G28" s="33"/>
      <c r="H28" s="33"/>
      <c r="I28" s="33"/>
      <c r="J28" s="3"/>
      <c r="K28" s="15"/>
    </row>
    <row r="29" spans="1:11" ht="27.75" customHeight="1" thickBot="1">
      <c r="A29" s="223" t="s">
        <v>39</v>
      </c>
      <c r="B29" s="224"/>
      <c r="C29" s="225"/>
      <c r="D29" s="32">
        <f aca="true" t="shared" si="2" ref="D29:I29">D25+D27</f>
        <v>11231.02628821368</v>
      </c>
      <c r="E29" s="32">
        <f t="shared" si="2"/>
        <v>11603.965252248856</v>
      </c>
      <c r="F29" s="32">
        <f t="shared" si="2"/>
        <v>12566.442040028953</v>
      </c>
      <c r="G29" s="32">
        <f t="shared" si="2"/>
        <v>12939.38100406413</v>
      </c>
      <c r="H29" s="32">
        <f t="shared" si="2"/>
        <v>14268.09659183936</v>
      </c>
      <c r="I29" s="32">
        <f t="shared" si="2"/>
        <v>14896.59508357312</v>
      </c>
      <c r="J29" s="3"/>
      <c r="K29" s="3"/>
    </row>
    <row r="30" spans="1:11" ht="13.5" thickBot="1">
      <c r="A30" s="83"/>
      <c r="B30" s="84"/>
      <c r="C30" s="84"/>
      <c r="D30" s="35"/>
      <c r="E30" s="35"/>
      <c r="F30" s="35"/>
      <c r="G30" s="35"/>
      <c r="H30" s="35"/>
      <c r="I30" s="35"/>
      <c r="J30" s="3"/>
      <c r="K30" s="3"/>
    </row>
    <row r="31" spans="1:11" ht="26.25" customHeight="1" thickBot="1">
      <c r="A31" s="223" t="s">
        <v>40</v>
      </c>
      <c r="B31" s="219"/>
      <c r="C31" s="230"/>
      <c r="D31" s="32">
        <f aca="true" t="shared" si="3" ref="D31:I31">D29/D5</f>
        <v>2495.78361960304</v>
      </c>
      <c r="E31" s="32">
        <f t="shared" si="3"/>
        <v>2320.7930504497713</v>
      </c>
      <c r="F31" s="32">
        <f t="shared" si="3"/>
        <v>2284.8076436416277</v>
      </c>
      <c r="G31" s="32">
        <f t="shared" si="3"/>
        <v>2156.563500677355</v>
      </c>
      <c r="H31" s="32">
        <f t="shared" si="3"/>
        <v>2038.2995131199084</v>
      </c>
      <c r="I31" s="32">
        <f t="shared" si="3"/>
        <v>1862.07438544664</v>
      </c>
      <c r="J31" s="3"/>
      <c r="K31" s="3"/>
    </row>
    <row r="32" spans="1:11" ht="13.5" thickBot="1">
      <c r="A32" s="83"/>
      <c r="B32" s="84"/>
      <c r="C32" s="84"/>
      <c r="D32" s="35"/>
      <c r="E32" s="35"/>
      <c r="F32" s="35"/>
      <c r="G32" s="35"/>
      <c r="H32" s="35"/>
      <c r="I32" s="35"/>
      <c r="J32" s="3"/>
      <c r="K32" s="15"/>
    </row>
    <row r="33" spans="1:11" ht="13.5" thickBot="1">
      <c r="A33" s="81" t="s">
        <v>41</v>
      </c>
      <c r="B33" s="91"/>
      <c r="C33" s="91"/>
      <c r="D33" s="32">
        <f>'Pryse + Sensatiwiteitsanalise'!D4</f>
        <v>289</v>
      </c>
      <c r="E33" s="32">
        <f>$D$33</f>
        <v>289</v>
      </c>
      <c r="F33" s="32">
        <f>$D$33</f>
        <v>289</v>
      </c>
      <c r="G33" s="32">
        <f>$D$33</f>
        <v>289</v>
      </c>
      <c r="H33" s="32">
        <f>$D$33</f>
        <v>289</v>
      </c>
      <c r="I33" s="32">
        <f>$D$33</f>
        <v>289</v>
      </c>
      <c r="J33" s="3"/>
      <c r="K33" s="15"/>
    </row>
    <row r="34" spans="1:11" ht="13.5" thickBot="1">
      <c r="A34" s="83"/>
      <c r="B34" s="84"/>
      <c r="C34" s="84"/>
      <c r="D34" s="35"/>
      <c r="E34" s="35"/>
      <c r="F34" s="35"/>
      <c r="G34" s="35"/>
      <c r="H34" s="35"/>
      <c r="I34" s="35"/>
      <c r="J34" s="3"/>
      <c r="K34" s="15"/>
    </row>
    <row r="35" spans="1:11" ht="13.5" thickBot="1">
      <c r="A35" s="218" t="s">
        <v>42</v>
      </c>
      <c r="B35" s="219"/>
      <c r="C35" s="230"/>
      <c r="D35" s="34">
        <f aca="true" t="shared" si="4" ref="D35:I35">D31+D33</f>
        <v>2784.78361960304</v>
      </c>
      <c r="E35" s="34">
        <f t="shared" si="4"/>
        <v>2609.7930504497713</v>
      </c>
      <c r="F35" s="34">
        <f t="shared" si="4"/>
        <v>2573.8076436416277</v>
      </c>
      <c r="G35" s="34">
        <f t="shared" si="4"/>
        <v>2445.563500677355</v>
      </c>
      <c r="H35" s="34">
        <f t="shared" si="4"/>
        <v>2327.2995131199086</v>
      </c>
      <c r="I35" s="34">
        <f t="shared" si="4"/>
        <v>2151.07438544664</v>
      </c>
      <c r="J35" s="3"/>
      <c r="K35" s="15"/>
    </row>
    <row r="36" spans="1:11" ht="13.5" thickBot="1">
      <c r="A36" s="77" t="s">
        <v>70</v>
      </c>
      <c r="B36" s="78"/>
      <c r="C36" s="79"/>
      <c r="D36" s="34">
        <f>'Pryse + Sensatiwiteitsanalise'!B4</f>
        <v>2300</v>
      </c>
      <c r="E36" s="34">
        <f>$D$36</f>
        <v>2300</v>
      </c>
      <c r="F36" s="34">
        <f>$D$36</f>
        <v>2300</v>
      </c>
      <c r="G36" s="34">
        <f>$D$36</f>
        <v>2300</v>
      </c>
      <c r="H36" s="34">
        <f>$D$36</f>
        <v>2300</v>
      </c>
      <c r="I36" s="34">
        <f>$D$36</f>
        <v>2300</v>
      </c>
      <c r="J36" s="15"/>
      <c r="K36" s="3"/>
    </row>
    <row r="37" spans="1:10" ht="15">
      <c r="A37" s="101" t="s">
        <v>45</v>
      </c>
      <c r="B37" s="100"/>
      <c r="C37" s="100"/>
      <c r="D37" s="100"/>
      <c r="E37" s="100"/>
      <c r="F37" s="100"/>
      <c r="G37" s="100"/>
      <c r="H37" s="99"/>
      <c r="I37" s="102"/>
      <c r="J37" s="102"/>
    </row>
    <row r="38" spans="1:10" ht="15">
      <c r="A38" s="98" t="s">
        <v>46</v>
      </c>
      <c r="B38" s="97"/>
      <c r="C38" s="97"/>
      <c r="D38" s="97"/>
      <c r="E38" s="97"/>
      <c r="F38" s="97"/>
      <c r="G38" s="97"/>
      <c r="H38" s="96"/>
      <c r="I38" s="102"/>
      <c r="J38" s="102"/>
    </row>
    <row r="39" spans="1:10" ht="15.75" thickBot="1">
      <c r="A39" s="95" t="s">
        <v>47</v>
      </c>
      <c r="B39" s="94"/>
      <c r="C39" s="94"/>
      <c r="D39" s="94"/>
      <c r="E39" s="94"/>
      <c r="F39" s="94"/>
      <c r="G39" s="94"/>
      <c r="H39" s="93"/>
      <c r="I39" s="102"/>
      <c r="J39" s="102"/>
    </row>
    <row r="40" spans="1:8" ht="12.75">
      <c r="A40" s="231" t="s">
        <v>48</v>
      </c>
      <c r="B40" s="232"/>
      <c r="C40" s="232"/>
      <c r="D40" s="232"/>
      <c r="E40" s="232"/>
      <c r="F40" s="232"/>
      <c r="G40" s="232"/>
      <c r="H40" s="233"/>
    </row>
    <row r="41" spans="1:8" ht="12.75">
      <c r="A41" s="234"/>
      <c r="B41" s="235"/>
      <c r="C41" s="235"/>
      <c r="D41" s="235"/>
      <c r="E41" s="235"/>
      <c r="F41" s="235"/>
      <c r="G41" s="235"/>
      <c r="H41" s="236"/>
    </row>
    <row r="42" spans="1:8" ht="12.75">
      <c r="A42" s="234"/>
      <c r="B42" s="235"/>
      <c r="C42" s="235"/>
      <c r="D42" s="235"/>
      <c r="E42" s="235"/>
      <c r="F42" s="235"/>
      <c r="G42" s="235"/>
      <c r="H42" s="236"/>
    </row>
    <row r="43" spans="1:8" ht="13.5" thickBot="1">
      <c r="A43" s="237"/>
      <c r="B43" s="238"/>
      <c r="C43" s="238"/>
      <c r="D43" s="238"/>
      <c r="E43" s="238"/>
      <c r="F43" s="238"/>
      <c r="G43" s="238"/>
      <c r="H43" s="239"/>
    </row>
  </sheetData>
  <sheetProtection/>
  <mergeCells count="11">
    <mergeCell ref="A1:D1"/>
    <mergeCell ref="E1:G1"/>
    <mergeCell ref="A3:C3"/>
    <mergeCell ref="A8:C8"/>
    <mergeCell ref="A25:C25"/>
    <mergeCell ref="A27:C27"/>
    <mergeCell ref="K7:M7"/>
    <mergeCell ref="A29:C29"/>
    <mergeCell ref="A31:C31"/>
    <mergeCell ref="A35:C35"/>
    <mergeCell ref="A40:H43"/>
  </mergeCells>
  <printOptions/>
  <pageMargins left="0.2362204724409449" right="0.2362204724409449" top="0.7480314960629921" bottom="0.7480314960629921" header="0.31496062992125984" footer="0.31496062992125984"/>
  <pageSetup fitToHeight="0" horizontalDpi="600" verticalDpi="600" orientation="portrait" paperSize="9" scale="70" r:id="rId2"/>
  <headerFooter alignWithMargins="0">
    <oddHeader>&amp;C&amp;F</oddHeader>
    <oddFooter>&amp;C&amp;A&amp;RPage &amp;P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M43"/>
  <sheetViews>
    <sheetView zoomScale="70" zoomScaleNormal="70" zoomScalePageLayoutView="0" workbookViewId="0" topLeftCell="A1">
      <selection activeCell="F25" sqref="F25"/>
    </sheetView>
  </sheetViews>
  <sheetFormatPr defaultColWidth="9.140625" defaultRowHeight="12.75"/>
  <cols>
    <col min="1" max="1" width="47.8515625" style="1" customWidth="1"/>
    <col min="2" max="2" width="13.28125" style="1" customWidth="1"/>
    <col min="3" max="3" width="17.28125" style="1" customWidth="1"/>
    <col min="4" max="4" width="16.140625" style="1" customWidth="1"/>
    <col min="5" max="6" width="14.28125" style="1" customWidth="1"/>
    <col min="7" max="7" width="14.8515625" style="1" customWidth="1"/>
    <col min="8" max="8" width="14.57421875" style="1" customWidth="1"/>
    <col min="9" max="9" width="16.28125" style="1" customWidth="1"/>
    <col min="10" max="10" width="14.421875" style="1" customWidth="1"/>
    <col min="11" max="26" width="12.7109375" style="1" customWidth="1"/>
    <col min="27" max="16384" width="9.140625" style="1" customWidth="1"/>
  </cols>
  <sheetData>
    <row r="1" spans="1:10" s="3" customFormat="1" ht="30" customHeight="1" thickBot="1">
      <c r="A1" s="215" t="s">
        <v>117</v>
      </c>
      <c r="B1" s="216"/>
      <c r="C1" s="216"/>
      <c r="D1" s="216"/>
      <c r="E1" s="14"/>
      <c r="F1" s="217" t="s">
        <v>80</v>
      </c>
      <c r="G1" s="217"/>
      <c r="H1" s="217"/>
      <c r="I1" s="16"/>
      <c r="J1" s="15"/>
    </row>
    <row r="2" spans="1:10" ht="16.5" thickBot="1">
      <c r="A2" s="17"/>
      <c r="B2" s="18"/>
      <c r="C2" s="19"/>
      <c r="D2" s="19"/>
      <c r="E2" s="10"/>
      <c r="F2" s="10"/>
      <c r="G2" s="10"/>
      <c r="H2" s="10"/>
      <c r="I2" s="4"/>
      <c r="J2" s="3"/>
    </row>
    <row r="3" spans="1:11" ht="27.75" customHeight="1" thickBot="1">
      <c r="A3" s="218" t="s">
        <v>16</v>
      </c>
      <c r="B3" s="219"/>
      <c r="C3" s="219"/>
      <c r="D3" s="29"/>
      <c r="E3" s="37">
        <f>'Pryse + Sensatiwiteitsanalise'!B19</f>
        <v>2011</v>
      </c>
      <c r="F3" s="29" t="s">
        <v>0</v>
      </c>
      <c r="G3" s="20"/>
      <c r="H3" s="20"/>
      <c r="I3" s="5"/>
      <c r="K3" s="3"/>
    </row>
    <row r="4" spans="1:11" ht="13.5" thickBot="1">
      <c r="A4" s="80"/>
      <c r="B4" s="90"/>
      <c r="C4" s="90"/>
      <c r="D4" s="6"/>
      <c r="E4" s="9"/>
      <c r="F4" s="21"/>
      <c r="G4" s="7"/>
      <c r="H4" s="22"/>
      <c r="I4" s="22"/>
      <c r="J4" s="3"/>
      <c r="K4" s="15"/>
    </row>
    <row r="5" spans="1:11" ht="13.5" thickBot="1">
      <c r="A5" s="80" t="s">
        <v>17</v>
      </c>
      <c r="B5" s="90"/>
      <c r="C5" s="90"/>
      <c r="D5" s="41">
        <v>4.5</v>
      </c>
      <c r="E5" s="41">
        <v>5</v>
      </c>
      <c r="F5" s="41">
        <v>5.5</v>
      </c>
      <c r="G5" s="41">
        <v>6</v>
      </c>
      <c r="H5" s="41">
        <v>7</v>
      </c>
      <c r="I5" s="41">
        <v>8</v>
      </c>
      <c r="J5" s="3"/>
      <c r="K5" s="15"/>
    </row>
    <row r="6" spans="1:11" ht="13.5" thickBot="1">
      <c r="A6" s="81" t="s">
        <v>18</v>
      </c>
      <c r="B6" s="91"/>
      <c r="C6" s="92"/>
      <c r="D6" s="36">
        <f aca="true" t="shared" si="0" ref="D6:I6">$E$3*D5</f>
        <v>9049.5</v>
      </c>
      <c r="E6" s="36">
        <f t="shared" si="0"/>
        <v>10055</v>
      </c>
      <c r="F6" s="36">
        <f t="shared" si="0"/>
        <v>11060.5</v>
      </c>
      <c r="G6" s="36">
        <f t="shared" si="0"/>
        <v>12066</v>
      </c>
      <c r="H6" s="36">
        <f t="shared" si="0"/>
        <v>14077</v>
      </c>
      <c r="I6" s="36">
        <f t="shared" si="0"/>
        <v>16088</v>
      </c>
      <c r="J6" s="3"/>
      <c r="K6" s="15"/>
    </row>
    <row r="7" spans="1:13" ht="15.75" thickBot="1">
      <c r="A7" s="83"/>
      <c r="B7" s="84"/>
      <c r="C7" s="84"/>
      <c r="D7" s="24"/>
      <c r="E7" s="24"/>
      <c r="F7" s="24"/>
      <c r="G7" s="24"/>
      <c r="H7" s="24"/>
      <c r="I7" s="24"/>
      <c r="J7" s="3"/>
      <c r="K7" s="226" t="s">
        <v>63</v>
      </c>
      <c r="L7" s="226"/>
      <c r="M7" s="226"/>
    </row>
    <row r="8" spans="1:13" ht="15.75" thickBot="1">
      <c r="A8" s="220" t="s">
        <v>19</v>
      </c>
      <c r="B8" s="221"/>
      <c r="C8" s="222"/>
      <c r="D8" s="25"/>
      <c r="E8" s="25"/>
      <c r="F8" s="25"/>
      <c r="G8" s="25"/>
      <c r="H8" s="25"/>
      <c r="I8" s="25"/>
      <c r="J8" s="3"/>
      <c r="K8" s="150" t="s">
        <v>60</v>
      </c>
      <c r="L8" s="150" t="s">
        <v>61</v>
      </c>
      <c r="M8" s="150" t="s">
        <v>62</v>
      </c>
    </row>
    <row r="9" spans="1:13" ht="15">
      <c r="A9" s="85" t="s">
        <v>20</v>
      </c>
      <c r="B9" s="86"/>
      <c r="C9" s="86"/>
      <c r="D9" s="158">
        <v>1734.4250000000002</v>
      </c>
      <c r="E9" s="158">
        <v>1734.4250000000002</v>
      </c>
      <c r="F9" s="158">
        <v>2229.975</v>
      </c>
      <c r="G9" s="158">
        <v>2229.975</v>
      </c>
      <c r="H9" s="158">
        <v>2725.525</v>
      </c>
      <c r="I9" s="158">
        <v>2725.525</v>
      </c>
      <c r="J9" s="3"/>
      <c r="K9" s="151">
        <f>D5</f>
        <v>4.5</v>
      </c>
      <c r="L9" s="151">
        <f>D25</f>
        <v>9107.574344109767</v>
      </c>
      <c r="M9" s="151">
        <f>D27</f>
        <v>2238.9100000000003</v>
      </c>
    </row>
    <row r="10" spans="1:13" ht="15">
      <c r="A10" s="82" t="s">
        <v>21</v>
      </c>
      <c r="B10" s="87"/>
      <c r="C10" s="87"/>
      <c r="D10" s="157">
        <v>2304.45</v>
      </c>
      <c r="E10" s="157">
        <v>2550.5</v>
      </c>
      <c r="F10" s="157">
        <v>2796.5499999999997</v>
      </c>
      <c r="G10" s="157">
        <v>3042.6</v>
      </c>
      <c r="H10" s="157">
        <v>3534.7</v>
      </c>
      <c r="I10" s="157">
        <v>4026.7999999999997</v>
      </c>
      <c r="J10" s="3"/>
      <c r="K10" s="151">
        <f>E5</f>
        <v>5</v>
      </c>
      <c r="L10" s="151">
        <f>E25</f>
        <v>9490.517399695393</v>
      </c>
      <c r="M10" s="151">
        <f>E27</f>
        <v>2238.9100000000003</v>
      </c>
    </row>
    <row r="11" spans="1:13" ht="15">
      <c r="A11" s="82" t="s">
        <v>22</v>
      </c>
      <c r="B11" s="87"/>
      <c r="C11" s="87"/>
      <c r="D11" s="157">
        <v>199.79999999999998</v>
      </c>
      <c r="E11" s="157">
        <v>199.79999999999998</v>
      </c>
      <c r="F11" s="157">
        <v>199.79999999999998</v>
      </c>
      <c r="G11" s="157">
        <v>199.79999999999998</v>
      </c>
      <c r="H11" s="157">
        <v>199.79999999999998</v>
      </c>
      <c r="I11" s="157">
        <v>199.79999999999998</v>
      </c>
      <c r="J11" s="3"/>
      <c r="K11" s="151">
        <f>F5</f>
        <v>5.5</v>
      </c>
      <c r="L11" s="151">
        <f>F25</f>
        <v>10449.622345074647</v>
      </c>
      <c r="M11" s="151">
        <f>F27</f>
        <v>2238.9100000000003</v>
      </c>
    </row>
    <row r="12" spans="1:13" ht="15">
      <c r="A12" s="82" t="s">
        <v>23</v>
      </c>
      <c r="B12" s="87"/>
      <c r="C12" s="87"/>
      <c r="D12" s="157">
        <v>917.7095899999999</v>
      </c>
      <c r="E12" s="157">
        <v>938.1278400000001</v>
      </c>
      <c r="F12" s="157">
        <v>958.54609</v>
      </c>
      <c r="G12" s="157">
        <v>978.96434</v>
      </c>
      <c r="H12" s="157">
        <v>1012.0958400000001</v>
      </c>
      <c r="I12" s="157">
        <v>1045.2273400000001</v>
      </c>
      <c r="J12" s="3"/>
      <c r="K12" s="151">
        <f>G5</f>
        <v>6</v>
      </c>
      <c r="L12" s="151">
        <f>G25</f>
        <v>10832.56540066027</v>
      </c>
      <c r="M12" s="151">
        <f>G27</f>
        <v>2238.9100000000003</v>
      </c>
    </row>
    <row r="13" spans="1:13" ht="15">
      <c r="A13" s="82" t="s">
        <v>24</v>
      </c>
      <c r="B13" s="87"/>
      <c r="C13" s="87"/>
      <c r="D13" s="157">
        <v>583.547184</v>
      </c>
      <c r="E13" s="157">
        <v>586.826734</v>
      </c>
      <c r="F13" s="157">
        <v>590.106284</v>
      </c>
      <c r="G13" s="157">
        <v>593.3858339999999</v>
      </c>
      <c r="H13" s="157">
        <v>599.944934</v>
      </c>
      <c r="I13" s="157">
        <v>606.504034</v>
      </c>
      <c r="J13" s="3"/>
      <c r="K13" s="151">
        <f>H5</f>
        <v>7</v>
      </c>
      <c r="L13" s="151">
        <f>H25</f>
        <v>12165.655017282787</v>
      </c>
      <c r="M13" s="151">
        <f>H27</f>
        <v>2238.9100000000003</v>
      </c>
    </row>
    <row r="14" spans="1:13" ht="15">
      <c r="A14" s="82" t="s">
        <v>25</v>
      </c>
      <c r="B14" s="87"/>
      <c r="C14" s="87"/>
      <c r="D14" s="157">
        <v>783.5519999999999</v>
      </c>
      <c r="E14" s="157">
        <v>783.5519999999999</v>
      </c>
      <c r="F14" s="157">
        <v>783.5519999999999</v>
      </c>
      <c r="G14" s="157">
        <v>783.5519999999999</v>
      </c>
      <c r="H14" s="157">
        <v>783.5519999999999</v>
      </c>
      <c r="I14" s="157">
        <v>783.5519999999999</v>
      </c>
      <c r="J14" s="3"/>
      <c r="K14" s="151">
        <f>I5</f>
        <v>8</v>
      </c>
      <c r="L14" s="151">
        <f>I25</f>
        <v>12922.582744111665</v>
      </c>
      <c r="M14" s="151">
        <f>I27</f>
        <v>2238.9100000000003</v>
      </c>
    </row>
    <row r="15" spans="1:11" ht="12.75">
      <c r="A15" s="82" t="s">
        <v>26</v>
      </c>
      <c r="B15" s="87"/>
      <c r="C15" s="87"/>
      <c r="D15" s="157">
        <v>581.28</v>
      </c>
      <c r="E15" s="157">
        <v>581.28</v>
      </c>
      <c r="F15" s="157">
        <v>581.28</v>
      </c>
      <c r="G15" s="157">
        <v>581.28</v>
      </c>
      <c r="H15" s="157">
        <v>581.28</v>
      </c>
      <c r="I15" s="157">
        <v>581.28</v>
      </c>
      <c r="J15" s="3"/>
      <c r="K15" s="15"/>
    </row>
    <row r="16" spans="1:11" ht="12.75">
      <c r="A16" s="82" t="s">
        <v>27</v>
      </c>
      <c r="B16" s="87"/>
      <c r="C16" s="87"/>
      <c r="D16" s="157">
        <v>176.46525</v>
      </c>
      <c r="E16" s="157">
        <v>196.07250000000002</v>
      </c>
      <c r="F16" s="157">
        <v>215.67974999999998</v>
      </c>
      <c r="G16" s="157">
        <v>235.28699999999998</v>
      </c>
      <c r="H16" s="157">
        <v>274.5015</v>
      </c>
      <c r="I16" s="157">
        <v>313.716</v>
      </c>
      <c r="J16" s="3"/>
      <c r="K16" s="15"/>
    </row>
    <row r="17" spans="1:11" ht="12.75">
      <c r="A17" s="82" t="s">
        <v>29</v>
      </c>
      <c r="B17" s="87"/>
      <c r="C17" s="87"/>
      <c r="D17" s="157">
        <v>779.0468969666833</v>
      </c>
      <c r="E17" s="157">
        <v>811.8032147190453</v>
      </c>
      <c r="F17" s="157">
        <v>893.8434708105423</v>
      </c>
      <c r="G17" s="157">
        <v>926.5997885629042</v>
      </c>
      <c r="H17" s="157">
        <v>1040.6300769766285</v>
      </c>
      <c r="I17" s="157">
        <v>1105.3764270512183</v>
      </c>
      <c r="J17" s="3"/>
      <c r="K17" s="15"/>
    </row>
    <row r="18" spans="1:11" ht="12.75">
      <c r="A18" s="82" t="s">
        <v>30</v>
      </c>
      <c r="B18" s="87"/>
      <c r="C18" s="87"/>
      <c r="D18" s="157">
        <v>0</v>
      </c>
      <c r="E18" s="157">
        <v>0</v>
      </c>
      <c r="F18" s="157">
        <v>0</v>
      </c>
      <c r="G18" s="157">
        <v>0</v>
      </c>
      <c r="H18" s="157">
        <v>0</v>
      </c>
      <c r="I18" s="157">
        <v>0</v>
      </c>
      <c r="J18" s="3"/>
      <c r="K18" s="15"/>
    </row>
    <row r="19" spans="1:11" ht="12.75">
      <c r="A19" s="82" t="s">
        <v>31</v>
      </c>
      <c r="B19" s="87"/>
      <c r="C19" s="87"/>
      <c r="D19" s="157">
        <v>360.087525</v>
      </c>
      <c r="E19" s="157">
        <v>400.09725</v>
      </c>
      <c r="F19" s="157">
        <v>440.10697500000003</v>
      </c>
      <c r="G19" s="157">
        <v>480.1167</v>
      </c>
      <c r="H19" s="157">
        <v>560.13615</v>
      </c>
      <c r="I19" s="157">
        <v>640.1556</v>
      </c>
      <c r="J19" s="3"/>
      <c r="K19" s="15"/>
    </row>
    <row r="20" spans="1:11" ht="12.75">
      <c r="A20" s="82" t="s">
        <v>32</v>
      </c>
      <c r="B20" s="87"/>
      <c r="C20" s="87"/>
      <c r="D20" s="157">
        <v>0</v>
      </c>
      <c r="E20" s="157">
        <v>0</v>
      </c>
      <c r="F20" s="157">
        <v>0</v>
      </c>
      <c r="G20" s="157">
        <v>0</v>
      </c>
      <c r="H20" s="157">
        <v>0</v>
      </c>
      <c r="I20" s="157">
        <v>0</v>
      </c>
      <c r="J20" s="3"/>
      <c r="K20" s="15"/>
    </row>
    <row r="21" spans="1:11" ht="12.75">
      <c r="A21" s="82" t="s">
        <v>33</v>
      </c>
      <c r="B21" s="87"/>
      <c r="C21" s="87"/>
      <c r="D21" s="157">
        <v>192</v>
      </c>
      <c r="E21" s="157">
        <v>192</v>
      </c>
      <c r="F21" s="157">
        <v>192</v>
      </c>
      <c r="G21" s="157">
        <v>192</v>
      </c>
      <c r="H21" s="157">
        <v>192</v>
      </c>
      <c r="I21" s="157">
        <v>192</v>
      </c>
      <c r="J21" s="3"/>
      <c r="K21" s="15"/>
    </row>
    <row r="22" spans="1:11" ht="12.75">
      <c r="A22" s="82" t="s">
        <v>34</v>
      </c>
      <c r="B22" s="87"/>
      <c r="C22" s="87"/>
      <c r="D22" s="157">
        <v>0</v>
      </c>
      <c r="E22" s="157">
        <v>0</v>
      </c>
      <c r="F22" s="157">
        <v>0</v>
      </c>
      <c r="G22" s="157">
        <v>0</v>
      </c>
      <c r="H22" s="157">
        <v>0</v>
      </c>
      <c r="I22" s="157">
        <v>0</v>
      </c>
      <c r="J22" s="3"/>
      <c r="K22" s="15"/>
    </row>
    <row r="23" spans="1:11" ht="12.75">
      <c r="A23" s="82" t="s">
        <v>35</v>
      </c>
      <c r="B23" s="87"/>
      <c r="C23" s="87"/>
      <c r="D23" s="157">
        <v>0</v>
      </c>
      <c r="E23" s="157">
        <v>0</v>
      </c>
      <c r="F23" s="157">
        <v>0</v>
      </c>
      <c r="G23" s="157">
        <v>0</v>
      </c>
      <c r="H23" s="157">
        <v>0</v>
      </c>
      <c r="I23" s="157">
        <v>0</v>
      </c>
      <c r="J23" s="3"/>
      <c r="K23" s="15"/>
    </row>
    <row r="24" spans="1:11" ht="13.5" thickBot="1">
      <c r="A24" s="82" t="s">
        <v>36</v>
      </c>
      <c r="B24" s="87"/>
      <c r="C24" s="87"/>
      <c r="D24" s="157">
        <v>495.2108981430844</v>
      </c>
      <c r="E24" s="157">
        <v>516.0328609763452</v>
      </c>
      <c r="F24" s="157">
        <v>568.1827752641061</v>
      </c>
      <c r="G24" s="157">
        <v>589.004738097367</v>
      </c>
      <c r="H24" s="157">
        <v>661.4895163061564</v>
      </c>
      <c r="I24" s="157">
        <v>702.646343060445</v>
      </c>
      <c r="J24" s="3"/>
      <c r="K24" s="15"/>
    </row>
    <row r="25" spans="1:11" ht="26.25" customHeight="1" thickBot="1">
      <c r="A25" s="223" t="s">
        <v>37</v>
      </c>
      <c r="B25" s="224"/>
      <c r="C25" s="225"/>
      <c r="D25" s="32">
        <f aca="true" t="shared" si="1" ref="D25:I25">SUM(D9:D24)</f>
        <v>9107.574344109767</v>
      </c>
      <c r="E25" s="32">
        <f t="shared" si="1"/>
        <v>9490.517399695393</v>
      </c>
      <c r="F25" s="32">
        <f t="shared" si="1"/>
        <v>10449.622345074647</v>
      </c>
      <c r="G25" s="32">
        <f t="shared" si="1"/>
        <v>10832.56540066027</v>
      </c>
      <c r="H25" s="32">
        <f t="shared" si="1"/>
        <v>12165.655017282787</v>
      </c>
      <c r="I25" s="32">
        <f t="shared" si="1"/>
        <v>12922.582744111665</v>
      </c>
      <c r="J25" s="3"/>
      <c r="K25" s="15"/>
    </row>
    <row r="26" spans="1:11" ht="13.5" thickBot="1">
      <c r="A26" s="88"/>
      <c r="B26" s="89"/>
      <c r="C26" s="89"/>
      <c r="D26" s="33"/>
      <c r="E26" s="33"/>
      <c r="F26" s="33"/>
      <c r="G26" s="33"/>
      <c r="H26" s="33"/>
      <c r="I26" s="33"/>
      <c r="J26" s="3"/>
      <c r="K26" s="15"/>
    </row>
    <row r="27" spans="1:11" ht="13.5" thickBot="1">
      <c r="A27" s="227" t="s">
        <v>38</v>
      </c>
      <c r="B27" s="228"/>
      <c r="C27" s="229"/>
      <c r="D27" s="159">
        <v>2238.9100000000003</v>
      </c>
      <c r="E27" s="32">
        <f>D27</f>
        <v>2238.9100000000003</v>
      </c>
      <c r="F27" s="32">
        <f>E27</f>
        <v>2238.9100000000003</v>
      </c>
      <c r="G27" s="32">
        <f>F27</f>
        <v>2238.9100000000003</v>
      </c>
      <c r="H27" s="32">
        <f>G27</f>
        <v>2238.9100000000003</v>
      </c>
      <c r="I27" s="32">
        <f>H27</f>
        <v>2238.9100000000003</v>
      </c>
      <c r="J27" s="28"/>
      <c r="K27" s="15"/>
    </row>
    <row r="28" spans="1:11" ht="13.5" thickBot="1">
      <c r="A28" s="88"/>
      <c r="B28" s="89"/>
      <c r="C28" s="89"/>
      <c r="D28" s="33"/>
      <c r="E28" s="33"/>
      <c r="F28" s="33"/>
      <c r="G28" s="33"/>
      <c r="H28" s="33"/>
      <c r="I28" s="33"/>
      <c r="J28" s="3"/>
      <c r="K28" s="15"/>
    </row>
    <row r="29" spans="1:11" ht="27.75" customHeight="1" thickBot="1">
      <c r="A29" s="223" t="s">
        <v>39</v>
      </c>
      <c r="B29" s="224"/>
      <c r="C29" s="225"/>
      <c r="D29" s="32">
        <f aca="true" t="shared" si="2" ref="D29:I29">D25+D27</f>
        <v>11346.484344109767</v>
      </c>
      <c r="E29" s="32">
        <f t="shared" si="2"/>
        <v>11729.427399695393</v>
      </c>
      <c r="F29" s="32">
        <f t="shared" si="2"/>
        <v>12688.532345074647</v>
      </c>
      <c r="G29" s="32">
        <f t="shared" si="2"/>
        <v>13071.47540066027</v>
      </c>
      <c r="H29" s="32">
        <f t="shared" si="2"/>
        <v>14404.565017282786</v>
      </c>
      <c r="I29" s="32">
        <f t="shared" si="2"/>
        <v>15161.492744111665</v>
      </c>
      <c r="J29" s="3"/>
      <c r="K29" s="3"/>
    </row>
    <row r="30" spans="1:11" ht="13.5" thickBot="1">
      <c r="A30" s="83"/>
      <c r="B30" s="84"/>
      <c r="C30" s="84"/>
      <c r="D30" s="35"/>
      <c r="E30" s="35"/>
      <c r="F30" s="35"/>
      <c r="G30" s="35"/>
      <c r="H30" s="35"/>
      <c r="I30" s="35"/>
      <c r="J30" s="3"/>
      <c r="K30" s="3"/>
    </row>
    <row r="31" spans="1:11" ht="26.25" customHeight="1" thickBot="1">
      <c r="A31" s="223" t="s">
        <v>40</v>
      </c>
      <c r="B31" s="219"/>
      <c r="C31" s="230"/>
      <c r="D31" s="32">
        <f aca="true" t="shared" si="3" ref="D31:I31">D29/D5</f>
        <v>2521.440965357726</v>
      </c>
      <c r="E31" s="32">
        <f t="shared" si="3"/>
        <v>2345.8854799390783</v>
      </c>
      <c r="F31" s="32">
        <f t="shared" si="3"/>
        <v>2307.005880922663</v>
      </c>
      <c r="G31" s="32">
        <f t="shared" si="3"/>
        <v>2178.5792334433786</v>
      </c>
      <c r="H31" s="32">
        <f t="shared" si="3"/>
        <v>2057.7950024689694</v>
      </c>
      <c r="I31" s="32">
        <f t="shared" si="3"/>
        <v>1895.1865930139581</v>
      </c>
      <c r="J31" s="3"/>
      <c r="K31" s="3"/>
    </row>
    <row r="32" spans="1:11" ht="13.5" thickBot="1">
      <c r="A32" s="83"/>
      <c r="B32" s="84"/>
      <c r="C32" s="84"/>
      <c r="D32" s="35"/>
      <c r="E32" s="35"/>
      <c r="F32" s="35"/>
      <c r="G32" s="35"/>
      <c r="H32" s="35"/>
      <c r="I32" s="35"/>
      <c r="J32" s="3"/>
      <c r="K32" s="15"/>
    </row>
    <row r="33" spans="1:11" ht="13.5" thickBot="1">
      <c r="A33" s="81" t="s">
        <v>41</v>
      </c>
      <c r="B33" s="91"/>
      <c r="C33" s="91"/>
      <c r="D33" s="32">
        <f>'Pryse + Sensatiwiteitsanalise'!D4</f>
        <v>289</v>
      </c>
      <c r="E33" s="32">
        <f>$D$33</f>
        <v>289</v>
      </c>
      <c r="F33" s="32">
        <f>$D$33</f>
        <v>289</v>
      </c>
      <c r="G33" s="32">
        <f>$D$33</f>
        <v>289</v>
      </c>
      <c r="H33" s="32">
        <f>$D$33</f>
        <v>289</v>
      </c>
      <c r="I33" s="32">
        <f>$D$33</f>
        <v>289</v>
      </c>
      <c r="J33" s="3"/>
      <c r="K33" s="15"/>
    </row>
    <row r="34" spans="1:11" ht="13.5" thickBot="1">
      <c r="A34" s="83"/>
      <c r="B34" s="84"/>
      <c r="C34" s="84"/>
      <c r="D34" s="35"/>
      <c r="E34" s="35"/>
      <c r="F34" s="35"/>
      <c r="G34" s="35"/>
      <c r="H34" s="35"/>
      <c r="I34" s="35"/>
      <c r="J34" s="3"/>
      <c r="K34" s="15"/>
    </row>
    <row r="35" spans="1:11" ht="13.5" thickBot="1">
      <c r="A35" s="218" t="s">
        <v>42</v>
      </c>
      <c r="B35" s="219"/>
      <c r="C35" s="230"/>
      <c r="D35" s="34">
        <f aca="true" t="shared" si="4" ref="D35:I35">D31+D33</f>
        <v>2810.440965357726</v>
      </c>
      <c r="E35" s="34">
        <f t="shared" si="4"/>
        <v>2634.8854799390783</v>
      </c>
      <c r="F35" s="34">
        <f t="shared" si="4"/>
        <v>2596.005880922663</v>
      </c>
      <c r="G35" s="34">
        <f t="shared" si="4"/>
        <v>2467.5792334433786</v>
      </c>
      <c r="H35" s="34">
        <f t="shared" si="4"/>
        <v>2346.7950024689694</v>
      </c>
      <c r="I35" s="34">
        <f t="shared" si="4"/>
        <v>2184.1865930139584</v>
      </c>
      <c r="J35" s="3"/>
      <c r="K35" s="15"/>
    </row>
    <row r="36" spans="1:11" ht="13.5" thickBot="1">
      <c r="A36" s="77" t="s">
        <v>70</v>
      </c>
      <c r="B36" s="78"/>
      <c r="C36" s="79"/>
      <c r="D36" s="34">
        <f>'Pryse + Sensatiwiteitsanalise'!B4</f>
        <v>2300</v>
      </c>
      <c r="E36" s="34">
        <f>$D$36</f>
        <v>2300</v>
      </c>
      <c r="F36" s="34">
        <f>$D$36</f>
        <v>2300</v>
      </c>
      <c r="G36" s="34">
        <f>$D$36</f>
        <v>2300</v>
      </c>
      <c r="H36" s="34">
        <f>$D$36</f>
        <v>2300</v>
      </c>
      <c r="I36" s="34">
        <f>$D$36</f>
        <v>2300</v>
      </c>
      <c r="J36" s="15"/>
      <c r="K36" s="3"/>
    </row>
    <row r="37" spans="1:10" ht="15">
      <c r="A37" s="101" t="s">
        <v>45</v>
      </c>
      <c r="B37" s="100"/>
      <c r="C37" s="100"/>
      <c r="D37" s="100"/>
      <c r="E37" s="100"/>
      <c r="F37" s="100"/>
      <c r="G37" s="100"/>
      <c r="H37" s="99"/>
      <c r="I37" s="102"/>
      <c r="J37" s="102"/>
    </row>
    <row r="38" spans="1:10" ht="15">
      <c r="A38" s="98" t="s">
        <v>46</v>
      </c>
      <c r="B38" s="97"/>
      <c r="C38" s="97"/>
      <c r="D38" s="97"/>
      <c r="E38" s="97"/>
      <c r="F38" s="97"/>
      <c r="G38" s="97"/>
      <c r="H38" s="96"/>
      <c r="I38" s="102"/>
      <c r="J38" s="102"/>
    </row>
    <row r="39" spans="1:10" ht="15.75" thickBot="1">
      <c r="A39" s="95" t="s">
        <v>47</v>
      </c>
      <c r="B39" s="94"/>
      <c r="C39" s="94"/>
      <c r="D39" s="94"/>
      <c r="E39" s="94"/>
      <c r="F39" s="94"/>
      <c r="G39" s="94"/>
      <c r="H39" s="93"/>
      <c r="I39" s="102"/>
      <c r="J39" s="102"/>
    </row>
    <row r="40" spans="1:8" ht="12.75">
      <c r="A40" s="231" t="s">
        <v>48</v>
      </c>
      <c r="B40" s="232"/>
      <c r="C40" s="232"/>
      <c r="D40" s="232"/>
      <c r="E40" s="232"/>
      <c r="F40" s="232"/>
      <c r="G40" s="232"/>
      <c r="H40" s="233"/>
    </row>
    <row r="41" spans="1:8" ht="12.75">
      <c r="A41" s="234"/>
      <c r="B41" s="235"/>
      <c r="C41" s="235"/>
      <c r="D41" s="235"/>
      <c r="E41" s="235"/>
      <c r="F41" s="235"/>
      <c r="G41" s="235"/>
      <c r="H41" s="236"/>
    </row>
    <row r="42" spans="1:8" ht="12.75">
      <c r="A42" s="234"/>
      <c r="B42" s="235"/>
      <c r="C42" s="235"/>
      <c r="D42" s="235"/>
      <c r="E42" s="235"/>
      <c r="F42" s="235"/>
      <c r="G42" s="235"/>
      <c r="H42" s="236"/>
    </row>
    <row r="43" spans="1:8" ht="13.5" thickBot="1">
      <c r="A43" s="237"/>
      <c r="B43" s="238"/>
      <c r="C43" s="238"/>
      <c r="D43" s="238"/>
      <c r="E43" s="238"/>
      <c r="F43" s="238"/>
      <c r="G43" s="238"/>
      <c r="H43" s="239"/>
    </row>
    <row r="83" ht="12.75"/>
    <row r="84" ht="12.75"/>
    <row r="85" ht="12.75"/>
  </sheetData>
  <sheetProtection/>
  <mergeCells count="11">
    <mergeCell ref="A31:C31"/>
    <mergeCell ref="A35:C35"/>
    <mergeCell ref="A40:H43"/>
    <mergeCell ref="A1:D1"/>
    <mergeCell ref="F1:H1"/>
    <mergeCell ref="A3:C3"/>
    <mergeCell ref="K7:M7"/>
    <mergeCell ref="A8:C8"/>
    <mergeCell ref="A25:C25"/>
    <mergeCell ref="A27:C27"/>
    <mergeCell ref="A29:C29"/>
  </mergeCells>
  <printOptions/>
  <pageMargins left="0.35433070866141736" right="0.35433070866141736" top="0.5905511811023623" bottom="0.5905511811023623" header="0.31496062992125984" footer="0.31496062992125984"/>
  <pageSetup fitToHeight="0" fitToWidth="1" horizontalDpi="600" verticalDpi="600" orientation="portrait" paperSize="9" scale="58" r:id="rId2"/>
  <headerFooter alignWithMargins="0">
    <oddHeader>&amp;C&amp;F</oddHeader>
    <oddFooter>&amp;C&amp;A&amp;RPage &amp;P</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M39"/>
  <sheetViews>
    <sheetView zoomScale="90" zoomScaleNormal="90" zoomScalePageLayoutView="0" workbookViewId="0" topLeftCell="A1">
      <selection activeCell="D27" sqref="D27"/>
    </sheetView>
  </sheetViews>
  <sheetFormatPr defaultColWidth="9.140625" defaultRowHeight="12.75"/>
  <cols>
    <col min="1" max="1" width="41.7109375" style="1" customWidth="1"/>
    <col min="2" max="2" width="10.7109375" style="1" customWidth="1"/>
    <col min="3" max="9" width="13.7109375" style="1" customWidth="1"/>
    <col min="10" max="10" width="14.421875" style="1" customWidth="1"/>
    <col min="11" max="13" width="12.7109375" style="1" hidden="1" customWidth="1"/>
    <col min="14" max="26" width="12.7109375" style="1" customWidth="1"/>
    <col min="27" max="16384" width="9.140625" style="1" customWidth="1"/>
  </cols>
  <sheetData>
    <row r="1" spans="1:10" s="3" customFormat="1" ht="30" customHeight="1" thickBot="1">
      <c r="A1" s="215" t="s">
        <v>14</v>
      </c>
      <c r="B1" s="216"/>
      <c r="C1" s="216"/>
      <c r="D1" s="216"/>
      <c r="E1" s="217" t="s">
        <v>78</v>
      </c>
      <c r="F1" s="217"/>
      <c r="G1" s="217"/>
      <c r="H1" s="2"/>
      <c r="I1" s="16"/>
      <c r="J1" s="15"/>
    </row>
    <row r="2" spans="1:10" ht="16.5" thickBot="1">
      <c r="A2" s="17"/>
      <c r="B2" s="18"/>
      <c r="C2" s="19"/>
      <c r="D2" s="19"/>
      <c r="E2" s="10"/>
      <c r="F2" s="10"/>
      <c r="G2" s="10"/>
      <c r="H2" s="10"/>
      <c r="I2" s="4"/>
      <c r="J2" s="3"/>
    </row>
    <row r="3" spans="1:11" ht="27.75" customHeight="1" thickBot="1">
      <c r="A3" s="218" t="s">
        <v>16</v>
      </c>
      <c r="B3" s="219"/>
      <c r="C3" s="219"/>
      <c r="D3" s="29"/>
      <c r="E3" s="37">
        <f>'Pryse + Sensatiwiteitsanalise'!B45</f>
        <v>4687</v>
      </c>
      <c r="F3" s="29" t="s">
        <v>0</v>
      </c>
      <c r="G3" s="20"/>
      <c r="H3" s="20"/>
      <c r="I3" s="5"/>
      <c r="K3" s="3"/>
    </row>
    <row r="4" spans="1:11" ht="13.5" thickBot="1">
      <c r="A4" s="80"/>
      <c r="B4" s="90"/>
      <c r="C4" s="90"/>
      <c r="D4" s="6"/>
      <c r="E4" s="9"/>
      <c r="F4" s="21"/>
      <c r="G4" s="7"/>
      <c r="H4" s="22"/>
      <c r="I4" s="22"/>
      <c r="J4" s="3"/>
      <c r="K4" s="15"/>
    </row>
    <row r="5" spans="1:11" ht="13.5" thickBot="1">
      <c r="A5" s="80" t="s">
        <v>17</v>
      </c>
      <c r="B5" s="90"/>
      <c r="C5" s="90"/>
      <c r="D5" s="41">
        <v>1.5</v>
      </c>
      <c r="E5" s="41">
        <v>1.75</v>
      </c>
      <c r="F5" s="41">
        <v>2</v>
      </c>
      <c r="G5" s="41">
        <v>2.5</v>
      </c>
      <c r="H5" s="41">
        <v>3</v>
      </c>
      <c r="I5" s="41">
        <v>3.5</v>
      </c>
      <c r="J5" s="3"/>
      <c r="K5" s="15"/>
    </row>
    <row r="6" spans="1:11" ht="13.5" thickBot="1">
      <c r="A6" s="81" t="s">
        <v>18</v>
      </c>
      <c r="B6" s="91"/>
      <c r="C6" s="92"/>
      <c r="D6" s="36">
        <f aca="true" t="shared" si="0" ref="D6:I6">$E$3*D5</f>
        <v>7030.5</v>
      </c>
      <c r="E6" s="36">
        <f t="shared" si="0"/>
        <v>8202.25</v>
      </c>
      <c r="F6" s="36">
        <f t="shared" si="0"/>
        <v>9374</v>
      </c>
      <c r="G6" s="36">
        <f t="shared" si="0"/>
        <v>11717.5</v>
      </c>
      <c r="H6" s="36">
        <f t="shared" si="0"/>
        <v>14061</v>
      </c>
      <c r="I6" s="36">
        <f t="shared" si="0"/>
        <v>16404.5</v>
      </c>
      <c r="J6" s="3"/>
      <c r="K6" s="15"/>
    </row>
    <row r="7" spans="1:13" ht="15.75" thickBot="1">
      <c r="A7" s="83"/>
      <c r="B7" s="84"/>
      <c r="C7" s="84"/>
      <c r="D7" s="24"/>
      <c r="E7" s="24"/>
      <c r="F7" s="24"/>
      <c r="G7" s="24"/>
      <c r="H7" s="24"/>
      <c r="I7" s="24"/>
      <c r="J7" s="3"/>
      <c r="K7" s="226" t="s">
        <v>65</v>
      </c>
      <c r="L7" s="226"/>
      <c r="M7" s="226"/>
    </row>
    <row r="8" spans="1:13" ht="15.75" thickBot="1">
      <c r="A8" s="220" t="s">
        <v>19</v>
      </c>
      <c r="B8" s="221"/>
      <c r="C8" s="222"/>
      <c r="D8" s="25"/>
      <c r="E8" s="25"/>
      <c r="F8" s="25"/>
      <c r="G8" s="25"/>
      <c r="H8" s="25"/>
      <c r="I8" s="25"/>
      <c r="J8" s="3"/>
      <c r="K8" s="104" t="s">
        <v>60</v>
      </c>
      <c r="L8" s="104" t="s">
        <v>61</v>
      </c>
      <c r="M8" s="104" t="s">
        <v>62</v>
      </c>
    </row>
    <row r="9" spans="1:13" ht="15">
      <c r="A9" s="85" t="s">
        <v>20</v>
      </c>
      <c r="B9" s="86"/>
      <c r="C9" s="86"/>
      <c r="D9" s="158">
        <v>1026.93</v>
      </c>
      <c r="E9" s="158">
        <v>1026.93</v>
      </c>
      <c r="F9" s="158">
        <v>1026.93</v>
      </c>
      <c r="G9" s="158">
        <v>1026.93</v>
      </c>
      <c r="H9" s="158">
        <v>1198.085</v>
      </c>
      <c r="I9" s="158">
        <v>1198.085</v>
      </c>
      <c r="J9" s="3"/>
      <c r="K9" s="105">
        <f>D5</f>
        <v>1.5</v>
      </c>
      <c r="L9" s="105">
        <f>D25</f>
        <v>6661.6199978955865</v>
      </c>
      <c r="M9" s="105">
        <f>D27</f>
        <v>2134.55</v>
      </c>
    </row>
    <row r="10" spans="1:13" ht="15">
      <c r="A10" s="82" t="s">
        <v>21</v>
      </c>
      <c r="B10" s="87"/>
      <c r="C10" s="87"/>
      <c r="D10" s="157">
        <v>1804</v>
      </c>
      <c r="E10" s="157">
        <v>1804</v>
      </c>
      <c r="F10" s="157">
        <v>2051</v>
      </c>
      <c r="G10" s="157">
        <v>2051</v>
      </c>
      <c r="H10" s="157">
        <v>2456</v>
      </c>
      <c r="I10" s="157">
        <v>2950</v>
      </c>
      <c r="J10" s="3"/>
      <c r="K10" s="105">
        <f>E5</f>
        <v>1.75</v>
      </c>
      <c r="L10" s="105">
        <f>E25</f>
        <v>6756.130519668832</v>
      </c>
      <c r="M10" s="105">
        <f>E27</f>
        <v>2134.55</v>
      </c>
    </row>
    <row r="11" spans="1:13" ht="15">
      <c r="A11" s="82" t="s">
        <v>22</v>
      </c>
      <c r="B11" s="87"/>
      <c r="C11" s="87"/>
      <c r="D11" s="157">
        <v>0</v>
      </c>
      <c r="E11" s="157">
        <v>0</v>
      </c>
      <c r="F11" s="157">
        <v>0</v>
      </c>
      <c r="G11" s="157">
        <v>0</v>
      </c>
      <c r="H11" s="157">
        <v>0</v>
      </c>
      <c r="I11" s="157">
        <v>0</v>
      </c>
      <c r="J11" s="3"/>
      <c r="K11" s="105">
        <f>F5</f>
        <v>2</v>
      </c>
      <c r="L11" s="105">
        <f>F25</f>
        <v>7126.018588405135</v>
      </c>
      <c r="M11" s="105">
        <f>F27</f>
        <v>2134.55</v>
      </c>
    </row>
    <row r="12" spans="1:13" ht="15">
      <c r="A12" s="82" t="s">
        <v>23</v>
      </c>
      <c r="B12" s="87"/>
      <c r="C12" s="87"/>
      <c r="D12" s="157">
        <v>889.83095</v>
      </c>
      <c r="E12" s="157">
        <v>903.8925750000001</v>
      </c>
      <c r="F12" s="157">
        <v>917.9542</v>
      </c>
      <c r="G12" s="157">
        <v>938.3724500000001</v>
      </c>
      <c r="H12" s="157">
        <v>958.7907</v>
      </c>
      <c r="I12" s="157">
        <v>971.50395</v>
      </c>
      <c r="J12" s="3"/>
      <c r="K12" s="105">
        <f>G5</f>
        <v>2.5</v>
      </c>
      <c r="L12" s="105">
        <f>G25</f>
        <v>7306.449413330775</v>
      </c>
      <c r="M12" s="105">
        <f>G27</f>
        <v>2134.55</v>
      </c>
    </row>
    <row r="13" spans="1:13" ht="15">
      <c r="A13" s="82" t="s">
        <v>24</v>
      </c>
      <c r="B13" s="87"/>
      <c r="C13" s="87"/>
      <c r="D13" s="157">
        <v>496.1579999999999</v>
      </c>
      <c r="E13" s="157">
        <v>497.99699999999996</v>
      </c>
      <c r="F13" s="157">
        <v>499.8359999999999</v>
      </c>
      <c r="G13" s="157">
        <v>503.51399999999995</v>
      </c>
      <c r="H13" s="157">
        <v>507.19199999999995</v>
      </c>
      <c r="I13" s="157">
        <v>510.86999999999995</v>
      </c>
      <c r="J13" s="3"/>
      <c r="K13" s="105">
        <f>H5</f>
        <v>3</v>
      </c>
      <c r="L13" s="105">
        <f>H25</f>
        <v>8129.229025991234</v>
      </c>
      <c r="M13" s="105">
        <f>H27</f>
        <v>2134.55</v>
      </c>
    </row>
    <row r="14" spans="1:13" ht="15">
      <c r="A14" s="82" t="s">
        <v>25</v>
      </c>
      <c r="B14" s="87"/>
      <c r="C14" s="87"/>
      <c r="D14" s="157">
        <v>900.552</v>
      </c>
      <c r="E14" s="157">
        <v>900.552</v>
      </c>
      <c r="F14" s="157">
        <v>900.552</v>
      </c>
      <c r="G14" s="157">
        <v>900.552</v>
      </c>
      <c r="H14" s="157">
        <v>900.552</v>
      </c>
      <c r="I14" s="157">
        <v>900.552</v>
      </c>
      <c r="J14" s="3"/>
      <c r="K14" s="105">
        <f>I5</f>
        <v>3.5</v>
      </c>
      <c r="L14" s="105">
        <f>I25</f>
        <v>9050.239265808861</v>
      </c>
      <c r="M14" s="105">
        <f>I27</f>
        <v>2134.55</v>
      </c>
    </row>
    <row r="15" spans="1:11" ht="12.75">
      <c r="A15" s="82" t="s">
        <v>26</v>
      </c>
      <c r="B15" s="87"/>
      <c r="C15" s="87"/>
      <c r="D15" s="157">
        <v>252.44800000000004</v>
      </c>
      <c r="E15" s="157">
        <v>252.44800000000004</v>
      </c>
      <c r="F15" s="157">
        <v>252.44800000000004</v>
      </c>
      <c r="G15" s="157">
        <v>252.44800000000004</v>
      </c>
      <c r="H15" s="157">
        <v>252.44800000000004</v>
      </c>
      <c r="I15" s="157">
        <v>430.41600000000005</v>
      </c>
      <c r="J15" s="3"/>
      <c r="K15" s="15"/>
    </row>
    <row r="16" spans="1:11" ht="12.75">
      <c r="A16" s="82" t="s">
        <v>27</v>
      </c>
      <c r="B16" s="87"/>
      <c r="C16" s="87"/>
      <c r="D16" s="157">
        <v>140.13675</v>
      </c>
      <c r="E16" s="157">
        <v>163.492875</v>
      </c>
      <c r="F16" s="157">
        <v>186.849</v>
      </c>
      <c r="G16" s="157">
        <v>233.56125</v>
      </c>
      <c r="H16" s="157">
        <v>280.2735</v>
      </c>
      <c r="I16" s="157">
        <v>326.98575</v>
      </c>
      <c r="J16" s="3"/>
      <c r="K16" s="15"/>
    </row>
    <row r="17" spans="1:11" ht="12.75">
      <c r="A17" s="82" t="s">
        <v>29</v>
      </c>
      <c r="B17" s="87"/>
      <c r="C17" s="87"/>
      <c r="D17" s="157">
        <v>324.26155332915886</v>
      </c>
      <c r="E17" s="157">
        <v>328.8619551241912</v>
      </c>
      <c r="F17" s="157">
        <v>346.8666566478815</v>
      </c>
      <c r="G17" s="157">
        <v>355.64932206220004</v>
      </c>
      <c r="H17" s="157">
        <v>395.69900897516175</v>
      </c>
      <c r="I17" s="157">
        <v>440.53017783343773</v>
      </c>
      <c r="J17" s="3"/>
      <c r="K17" s="15"/>
    </row>
    <row r="18" spans="1:11" ht="12.75">
      <c r="A18" s="82" t="s">
        <v>30</v>
      </c>
      <c r="B18" s="87"/>
      <c r="C18" s="87"/>
      <c r="D18" s="157">
        <v>0</v>
      </c>
      <c r="E18" s="157">
        <v>0</v>
      </c>
      <c r="F18" s="157">
        <v>0</v>
      </c>
      <c r="G18" s="157">
        <v>0</v>
      </c>
      <c r="H18" s="157">
        <v>0</v>
      </c>
      <c r="I18" s="157">
        <v>0</v>
      </c>
      <c r="J18" s="3"/>
      <c r="K18" s="15"/>
    </row>
    <row r="19" spans="1:11" ht="12.75">
      <c r="A19" s="82" t="s">
        <v>31</v>
      </c>
      <c r="B19" s="87"/>
      <c r="C19" s="87"/>
      <c r="D19" s="157">
        <v>273.087</v>
      </c>
      <c r="E19" s="157">
        <v>318.6015</v>
      </c>
      <c r="F19" s="157">
        <v>364.116</v>
      </c>
      <c r="G19" s="157">
        <v>455.145</v>
      </c>
      <c r="H19" s="157">
        <v>546.174</v>
      </c>
      <c r="I19" s="157">
        <v>637.203</v>
      </c>
      <c r="J19" s="3"/>
      <c r="K19" s="15"/>
    </row>
    <row r="20" spans="1:11" ht="12.75">
      <c r="A20" s="82" t="s">
        <v>32</v>
      </c>
      <c r="B20" s="87"/>
      <c r="C20" s="87"/>
      <c r="D20" s="157">
        <v>0</v>
      </c>
      <c r="E20" s="157">
        <v>0</v>
      </c>
      <c r="F20" s="157">
        <v>0</v>
      </c>
      <c r="G20" s="157">
        <v>0</v>
      </c>
      <c r="H20" s="157">
        <v>0</v>
      </c>
      <c r="I20" s="157">
        <v>0</v>
      </c>
      <c r="J20" s="3"/>
      <c r="K20" s="15"/>
    </row>
    <row r="21" spans="1:11" ht="12.75">
      <c r="A21" s="82" t="s">
        <v>33</v>
      </c>
      <c r="B21" s="87"/>
      <c r="C21" s="87"/>
      <c r="D21" s="157">
        <v>192</v>
      </c>
      <c r="E21" s="157">
        <v>192</v>
      </c>
      <c r="F21" s="157">
        <v>192</v>
      </c>
      <c r="G21" s="157">
        <v>192</v>
      </c>
      <c r="H21" s="157">
        <v>192</v>
      </c>
      <c r="I21" s="157">
        <v>192</v>
      </c>
      <c r="J21" s="3"/>
      <c r="K21" s="15"/>
    </row>
    <row r="22" spans="1:11" ht="12.75">
      <c r="A22" s="82" t="s">
        <v>34</v>
      </c>
      <c r="B22" s="87"/>
      <c r="C22" s="87"/>
      <c r="D22" s="157">
        <v>0</v>
      </c>
      <c r="E22" s="157">
        <v>0</v>
      </c>
      <c r="F22" s="157">
        <v>0</v>
      </c>
      <c r="G22" s="157">
        <v>0</v>
      </c>
      <c r="H22" s="157">
        <v>0</v>
      </c>
      <c r="I22" s="157">
        <v>0</v>
      </c>
      <c r="J22" s="3"/>
      <c r="K22" s="15"/>
    </row>
    <row r="23" spans="1:11" ht="12.75">
      <c r="A23" s="82" t="s">
        <v>35</v>
      </c>
      <c r="B23" s="87"/>
      <c r="C23" s="87"/>
      <c r="D23" s="157">
        <v>0</v>
      </c>
      <c r="E23" s="157">
        <v>0</v>
      </c>
      <c r="F23" s="157">
        <v>0</v>
      </c>
      <c r="G23" s="157">
        <v>0</v>
      </c>
      <c r="H23" s="157">
        <v>0</v>
      </c>
      <c r="I23" s="157">
        <v>0</v>
      </c>
      <c r="J23" s="3"/>
      <c r="K23" s="15"/>
    </row>
    <row r="24" spans="1:11" ht="13.5" thickBot="1">
      <c r="A24" s="82" t="s">
        <v>36</v>
      </c>
      <c r="B24" s="87"/>
      <c r="C24" s="87"/>
      <c r="D24" s="157">
        <v>362.21574456642674</v>
      </c>
      <c r="E24" s="157">
        <v>367.354614544641</v>
      </c>
      <c r="F24" s="157">
        <v>387.4667317572532</v>
      </c>
      <c r="G24" s="157">
        <v>397.2773912685764</v>
      </c>
      <c r="H24" s="157">
        <v>442.01481701607185</v>
      </c>
      <c r="I24" s="157">
        <v>492.09338797542273</v>
      </c>
      <c r="J24" s="3"/>
      <c r="K24" s="15"/>
    </row>
    <row r="25" spans="1:11" ht="26.25" customHeight="1" thickBot="1">
      <c r="A25" s="223" t="s">
        <v>37</v>
      </c>
      <c r="B25" s="224"/>
      <c r="C25" s="225"/>
      <c r="D25" s="32">
        <f aca="true" t="shared" si="1" ref="D25:I25">SUM(D9:D24)</f>
        <v>6661.6199978955865</v>
      </c>
      <c r="E25" s="32">
        <f t="shared" si="1"/>
        <v>6756.130519668832</v>
      </c>
      <c r="F25" s="32">
        <f t="shared" si="1"/>
        <v>7126.018588405135</v>
      </c>
      <c r="G25" s="32">
        <f t="shared" si="1"/>
        <v>7306.449413330775</v>
      </c>
      <c r="H25" s="32">
        <f t="shared" si="1"/>
        <v>8129.229025991234</v>
      </c>
      <c r="I25" s="32">
        <f t="shared" si="1"/>
        <v>9050.239265808861</v>
      </c>
      <c r="J25" s="3"/>
      <c r="K25" s="15"/>
    </row>
    <row r="26" spans="1:11" ht="13.5" thickBot="1">
      <c r="A26" s="88"/>
      <c r="B26" s="89"/>
      <c r="C26" s="89"/>
      <c r="D26" s="33"/>
      <c r="E26" s="33"/>
      <c r="F26" s="33"/>
      <c r="G26" s="33"/>
      <c r="H26" s="33"/>
      <c r="I26" s="33"/>
      <c r="J26" s="3"/>
      <c r="K26" s="15"/>
    </row>
    <row r="27" spans="1:11" ht="13.5" thickBot="1">
      <c r="A27" s="227" t="s">
        <v>38</v>
      </c>
      <c r="B27" s="228"/>
      <c r="C27" s="229"/>
      <c r="D27" s="159">
        <v>2134.55</v>
      </c>
      <c r="E27" s="32">
        <f>D27</f>
        <v>2134.55</v>
      </c>
      <c r="F27" s="32">
        <f>E27</f>
        <v>2134.55</v>
      </c>
      <c r="G27" s="32">
        <f>F27</f>
        <v>2134.55</v>
      </c>
      <c r="H27" s="32">
        <f>G27</f>
        <v>2134.55</v>
      </c>
      <c r="I27" s="32">
        <f>H27</f>
        <v>2134.55</v>
      </c>
      <c r="J27" s="28"/>
      <c r="K27" s="15"/>
    </row>
    <row r="28" spans="1:11" ht="13.5" thickBot="1">
      <c r="A28" s="88"/>
      <c r="B28" s="89"/>
      <c r="C28" s="89"/>
      <c r="D28" s="33"/>
      <c r="E28" s="33"/>
      <c r="F28" s="33"/>
      <c r="G28" s="33"/>
      <c r="H28" s="33"/>
      <c r="I28" s="33"/>
      <c r="J28" s="3"/>
      <c r="K28" s="15"/>
    </row>
    <row r="29" spans="1:11" ht="27.75" customHeight="1" thickBot="1">
      <c r="A29" s="223" t="s">
        <v>39</v>
      </c>
      <c r="B29" s="224"/>
      <c r="C29" s="225"/>
      <c r="D29" s="32">
        <f aca="true" t="shared" si="2" ref="D29:I29">D25+D27</f>
        <v>8796.169997895588</v>
      </c>
      <c r="E29" s="32">
        <f t="shared" si="2"/>
        <v>8890.680519668833</v>
      </c>
      <c r="F29" s="32">
        <f t="shared" si="2"/>
        <v>9260.568588405135</v>
      </c>
      <c r="G29" s="32">
        <f t="shared" si="2"/>
        <v>9440.999413330775</v>
      </c>
      <c r="H29" s="32">
        <f t="shared" si="2"/>
        <v>10263.779025991234</v>
      </c>
      <c r="I29" s="32">
        <f t="shared" si="2"/>
        <v>11184.78926580886</v>
      </c>
      <c r="J29" s="3"/>
      <c r="K29" s="3"/>
    </row>
    <row r="30" spans="1:11" ht="13.5" thickBot="1">
      <c r="A30" s="83"/>
      <c r="B30" s="84"/>
      <c r="C30" s="84"/>
      <c r="D30" s="35"/>
      <c r="E30" s="35"/>
      <c r="F30" s="35"/>
      <c r="G30" s="35"/>
      <c r="H30" s="35"/>
      <c r="I30" s="35"/>
      <c r="J30" s="3"/>
      <c r="K30" s="3"/>
    </row>
    <row r="31" spans="1:11" ht="26.25" customHeight="1" thickBot="1">
      <c r="A31" s="223" t="s">
        <v>40</v>
      </c>
      <c r="B31" s="219"/>
      <c r="C31" s="230"/>
      <c r="D31" s="32">
        <f aca="true" t="shared" si="3" ref="D31:I31">D29/D5</f>
        <v>5864.113331930392</v>
      </c>
      <c r="E31" s="32">
        <f t="shared" si="3"/>
        <v>5080.388868382191</v>
      </c>
      <c r="F31" s="32">
        <f t="shared" si="3"/>
        <v>4630.284294202567</v>
      </c>
      <c r="G31" s="32">
        <f t="shared" si="3"/>
        <v>3776.3997653323104</v>
      </c>
      <c r="H31" s="32">
        <f t="shared" si="3"/>
        <v>3421.2596753304115</v>
      </c>
      <c r="I31" s="32">
        <f t="shared" si="3"/>
        <v>3195.6540759453887</v>
      </c>
      <c r="J31" s="3"/>
      <c r="K31" s="3"/>
    </row>
    <row r="32" spans="1:11" ht="13.5" thickBot="1">
      <c r="A32" s="83"/>
      <c r="B32" s="84"/>
      <c r="C32" s="84"/>
      <c r="D32" s="35"/>
      <c r="E32" s="35"/>
      <c r="F32" s="35"/>
      <c r="G32" s="35"/>
      <c r="H32" s="35"/>
      <c r="I32" s="35"/>
      <c r="J32" s="3"/>
      <c r="K32" s="15"/>
    </row>
    <row r="33" spans="1:11" ht="13.5" thickBot="1">
      <c r="A33" s="81" t="s">
        <v>41</v>
      </c>
      <c r="B33" s="91"/>
      <c r="C33" s="91"/>
      <c r="D33" s="32">
        <f>'Pryse + Sensatiwiteitsanalise'!D5</f>
        <v>63</v>
      </c>
      <c r="E33" s="32">
        <f>$D$33</f>
        <v>63</v>
      </c>
      <c r="F33" s="32">
        <f>$D$33</f>
        <v>63</v>
      </c>
      <c r="G33" s="32">
        <f>$D$33</f>
        <v>63</v>
      </c>
      <c r="H33" s="32">
        <f>$D$33</f>
        <v>63</v>
      </c>
      <c r="I33" s="32">
        <f>$D$33</f>
        <v>63</v>
      </c>
      <c r="J33" s="3"/>
      <c r="K33" s="15"/>
    </row>
    <row r="34" spans="1:11" ht="13.5" thickBot="1">
      <c r="A34" s="83"/>
      <c r="B34" s="84"/>
      <c r="C34" s="84"/>
      <c r="D34" s="35"/>
      <c r="E34" s="35"/>
      <c r="F34" s="35"/>
      <c r="G34" s="35"/>
      <c r="H34" s="35"/>
      <c r="I34" s="35"/>
      <c r="J34" s="3"/>
      <c r="K34" s="15"/>
    </row>
    <row r="35" spans="1:11" ht="13.5" thickBot="1">
      <c r="A35" s="218" t="s">
        <v>42</v>
      </c>
      <c r="B35" s="219"/>
      <c r="C35" s="230"/>
      <c r="D35" s="34">
        <f aca="true" t="shared" si="4" ref="D35:I35">D31+D33</f>
        <v>5927.113331930392</v>
      </c>
      <c r="E35" s="34">
        <f t="shared" si="4"/>
        <v>5143.388868382191</v>
      </c>
      <c r="F35" s="34">
        <f t="shared" si="4"/>
        <v>4693.284294202567</v>
      </c>
      <c r="G35" s="34">
        <f t="shared" si="4"/>
        <v>3839.3997653323104</v>
      </c>
      <c r="H35" s="34">
        <f t="shared" si="4"/>
        <v>3484.2596753304115</v>
      </c>
      <c r="I35" s="34">
        <f t="shared" si="4"/>
        <v>3258.6540759453887</v>
      </c>
      <c r="J35" s="3"/>
      <c r="K35" s="15"/>
    </row>
    <row r="36" spans="1:11" ht="13.5" thickBot="1">
      <c r="A36" s="77" t="s">
        <v>71</v>
      </c>
      <c r="B36" s="78"/>
      <c r="C36" s="79"/>
      <c r="D36" s="34">
        <f>'Pryse + Sensatiwiteitsanalise'!B5</f>
        <v>4750</v>
      </c>
      <c r="E36" s="34">
        <f>$D$36</f>
        <v>4750</v>
      </c>
      <c r="F36" s="34">
        <f>$D$36</f>
        <v>4750</v>
      </c>
      <c r="G36" s="34">
        <f>$D$36</f>
        <v>4750</v>
      </c>
      <c r="H36" s="34">
        <f>$D$36</f>
        <v>4750</v>
      </c>
      <c r="I36" s="34">
        <f>$D$36</f>
        <v>4750</v>
      </c>
      <c r="J36" s="15"/>
      <c r="K36" s="3"/>
    </row>
    <row r="37" spans="1:10" ht="15">
      <c r="A37" s="101" t="s">
        <v>45</v>
      </c>
      <c r="B37" s="100"/>
      <c r="C37" s="100"/>
      <c r="D37" s="100"/>
      <c r="E37" s="100"/>
      <c r="F37" s="100"/>
      <c r="G37" s="100"/>
      <c r="H37" s="99"/>
      <c r="I37" s="102"/>
      <c r="J37" s="102"/>
    </row>
    <row r="38" spans="1:10" ht="15">
      <c r="A38" s="98" t="s">
        <v>46</v>
      </c>
      <c r="B38" s="97"/>
      <c r="C38" s="97"/>
      <c r="D38" s="97"/>
      <c r="E38" s="97"/>
      <c r="F38" s="97"/>
      <c r="G38" s="97"/>
      <c r="H38" s="96"/>
      <c r="I38" s="102"/>
      <c r="J38" s="102"/>
    </row>
    <row r="39" spans="1:10" ht="15.75" thickBot="1">
      <c r="A39" s="95" t="s">
        <v>47</v>
      </c>
      <c r="B39" s="94"/>
      <c r="C39" s="94"/>
      <c r="D39" s="94"/>
      <c r="E39" s="94"/>
      <c r="F39" s="94"/>
      <c r="G39" s="94"/>
      <c r="H39" s="93"/>
      <c r="I39" s="102"/>
      <c r="J39" s="102"/>
    </row>
  </sheetData>
  <sheetProtection/>
  <mergeCells count="10">
    <mergeCell ref="K7:M7"/>
    <mergeCell ref="A27:C27"/>
    <mergeCell ref="A29:C29"/>
    <mergeCell ref="A31:C31"/>
    <mergeCell ref="A35:C35"/>
    <mergeCell ref="A1:D1"/>
    <mergeCell ref="E1:G1"/>
    <mergeCell ref="A3:C3"/>
    <mergeCell ref="A8:C8"/>
    <mergeCell ref="A25:C25"/>
  </mergeCells>
  <printOptions/>
  <pageMargins left="0.35433070866141736" right="0.35433070866141736" top="0.5905511811023623" bottom="0.5905511811023623" header="0.31496062992125984" footer="0.31496062992125984"/>
  <pageSetup fitToHeight="0" fitToWidth="1" horizontalDpi="600" verticalDpi="600" orientation="portrait" paperSize="9" scale="66" r:id="rId2"/>
  <headerFooter alignWithMargins="0">
    <oddHeader>&amp;C&amp;F</oddHeader>
    <oddFooter>&amp;C&amp;A&amp;RPage &amp;P</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M39"/>
  <sheetViews>
    <sheetView zoomScale="80" zoomScaleNormal="80" zoomScalePageLayoutView="0" workbookViewId="0" topLeftCell="A1">
      <selection activeCell="A1" sqref="A1:D1"/>
    </sheetView>
  </sheetViews>
  <sheetFormatPr defaultColWidth="9.140625" defaultRowHeight="12.75"/>
  <cols>
    <col min="1" max="1" width="41.7109375" style="1" customWidth="1"/>
    <col min="2" max="2" width="18.00390625" style="1" customWidth="1"/>
    <col min="3" max="3" width="17.28125" style="1" customWidth="1"/>
    <col min="4" max="4" width="16.140625" style="1" customWidth="1"/>
    <col min="5" max="9" width="14.28125" style="1" customWidth="1"/>
    <col min="10" max="10" width="14.421875" style="1" customWidth="1"/>
    <col min="11" max="13" width="12.7109375" style="1" hidden="1" customWidth="1"/>
    <col min="14" max="26" width="12.7109375" style="1" customWidth="1"/>
    <col min="27" max="16384" width="9.140625" style="1" customWidth="1"/>
  </cols>
  <sheetData>
    <row r="1" spans="1:10" s="3" customFormat="1" ht="30" customHeight="1" thickBot="1">
      <c r="A1" s="215" t="s">
        <v>54</v>
      </c>
      <c r="B1" s="216"/>
      <c r="C1" s="216"/>
      <c r="D1" s="216"/>
      <c r="E1" s="217" t="s">
        <v>68</v>
      </c>
      <c r="F1" s="217"/>
      <c r="G1" s="217"/>
      <c r="H1" s="2"/>
      <c r="I1" s="16"/>
      <c r="J1" s="15"/>
    </row>
    <row r="2" spans="1:10" ht="16.5" thickBot="1">
      <c r="A2" s="17"/>
      <c r="B2" s="18"/>
      <c r="C2" s="19"/>
      <c r="D2" s="19"/>
      <c r="E2" s="10"/>
      <c r="F2" s="10"/>
      <c r="G2" s="10"/>
      <c r="H2" s="10"/>
      <c r="I2" s="4"/>
      <c r="J2" s="3"/>
    </row>
    <row r="3" spans="1:11" ht="27.75" customHeight="1" thickBot="1">
      <c r="A3" s="218" t="s">
        <v>16</v>
      </c>
      <c r="B3" s="219"/>
      <c r="C3" s="219"/>
      <c r="D3" s="29"/>
      <c r="E3" s="37">
        <f>'Pryse + Sensatiwiteitsanalise'!B45</f>
        <v>4687</v>
      </c>
      <c r="F3" s="29" t="s">
        <v>0</v>
      </c>
      <c r="G3" s="20"/>
      <c r="H3" s="20"/>
      <c r="I3" s="5"/>
      <c r="K3" s="3"/>
    </row>
    <row r="4" spans="1:11" ht="13.5" thickBot="1">
      <c r="A4" s="80"/>
      <c r="B4" s="90"/>
      <c r="C4" s="90"/>
      <c r="D4" s="6"/>
      <c r="E4" s="9"/>
      <c r="F4" s="21"/>
      <c r="G4" s="7"/>
      <c r="H4" s="22"/>
      <c r="I4" s="22"/>
      <c r="J4" s="3"/>
      <c r="K4" s="15"/>
    </row>
    <row r="5" spans="1:11" ht="13.5" thickBot="1">
      <c r="A5" s="80" t="s">
        <v>17</v>
      </c>
      <c r="B5" s="90"/>
      <c r="C5" s="90"/>
      <c r="D5" s="41">
        <v>1.5</v>
      </c>
      <c r="E5" s="41">
        <v>1.75</v>
      </c>
      <c r="F5" s="41">
        <v>2</v>
      </c>
      <c r="G5" s="41">
        <v>2.5</v>
      </c>
      <c r="H5" s="41">
        <v>3</v>
      </c>
      <c r="I5" s="41">
        <v>3.5</v>
      </c>
      <c r="J5" s="3"/>
      <c r="K5" s="15"/>
    </row>
    <row r="6" spans="1:11" ht="13.5" thickBot="1">
      <c r="A6" s="81" t="s">
        <v>18</v>
      </c>
      <c r="B6" s="91"/>
      <c r="C6" s="92"/>
      <c r="D6" s="36">
        <f aca="true" t="shared" si="0" ref="D6:I6">$E$3*D5</f>
        <v>7030.5</v>
      </c>
      <c r="E6" s="36">
        <f t="shared" si="0"/>
        <v>8202.25</v>
      </c>
      <c r="F6" s="36">
        <f t="shared" si="0"/>
        <v>9374</v>
      </c>
      <c r="G6" s="36">
        <f t="shared" si="0"/>
        <v>11717.5</v>
      </c>
      <c r="H6" s="36">
        <f t="shared" si="0"/>
        <v>14061</v>
      </c>
      <c r="I6" s="36">
        <f t="shared" si="0"/>
        <v>16404.5</v>
      </c>
      <c r="J6" s="3"/>
      <c r="K6" s="15"/>
    </row>
    <row r="7" spans="1:13" ht="15.75" thickBot="1">
      <c r="A7" s="83"/>
      <c r="B7" s="84"/>
      <c r="C7" s="84"/>
      <c r="D7" s="24"/>
      <c r="E7" s="24"/>
      <c r="F7" s="24"/>
      <c r="G7" s="24"/>
      <c r="H7" s="24"/>
      <c r="I7" s="24"/>
      <c r="J7" s="3"/>
      <c r="K7" s="226" t="s">
        <v>65</v>
      </c>
      <c r="L7" s="226"/>
      <c r="M7" s="226"/>
    </row>
    <row r="8" spans="1:13" ht="15.75" thickBot="1">
      <c r="A8" s="220" t="s">
        <v>19</v>
      </c>
      <c r="B8" s="221"/>
      <c r="C8" s="222"/>
      <c r="D8" s="25"/>
      <c r="E8" s="25"/>
      <c r="F8" s="25"/>
      <c r="G8" s="25"/>
      <c r="H8" s="25"/>
      <c r="I8" s="25"/>
      <c r="J8" s="3"/>
      <c r="K8" s="104" t="s">
        <v>60</v>
      </c>
      <c r="L8" s="104" t="s">
        <v>61</v>
      </c>
      <c r="M8" s="104" t="s">
        <v>62</v>
      </c>
    </row>
    <row r="9" spans="1:13" ht="15">
      <c r="A9" s="85" t="s">
        <v>20</v>
      </c>
      <c r="B9" s="86"/>
      <c r="C9" s="86"/>
      <c r="D9" s="30">
        <v>1144.83</v>
      </c>
      <c r="E9" s="30">
        <v>1144.83</v>
      </c>
      <c r="F9" s="30">
        <v>1144.83</v>
      </c>
      <c r="G9" s="30">
        <v>1144.83</v>
      </c>
      <c r="H9" s="30">
        <v>1335.635</v>
      </c>
      <c r="I9" s="30">
        <v>1335.635</v>
      </c>
      <c r="J9" s="3"/>
      <c r="K9" s="105">
        <f>D5</f>
        <v>1.5</v>
      </c>
      <c r="L9" s="105">
        <f>D25</f>
        <v>5598.354584914545</v>
      </c>
      <c r="M9" s="105">
        <f>D27</f>
        <v>1508.6276238136477</v>
      </c>
    </row>
    <row r="10" spans="1:13" ht="15">
      <c r="A10" s="82" t="s">
        <v>21</v>
      </c>
      <c r="B10" s="87"/>
      <c r="C10" s="87"/>
      <c r="D10" s="31">
        <v>1581.5</v>
      </c>
      <c r="E10" s="31">
        <v>1768</v>
      </c>
      <c r="F10" s="31">
        <v>1832.5</v>
      </c>
      <c r="G10" s="31">
        <v>1832.5</v>
      </c>
      <c r="H10" s="31">
        <v>2491</v>
      </c>
      <c r="I10" s="31">
        <v>2555.5</v>
      </c>
      <c r="J10" s="3"/>
      <c r="K10" s="105">
        <f>E5</f>
        <v>1.75</v>
      </c>
      <c r="L10" s="105">
        <f>E25</f>
        <v>5898.471141172062</v>
      </c>
      <c r="M10" s="105">
        <f>E27</f>
        <v>1508.6276238136477</v>
      </c>
    </row>
    <row r="11" spans="1:13" ht="15">
      <c r="A11" s="82" t="s">
        <v>22</v>
      </c>
      <c r="B11" s="87"/>
      <c r="C11" s="87"/>
      <c r="D11" s="31">
        <v>0</v>
      </c>
      <c r="E11" s="31">
        <v>0</v>
      </c>
      <c r="F11" s="31">
        <v>0</v>
      </c>
      <c r="G11" s="31">
        <v>0</v>
      </c>
      <c r="H11" s="31">
        <v>0</v>
      </c>
      <c r="I11" s="31">
        <v>0</v>
      </c>
      <c r="J11" s="3"/>
      <c r="K11" s="105">
        <f>F5</f>
        <v>2</v>
      </c>
      <c r="L11" s="105">
        <f>F25</f>
        <v>6061.552241642982</v>
      </c>
      <c r="M11" s="105">
        <f>F27</f>
        <v>1508.6276238136477</v>
      </c>
    </row>
    <row r="12" spans="1:13" ht="15">
      <c r="A12" s="82" t="s">
        <v>23</v>
      </c>
      <c r="B12" s="87"/>
      <c r="C12" s="87"/>
      <c r="D12" s="31">
        <v>436.23391025669616</v>
      </c>
      <c r="E12" s="31">
        <v>446.64346595132815</v>
      </c>
      <c r="F12" s="31">
        <v>457.05302164596003</v>
      </c>
      <c r="G12" s="31">
        <v>472.1682669011791</v>
      </c>
      <c r="H12" s="31">
        <v>487.28351215639805</v>
      </c>
      <c r="I12" s="31">
        <v>502.398757411617</v>
      </c>
      <c r="J12" s="3"/>
      <c r="K12" s="105">
        <f>G5</f>
        <v>2.5</v>
      </c>
      <c r="L12" s="105">
        <f>G25</f>
        <v>6236.409477897148</v>
      </c>
      <c r="M12" s="105">
        <f>G27</f>
        <v>1508.6276238136477</v>
      </c>
    </row>
    <row r="13" spans="1:13" ht="15">
      <c r="A13" s="82" t="s">
        <v>24</v>
      </c>
      <c r="B13" s="87"/>
      <c r="C13" s="87"/>
      <c r="D13" s="31">
        <v>414.906</v>
      </c>
      <c r="E13" s="31">
        <v>416.745</v>
      </c>
      <c r="F13" s="31">
        <v>418.584</v>
      </c>
      <c r="G13" s="31">
        <v>422.262</v>
      </c>
      <c r="H13" s="31">
        <v>425.94</v>
      </c>
      <c r="I13" s="31">
        <v>429.61800000000005</v>
      </c>
      <c r="J13" s="3"/>
      <c r="K13" s="105">
        <f>H5</f>
        <v>3</v>
      </c>
      <c r="L13" s="105">
        <f>H25</f>
        <v>7365.241286092609</v>
      </c>
      <c r="M13" s="105">
        <f>H27</f>
        <v>1508.6276238136477</v>
      </c>
    </row>
    <row r="14" spans="1:13" ht="15">
      <c r="A14" s="82" t="s">
        <v>25</v>
      </c>
      <c r="B14" s="87"/>
      <c r="C14" s="87"/>
      <c r="D14" s="31">
        <v>770.6</v>
      </c>
      <c r="E14" s="31">
        <v>770.6</v>
      </c>
      <c r="F14" s="31">
        <v>770.6</v>
      </c>
      <c r="G14" s="31">
        <v>770.6</v>
      </c>
      <c r="H14" s="31">
        <v>770.6</v>
      </c>
      <c r="I14" s="31">
        <v>770.6</v>
      </c>
      <c r="J14" s="3"/>
      <c r="K14" s="105">
        <f>I5</f>
        <v>3.5</v>
      </c>
      <c r="L14" s="105">
        <f>I25</f>
        <v>7791.030660237975</v>
      </c>
      <c r="M14" s="105">
        <f>I27</f>
        <v>1508.6276238136477</v>
      </c>
    </row>
    <row r="15" spans="1:11" ht="12.75">
      <c r="A15" s="82" t="s">
        <v>26</v>
      </c>
      <c r="B15" s="87"/>
      <c r="C15" s="87"/>
      <c r="D15" s="31">
        <v>225.4</v>
      </c>
      <c r="E15" s="31">
        <v>225.4</v>
      </c>
      <c r="F15" s="31">
        <v>225.4</v>
      </c>
      <c r="G15" s="31">
        <v>225.4</v>
      </c>
      <c r="H15" s="31">
        <v>225.4</v>
      </c>
      <c r="I15" s="31">
        <v>384.3</v>
      </c>
      <c r="J15" s="3"/>
      <c r="K15" s="15"/>
    </row>
    <row r="16" spans="1:11" ht="12.75">
      <c r="A16" s="82" t="s">
        <v>27</v>
      </c>
      <c r="B16" s="87"/>
      <c r="C16" s="87"/>
      <c r="D16" s="31">
        <v>139.25924999999998</v>
      </c>
      <c r="E16" s="31">
        <v>162.46912500000002</v>
      </c>
      <c r="F16" s="31">
        <v>185.679</v>
      </c>
      <c r="G16" s="31">
        <v>232.09875</v>
      </c>
      <c r="H16" s="31">
        <v>278.51849999999996</v>
      </c>
      <c r="I16" s="31">
        <v>324.93825000000004</v>
      </c>
      <c r="J16" s="3"/>
      <c r="K16" s="15"/>
    </row>
    <row r="17" spans="1:11" ht="12.75">
      <c r="A17" s="82" t="s">
        <v>29</v>
      </c>
      <c r="B17" s="87"/>
      <c r="C17" s="87"/>
      <c r="D17" s="31">
        <v>334.9955831300447</v>
      </c>
      <c r="E17" s="31">
        <v>352.95402417652275</v>
      </c>
      <c r="F17" s="31">
        <v>362.7125072309824</v>
      </c>
      <c r="G17" s="31">
        <v>373.17565330988805</v>
      </c>
      <c r="H17" s="31">
        <v>440.7229413757713</v>
      </c>
      <c r="I17" s="31">
        <v>466.2014203679306</v>
      </c>
      <c r="J17" s="3"/>
      <c r="K17" s="15"/>
    </row>
    <row r="18" spans="1:11" ht="12.75">
      <c r="A18" s="82" t="s">
        <v>30</v>
      </c>
      <c r="B18" s="87"/>
      <c r="C18" s="87"/>
      <c r="D18" s="31">
        <v>0</v>
      </c>
      <c r="E18" s="31">
        <v>0</v>
      </c>
      <c r="F18" s="31">
        <v>0</v>
      </c>
      <c r="G18" s="31">
        <v>0</v>
      </c>
      <c r="H18" s="31">
        <v>0</v>
      </c>
      <c r="I18" s="31">
        <v>0</v>
      </c>
      <c r="J18" s="3"/>
      <c r="K18" s="15"/>
    </row>
    <row r="19" spans="1:11" ht="12.75">
      <c r="A19" s="82" t="s">
        <v>31</v>
      </c>
      <c r="B19" s="87"/>
      <c r="C19" s="87"/>
      <c r="D19" s="31">
        <v>271.377</v>
      </c>
      <c r="E19" s="31">
        <v>316.6065</v>
      </c>
      <c r="F19" s="31">
        <v>361.836</v>
      </c>
      <c r="G19" s="31">
        <v>452.295</v>
      </c>
      <c r="H19" s="31">
        <v>542.754</v>
      </c>
      <c r="I19" s="31">
        <v>633.213</v>
      </c>
      <c r="J19" s="3"/>
      <c r="K19" s="15"/>
    </row>
    <row r="20" spans="1:11" ht="12.75">
      <c r="A20" s="82" t="s">
        <v>32</v>
      </c>
      <c r="B20" s="87"/>
      <c r="C20" s="87"/>
      <c r="D20" s="31">
        <v>0</v>
      </c>
      <c r="E20" s="31">
        <v>0</v>
      </c>
      <c r="F20" s="31">
        <v>0</v>
      </c>
      <c r="G20" s="31">
        <v>0</v>
      </c>
      <c r="H20" s="31">
        <v>0</v>
      </c>
      <c r="I20" s="31">
        <v>0</v>
      </c>
      <c r="J20" s="3"/>
      <c r="K20" s="15"/>
    </row>
    <row r="21" spans="1:11" ht="12.75">
      <c r="A21" s="82" t="s">
        <v>33</v>
      </c>
      <c r="B21" s="87"/>
      <c r="C21" s="87"/>
      <c r="D21" s="31">
        <v>0</v>
      </c>
      <c r="E21" s="31">
        <v>0</v>
      </c>
      <c r="F21" s="31">
        <v>0</v>
      </c>
      <c r="G21" s="31">
        <v>0</v>
      </c>
      <c r="H21" s="31">
        <v>0</v>
      </c>
      <c r="I21" s="31">
        <v>0</v>
      </c>
      <c r="J21" s="3"/>
      <c r="K21" s="15"/>
    </row>
    <row r="22" spans="1:11" ht="12.75">
      <c r="A22" s="82" t="s">
        <v>34</v>
      </c>
      <c r="B22" s="87"/>
      <c r="C22" s="87"/>
      <c r="D22" s="31">
        <v>0</v>
      </c>
      <c r="E22" s="31">
        <v>0</v>
      </c>
      <c r="F22" s="31">
        <v>0</v>
      </c>
      <c r="G22" s="31">
        <v>0</v>
      </c>
      <c r="H22" s="31">
        <v>0</v>
      </c>
      <c r="I22" s="31">
        <v>0</v>
      </c>
      <c r="J22" s="3"/>
      <c r="K22" s="15"/>
    </row>
    <row r="23" spans="1:11" ht="12.75">
      <c r="A23" s="82" t="s">
        <v>35</v>
      </c>
      <c r="B23" s="87"/>
      <c r="C23" s="87"/>
      <c r="D23" s="31">
        <v>0</v>
      </c>
      <c r="E23" s="31">
        <v>0</v>
      </c>
      <c r="F23" s="31">
        <v>0</v>
      </c>
      <c r="G23" s="31">
        <v>0</v>
      </c>
      <c r="H23" s="31">
        <v>0</v>
      </c>
      <c r="I23" s="31">
        <v>0</v>
      </c>
      <c r="J23" s="3"/>
      <c r="K23" s="15"/>
    </row>
    <row r="24" spans="1:11" ht="13.5" thickBot="1">
      <c r="A24" s="82" t="s">
        <v>36</v>
      </c>
      <c r="B24" s="87"/>
      <c r="C24" s="87"/>
      <c r="D24" s="31">
        <v>279.25284152780387</v>
      </c>
      <c r="E24" s="31">
        <v>294.2230260442121</v>
      </c>
      <c r="F24" s="31">
        <v>302.35771276603947</v>
      </c>
      <c r="G24" s="31">
        <v>311.079807686081</v>
      </c>
      <c r="H24" s="31">
        <v>367.3873325604389</v>
      </c>
      <c r="I24" s="31">
        <v>388.62623245842633</v>
      </c>
      <c r="J24" s="3"/>
      <c r="K24" s="15"/>
    </row>
    <row r="25" spans="1:11" ht="26.25" customHeight="1" thickBot="1">
      <c r="A25" s="223" t="s">
        <v>37</v>
      </c>
      <c r="B25" s="224"/>
      <c r="C25" s="225"/>
      <c r="D25" s="32">
        <f aca="true" t="shared" si="1" ref="D25:I25">SUM(D9:D24)</f>
        <v>5598.354584914545</v>
      </c>
      <c r="E25" s="32">
        <f t="shared" si="1"/>
        <v>5898.471141172062</v>
      </c>
      <c r="F25" s="32">
        <f t="shared" si="1"/>
        <v>6061.552241642982</v>
      </c>
      <c r="G25" s="32">
        <f t="shared" si="1"/>
        <v>6236.409477897148</v>
      </c>
      <c r="H25" s="32">
        <f t="shared" si="1"/>
        <v>7365.241286092609</v>
      </c>
      <c r="I25" s="32">
        <f t="shared" si="1"/>
        <v>7791.030660237975</v>
      </c>
      <c r="J25" s="3"/>
      <c r="K25" s="15"/>
    </row>
    <row r="26" spans="1:11" ht="13.5" thickBot="1">
      <c r="A26" s="88"/>
      <c r="B26" s="89"/>
      <c r="C26" s="89"/>
      <c r="D26" s="33"/>
      <c r="E26" s="33"/>
      <c r="F26" s="33"/>
      <c r="G26" s="33"/>
      <c r="H26" s="33"/>
      <c r="I26" s="33"/>
      <c r="J26" s="3"/>
      <c r="K26" s="15"/>
    </row>
    <row r="27" spans="1:11" ht="13.5" thickBot="1">
      <c r="A27" s="227" t="s">
        <v>38</v>
      </c>
      <c r="B27" s="228"/>
      <c r="C27" s="229"/>
      <c r="D27" s="32">
        <v>1508.6276238136477</v>
      </c>
      <c r="E27" s="32">
        <v>1508.6276238136477</v>
      </c>
      <c r="F27" s="32">
        <v>1508.6276238136477</v>
      </c>
      <c r="G27" s="32">
        <v>1508.6276238136477</v>
      </c>
      <c r="H27" s="32">
        <v>1508.6276238136477</v>
      </c>
      <c r="I27" s="32">
        <v>1508.6276238136477</v>
      </c>
      <c r="J27" s="28"/>
      <c r="K27" s="15"/>
    </row>
    <row r="28" spans="1:11" ht="13.5" thickBot="1">
      <c r="A28" s="88"/>
      <c r="B28" s="89"/>
      <c r="C28" s="89"/>
      <c r="D28" s="33"/>
      <c r="E28" s="33"/>
      <c r="F28" s="33"/>
      <c r="G28" s="33"/>
      <c r="H28" s="33"/>
      <c r="I28" s="33"/>
      <c r="J28" s="3"/>
      <c r="K28" s="15"/>
    </row>
    <row r="29" spans="1:11" ht="27.75" customHeight="1" thickBot="1">
      <c r="A29" s="223" t="s">
        <v>39</v>
      </c>
      <c r="B29" s="224"/>
      <c r="C29" s="225"/>
      <c r="D29" s="32">
        <f aca="true" t="shared" si="2" ref="D29:I29">D25+D27</f>
        <v>7106.982208728193</v>
      </c>
      <c r="E29" s="32">
        <f t="shared" si="2"/>
        <v>7407.09876498571</v>
      </c>
      <c r="F29" s="32">
        <f t="shared" si="2"/>
        <v>7570.17986545663</v>
      </c>
      <c r="G29" s="32">
        <f t="shared" si="2"/>
        <v>7745.0371017107955</v>
      </c>
      <c r="H29" s="32">
        <f t="shared" si="2"/>
        <v>8873.868909906256</v>
      </c>
      <c r="I29" s="32">
        <f t="shared" si="2"/>
        <v>9299.658284051622</v>
      </c>
      <c r="J29" s="3"/>
      <c r="K29" s="3"/>
    </row>
    <row r="30" spans="1:11" ht="13.5" thickBot="1">
      <c r="A30" s="83"/>
      <c r="B30" s="84"/>
      <c r="C30" s="84"/>
      <c r="D30" s="35"/>
      <c r="E30" s="35"/>
      <c r="F30" s="35"/>
      <c r="G30" s="35"/>
      <c r="H30" s="35"/>
      <c r="I30" s="35"/>
      <c r="J30" s="3"/>
      <c r="K30" s="3"/>
    </row>
    <row r="31" spans="1:11" ht="26.25" customHeight="1" thickBot="1">
      <c r="A31" s="223" t="s">
        <v>40</v>
      </c>
      <c r="B31" s="219"/>
      <c r="C31" s="230"/>
      <c r="D31" s="32">
        <f aca="true" t="shared" si="3" ref="D31:I31">D29/D5</f>
        <v>4737.9881391521285</v>
      </c>
      <c r="E31" s="32">
        <f t="shared" si="3"/>
        <v>4232.62786570612</v>
      </c>
      <c r="F31" s="32">
        <f t="shared" si="3"/>
        <v>3785.089932728315</v>
      </c>
      <c r="G31" s="32">
        <f t="shared" si="3"/>
        <v>3098.014840684318</v>
      </c>
      <c r="H31" s="32">
        <f t="shared" si="3"/>
        <v>2957.9563033020854</v>
      </c>
      <c r="I31" s="32">
        <f t="shared" si="3"/>
        <v>2657.0452240147492</v>
      </c>
      <c r="J31" s="3"/>
      <c r="K31" s="3"/>
    </row>
    <row r="32" spans="1:11" ht="13.5" thickBot="1">
      <c r="A32" s="83"/>
      <c r="B32" s="84"/>
      <c r="C32" s="84"/>
      <c r="D32" s="35"/>
      <c r="E32" s="35"/>
      <c r="F32" s="35"/>
      <c r="G32" s="35"/>
      <c r="H32" s="35"/>
      <c r="I32" s="35"/>
      <c r="J32" s="3"/>
      <c r="K32" s="15"/>
    </row>
    <row r="33" spans="1:11" ht="13.5" thickBot="1">
      <c r="A33" s="81" t="s">
        <v>41</v>
      </c>
      <c r="B33" s="91"/>
      <c r="C33" s="91"/>
      <c r="D33" s="32">
        <f>'Pryse + Sensatiwiteitsanalise'!D5</f>
        <v>63</v>
      </c>
      <c r="E33" s="32">
        <f>$D$33</f>
        <v>63</v>
      </c>
      <c r="F33" s="32">
        <f>$D$33</f>
        <v>63</v>
      </c>
      <c r="G33" s="32">
        <f>$D$33</f>
        <v>63</v>
      </c>
      <c r="H33" s="32">
        <f>$D$33</f>
        <v>63</v>
      </c>
      <c r="I33" s="32">
        <f>$D$33</f>
        <v>63</v>
      </c>
      <c r="J33" s="3"/>
      <c r="K33" s="15"/>
    </row>
    <row r="34" spans="1:11" ht="13.5" thickBot="1">
      <c r="A34" s="83"/>
      <c r="B34" s="84"/>
      <c r="C34" s="84"/>
      <c r="D34" s="35"/>
      <c r="E34" s="35"/>
      <c r="F34" s="35"/>
      <c r="G34" s="35"/>
      <c r="H34" s="35"/>
      <c r="I34" s="35"/>
      <c r="J34" s="3"/>
      <c r="K34" s="15"/>
    </row>
    <row r="35" spans="1:11" ht="13.5" thickBot="1">
      <c r="A35" s="218" t="s">
        <v>42</v>
      </c>
      <c r="B35" s="219"/>
      <c r="C35" s="230"/>
      <c r="D35" s="34">
        <f aca="true" t="shared" si="4" ref="D35:I35">D31+D33</f>
        <v>4800.9881391521285</v>
      </c>
      <c r="E35" s="34">
        <f t="shared" si="4"/>
        <v>4295.62786570612</v>
      </c>
      <c r="F35" s="34">
        <f t="shared" si="4"/>
        <v>3848.089932728315</v>
      </c>
      <c r="G35" s="34">
        <f t="shared" si="4"/>
        <v>3161.014840684318</v>
      </c>
      <c r="H35" s="34">
        <f t="shared" si="4"/>
        <v>3020.9563033020854</v>
      </c>
      <c r="I35" s="34">
        <f t="shared" si="4"/>
        <v>2720.0452240147492</v>
      </c>
      <c r="J35" s="3"/>
      <c r="K35" s="15"/>
    </row>
    <row r="36" spans="1:11" ht="13.5" thickBot="1">
      <c r="A36" s="77" t="s">
        <v>71</v>
      </c>
      <c r="B36" s="78"/>
      <c r="C36" s="79"/>
      <c r="D36" s="34">
        <f>'Pryse + Sensatiwiteitsanalise'!B5</f>
        <v>4750</v>
      </c>
      <c r="E36" s="34">
        <f>$D$36</f>
        <v>4750</v>
      </c>
      <c r="F36" s="34">
        <f>$D$36</f>
        <v>4750</v>
      </c>
      <c r="G36" s="34">
        <f>$D$36</f>
        <v>4750</v>
      </c>
      <c r="H36" s="34">
        <f>$D$36</f>
        <v>4750</v>
      </c>
      <c r="I36" s="34">
        <f>$D$36</f>
        <v>4750</v>
      </c>
      <c r="J36" s="15"/>
      <c r="K36" s="3"/>
    </row>
    <row r="37" spans="1:10" ht="15">
      <c r="A37" s="101" t="s">
        <v>45</v>
      </c>
      <c r="B37" s="100"/>
      <c r="C37" s="100"/>
      <c r="D37" s="100"/>
      <c r="E37" s="100"/>
      <c r="F37" s="100"/>
      <c r="G37" s="100"/>
      <c r="H37" s="99"/>
      <c r="I37" s="102"/>
      <c r="J37" s="102"/>
    </row>
    <row r="38" spans="1:10" ht="15">
      <c r="A38" s="98" t="s">
        <v>46</v>
      </c>
      <c r="B38" s="97"/>
      <c r="C38" s="97"/>
      <c r="D38" s="97"/>
      <c r="E38" s="97"/>
      <c r="F38" s="97"/>
      <c r="G38" s="97"/>
      <c r="H38" s="96"/>
      <c r="I38" s="102"/>
      <c r="J38" s="102"/>
    </row>
    <row r="39" spans="1:10" ht="15.75" thickBot="1">
      <c r="A39" s="95" t="s">
        <v>47</v>
      </c>
      <c r="B39" s="94"/>
      <c r="C39" s="94"/>
      <c r="D39" s="94"/>
      <c r="E39" s="94"/>
      <c r="F39" s="94"/>
      <c r="G39" s="94"/>
      <c r="H39" s="93"/>
      <c r="I39" s="102"/>
      <c r="J39" s="102"/>
    </row>
    <row r="91" ht="12.75"/>
    <row r="92" ht="12.75"/>
    <row r="93" ht="12.75"/>
    <row r="94" ht="12.75"/>
    <row r="95" ht="12.75"/>
  </sheetData>
  <sheetProtection/>
  <mergeCells count="10">
    <mergeCell ref="K7:M7"/>
    <mergeCell ref="A27:C27"/>
    <mergeCell ref="A29:C29"/>
    <mergeCell ref="A31:C31"/>
    <mergeCell ref="A35:C35"/>
    <mergeCell ref="A1:D1"/>
    <mergeCell ref="E1:G1"/>
    <mergeCell ref="A3:C3"/>
    <mergeCell ref="A8:C8"/>
    <mergeCell ref="A25:C25"/>
  </mergeCells>
  <printOptions/>
  <pageMargins left="0.7086614173228347" right="0.7086614173228347" top="0.7480314960629921" bottom="0.7480314960629921" header="0.31496062992125984" footer="0.31496062992125984"/>
  <pageSetup fitToHeight="0" fitToWidth="1" horizontalDpi="600" verticalDpi="600" orientation="portrait" scale="56" r:id="rId2"/>
  <headerFooter>
    <oddHeader>&amp;C&amp;F</oddHeader>
    <oddFooter>&amp;C&amp;A&amp;RPage &amp;P</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M39"/>
  <sheetViews>
    <sheetView zoomScale="90" zoomScaleNormal="90" zoomScalePageLayoutView="0" workbookViewId="0" topLeftCell="A1">
      <selection activeCell="K1" sqref="K1:M16384"/>
    </sheetView>
  </sheetViews>
  <sheetFormatPr defaultColWidth="9.140625" defaultRowHeight="12.75"/>
  <cols>
    <col min="1" max="1" width="41.7109375" style="1" customWidth="1"/>
    <col min="2" max="2" width="10.7109375" style="1" customWidth="1"/>
    <col min="3" max="9" width="13.7109375" style="1" customWidth="1"/>
    <col min="10" max="10" width="14.421875" style="1" customWidth="1"/>
    <col min="11" max="13" width="12.7109375" style="1" hidden="1" customWidth="1"/>
    <col min="14" max="26" width="12.7109375" style="1" customWidth="1"/>
    <col min="27" max="16384" width="9.140625" style="1" customWidth="1"/>
  </cols>
  <sheetData>
    <row r="1" spans="1:10" s="3" customFormat="1" ht="30" customHeight="1" thickBot="1">
      <c r="A1" s="215" t="s">
        <v>116</v>
      </c>
      <c r="B1" s="216"/>
      <c r="C1" s="216"/>
      <c r="D1" s="216"/>
      <c r="E1" s="217" t="s">
        <v>78</v>
      </c>
      <c r="F1" s="217"/>
      <c r="G1" s="217"/>
      <c r="H1" s="2"/>
      <c r="I1" s="16"/>
      <c r="J1" s="15"/>
    </row>
    <row r="2" spans="1:10" ht="16.5" thickBot="1">
      <c r="A2" s="17"/>
      <c r="B2" s="18"/>
      <c r="C2" s="19"/>
      <c r="D2" s="19"/>
      <c r="E2" s="10"/>
      <c r="F2" s="10"/>
      <c r="G2" s="10"/>
      <c r="H2" s="10"/>
      <c r="I2" s="4"/>
      <c r="J2" s="3"/>
    </row>
    <row r="3" spans="1:11" ht="27.75" customHeight="1" thickBot="1">
      <c r="A3" s="218" t="s">
        <v>16</v>
      </c>
      <c r="B3" s="219"/>
      <c r="C3" s="219"/>
      <c r="D3" s="29"/>
      <c r="E3" s="37">
        <f>'Pryse + Sensatiwiteitsanalise'!B45</f>
        <v>4687</v>
      </c>
      <c r="F3" s="29" t="s">
        <v>0</v>
      </c>
      <c r="G3" s="20"/>
      <c r="H3" s="20"/>
      <c r="I3" s="5"/>
      <c r="K3" s="3"/>
    </row>
    <row r="4" spans="1:11" ht="13.5" thickBot="1">
      <c r="A4" s="80"/>
      <c r="B4" s="90"/>
      <c r="C4" s="90"/>
      <c r="D4" s="6"/>
      <c r="E4" s="9"/>
      <c r="F4" s="21"/>
      <c r="G4" s="7"/>
      <c r="H4" s="22"/>
      <c r="I4" s="22"/>
      <c r="J4" s="3"/>
      <c r="K4" s="15"/>
    </row>
    <row r="5" spans="1:11" ht="13.5" thickBot="1">
      <c r="A5" s="80" t="s">
        <v>17</v>
      </c>
      <c r="B5" s="90"/>
      <c r="C5" s="90"/>
      <c r="D5" s="41">
        <v>1.5</v>
      </c>
      <c r="E5" s="41">
        <v>1.75</v>
      </c>
      <c r="F5" s="41">
        <v>2</v>
      </c>
      <c r="G5" s="41">
        <v>2.5</v>
      </c>
      <c r="H5" s="41">
        <v>3</v>
      </c>
      <c r="I5" s="41">
        <v>3.5</v>
      </c>
      <c r="J5" s="3"/>
      <c r="K5" s="15"/>
    </row>
    <row r="6" spans="1:11" ht="13.5" thickBot="1">
      <c r="A6" s="81" t="s">
        <v>18</v>
      </c>
      <c r="B6" s="91"/>
      <c r="C6" s="92"/>
      <c r="D6" s="36">
        <f aca="true" t="shared" si="0" ref="D6:I6">$E$3*D5</f>
        <v>7030.5</v>
      </c>
      <c r="E6" s="36">
        <f t="shared" si="0"/>
        <v>8202.25</v>
      </c>
      <c r="F6" s="36">
        <f t="shared" si="0"/>
        <v>9374</v>
      </c>
      <c r="G6" s="36">
        <f t="shared" si="0"/>
        <v>11717.5</v>
      </c>
      <c r="H6" s="36">
        <f t="shared" si="0"/>
        <v>14061</v>
      </c>
      <c r="I6" s="36">
        <f t="shared" si="0"/>
        <v>16404.5</v>
      </c>
      <c r="J6" s="3"/>
      <c r="K6" s="15"/>
    </row>
    <row r="7" spans="1:13" ht="15.75" thickBot="1">
      <c r="A7" s="83"/>
      <c r="B7" s="84"/>
      <c r="C7" s="84"/>
      <c r="D7" s="24"/>
      <c r="E7" s="24"/>
      <c r="F7" s="24"/>
      <c r="G7" s="24"/>
      <c r="H7" s="24"/>
      <c r="I7" s="24"/>
      <c r="J7" s="3"/>
      <c r="K7" s="226" t="s">
        <v>65</v>
      </c>
      <c r="L7" s="226"/>
      <c r="M7" s="226"/>
    </row>
    <row r="8" spans="1:13" ht="15.75" thickBot="1">
      <c r="A8" s="220" t="s">
        <v>19</v>
      </c>
      <c r="B8" s="221"/>
      <c r="C8" s="222"/>
      <c r="D8" s="25"/>
      <c r="E8" s="25"/>
      <c r="F8" s="25"/>
      <c r="G8" s="25"/>
      <c r="H8" s="25"/>
      <c r="I8" s="25"/>
      <c r="J8" s="3"/>
      <c r="K8" s="150" t="s">
        <v>60</v>
      </c>
      <c r="L8" s="150" t="s">
        <v>61</v>
      </c>
      <c r="M8" s="150" t="s">
        <v>62</v>
      </c>
    </row>
    <row r="9" spans="1:13" ht="15">
      <c r="A9" s="85" t="s">
        <v>20</v>
      </c>
      <c r="B9" s="86"/>
      <c r="C9" s="86"/>
      <c r="D9" s="158">
        <v>1026.93</v>
      </c>
      <c r="E9" s="158">
        <v>1026.93</v>
      </c>
      <c r="F9" s="158">
        <v>1026.93</v>
      </c>
      <c r="G9" s="158">
        <v>1026.93</v>
      </c>
      <c r="H9" s="158">
        <v>1198.085</v>
      </c>
      <c r="I9" s="158">
        <v>1198.085</v>
      </c>
      <c r="J9" s="3"/>
      <c r="K9" s="151">
        <f>D5</f>
        <v>1.5</v>
      </c>
      <c r="L9" s="151">
        <f>D25</f>
        <v>5891.906530445993</v>
      </c>
      <c r="M9" s="151">
        <f>D27</f>
        <v>1513.5200000000004</v>
      </c>
    </row>
    <row r="10" spans="1:13" ht="15">
      <c r="A10" s="82" t="s">
        <v>21</v>
      </c>
      <c r="B10" s="87"/>
      <c r="C10" s="87"/>
      <c r="D10" s="157">
        <v>1557</v>
      </c>
      <c r="E10" s="157">
        <v>1739</v>
      </c>
      <c r="F10" s="157">
        <v>1804</v>
      </c>
      <c r="G10" s="157">
        <v>1804</v>
      </c>
      <c r="H10" s="157">
        <v>2456</v>
      </c>
      <c r="I10" s="157">
        <v>2521</v>
      </c>
      <c r="J10" s="3"/>
      <c r="K10" s="151">
        <f>E5</f>
        <v>1.75</v>
      </c>
      <c r="L10" s="151">
        <f>E25</f>
        <v>6189.326823665701</v>
      </c>
      <c r="M10" s="151">
        <f>E27</f>
        <v>1513.5200000000004</v>
      </c>
    </row>
    <row r="11" spans="1:13" ht="15">
      <c r="A11" s="82" t="s">
        <v>22</v>
      </c>
      <c r="B11" s="87"/>
      <c r="C11" s="87"/>
      <c r="D11" s="157">
        <v>0</v>
      </c>
      <c r="E11" s="157">
        <v>0</v>
      </c>
      <c r="F11" s="157">
        <v>0</v>
      </c>
      <c r="G11" s="157">
        <v>0</v>
      </c>
      <c r="H11" s="157">
        <v>0</v>
      </c>
      <c r="I11" s="157">
        <v>0</v>
      </c>
      <c r="J11" s="3"/>
      <c r="K11" s="151">
        <f>F5</f>
        <v>2</v>
      </c>
      <c r="L11" s="151">
        <f>F25</f>
        <v>6356.305120955542</v>
      </c>
      <c r="M11" s="151">
        <f>F27</f>
        <v>1513.5200000000004</v>
      </c>
    </row>
    <row r="12" spans="1:13" ht="15">
      <c r="A12" s="82" t="s">
        <v>23</v>
      </c>
      <c r="B12" s="87"/>
      <c r="C12" s="87"/>
      <c r="D12" s="157">
        <v>612.68815</v>
      </c>
      <c r="E12" s="157">
        <v>626.749775</v>
      </c>
      <c r="F12" s="157">
        <v>640.8114</v>
      </c>
      <c r="G12" s="157">
        <v>661.22965</v>
      </c>
      <c r="H12" s="157">
        <v>681.6478999999999</v>
      </c>
      <c r="I12" s="157">
        <v>702.06615</v>
      </c>
      <c r="J12" s="3"/>
      <c r="K12" s="151">
        <f>G5</f>
        <v>2.5</v>
      </c>
      <c r="L12" s="151">
        <f>G25</f>
        <v>6536.735945881183</v>
      </c>
      <c r="M12" s="151">
        <f>G27</f>
        <v>1513.5200000000004</v>
      </c>
    </row>
    <row r="13" spans="1:13" ht="15">
      <c r="A13" s="82" t="s">
        <v>24</v>
      </c>
      <c r="B13" s="87"/>
      <c r="C13" s="87"/>
      <c r="D13" s="157">
        <v>414.906</v>
      </c>
      <c r="E13" s="157">
        <v>416.745</v>
      </c>
      <c r="F13" s="157">
        <v>418.584</v>
      </c>
      <c r="G13" s="157">
        <v>422.262</v>
      </c>
      <c r="H13" s="157">
        <v>425.94</v>
      </c>
      <c r="I13" s="157">
        <v>429.61800000000005</v>
      </c>
      <c r="J13" s="3"/>
      <c r="K13" s="151">
        <f>H5</f>
        <v>3</v>
      </c>
      <c r="L13" s="151">
        <f>H25</f>
        <v>7634.893105504696</v>
      </c>
      <c r="M13" s="151">
        <f>H27</f>
        <v>1513.5200000000004</v>
      </c>
    </row>
    <row r="14" spans="1:13" ht="15">
      <c r="A14" s="82" t="s">
        <v>25</v>
      </c>
      <c r="B14" s="87"/>
      <c r="C14" s="87"/>
      <c r="D14" s="157">
        <v>815.552</v>
      </c>
      <c r="E14" s="157">
        <v>815.552</v>
      </c>
      <c r="F14" s="157">
        <v>815.552</v>
      </c>
      <c r="G14" s="157">
        <v>815.552</v>
      </c>
      <c r="H14" s="157">
        <v>815.552</v>
      </c>
      <c r="I14" s="157">
        <v>815.552</v>
      </c>
      <c r="J14" s="3"/>
      <c r="K14" s="151">
        <f>I5</f>
        <v>3.5</v>
      </c>
      <c r="L14" s="151">
        <f>I25</f>
        <v>8086.206245533657</v>
      </c>
      <c r="M14" s="151">
        <f>I27</f>
        <v>1513.5200000000004</v>
      </c>
    </row>
    <row r="15" spans="1:11" ht="12.75">
      <c r="A15" s="82" t="s">
        <v>26</v>
      </c>
      <c r="B15" s="87"/>
      <c r="C15" s="87"/>
      <c r="D15" s="157">
        <v>252.44800000000004</v>
      </c>
      <c r="E15" s="157">
        <v>252.44800000000004</v>
      </c>
      <c r="F15" s="157">
        <v>252.44800000000004</v>
      </c>
      <c r="G15" s="157">
        <v>252.44800000000004</v>
      </c>
      <c r="H15" s="157">
        <v>252.44800000000004</v>
      </c>
      <c r="I15" s="157">
        <v>430.41600000000005</v>
      </c>
      <c r="J15" s="3"/>
      <c r="K15" s="15"/>
    </row>
    <row r="16" spans="1:11" ht="12.75">
      <c r="A16" s="82" t="s">
        <v>27</v>
      </c>
      <c r="B16" s="87"/>
      <c r="C16" s="87"/>
      <c r="D16" s="157">
        <v>140.13675</v>
      </c>
      <c r="E16" s="157">
        <v>163.492875</v>
      </c>
      <c r="F16" s="157">
        <v>186.849</v>
      </c>
      <c r="G16" s="157">
        <v>233.56125</v>
      </c>
      <c r="H16" s="157">
        <v>280.2735</v>
      </c>
      <c r="I16" s="157">
        <v>326.98575</v>
      </c>
      <c r="J16" s="3"/>
      <c r="K16" s="15"/>
    </row>
    <row r="17" spans="1:11" ht="12.75">
      <c r="A17" s="82" t="s">
        <v>29</v>
      </c>
      <c r="B17" s="87"/>
      <c r="C17" s="87"/>
      <c r="D17" s="157">
        <v>286.79491838864544</v>
      </c>
      <c r="E17" s="157">
        <v>301.2721726153204</v>
      </c>
      <c r="F17" s="157">
        <v>309.400021707368</v>
      </c>
      <c r="G17" s="157">
        <v>318.18268712168657</v>
      </c>
      <c r="H17" s="157">
        <v>371.6366737633062</v>
      </c>
      <c r="I17" s="157">
        <v>393.60482863702777</v>
      </c>
      <c r="J17" s="3"/>
      <c r="K17" s="15"/>
    </row>
    <row r="18" spans="1:11" ht="12.75">
      <c r="A18" s="82" t="s">
        <v>30</v>
      </c>
      <c r="B18" s="87"/>
      <c r="C18" s="87"/>
      <c r="D18" s="157">
        <v>0</v>
      </c>
      <c r="E18" s="157">
        <v>0</v>
      </c>
      <c r="F18" s="157">
        <v>0</v>
      </c>
      <c r="G18" s="157">
        <v>0</v>
      </c>
      <c r="H18" s="157">
        <v>0</v>
      </c>
      <c r="I18" s="157">
        <v>0</v>
      </c>
      <c r="J18" s="3"/>
      <c r="K18" s="15"/>
    </row>
    <row r="19" spans="1:11" ht="12.75">
      <c r="A19" s="82" t="s">
        <v>31</v>
      </c>
      <c r="B19" s="87"/>
      <c r="C19" s="87"/>
      <c r="D19" s="157">
        <v>273.087</v>
      </c>
      <c r="E19" s="157">
        <v>318.6015</v>
      </c>
      <c r="F19" s="157">
        <v>364.116</v>
      </c>
      <c r="G19" s="157">
        <v>455.145</v>
      </c>
      <c r="H19" s="157">
        <v>546.174</v>
      </c>
      <c r="I19" s="157">
        <v>637.203</v>
      </c>
      <c r="J19" s="3"/>
      <c r="K19" s="15"/>
    </row>
    <row r="20" spans="1:11" ht="12.75">
      <c r="A20" s="82" t="s">
        <v>32</v>
      </c>
      <c r="B20" s="87"/>
      <c r="C20" s="87"/>
      <c r="D20" s="157">
        <v>0</v>
      </c>
      <c r="E20" s="157">
        <v>0</v>
      </c>
      <c r="F20" s="157">
        <v>0</v>
      </c>
      <c r="G20" s="157">
        <v>0</v>
      </c>
      <c r="H20" s="157">
        <v>0</v>
      </c>
      <c r="I20" s="157">
        <v>0</v>
      </c>
      <c r="J20" s="3"/>
      <c r="K20" s="15"/>
    </row>
    <row r="21" spans="1:11" ht="12.75">
      <c r="A21" s="82" t="s">
        <v>33</v>
      </c>
      <c r="B21" s="87"/>
      <c r="C21" s="87"/>
      <c r="D21" s="157">
        <v>192</v>
      </c>
      <c r="E21" s="157">
        <v>192</v>
      </c>
      <c r="F21" s="157">
        <v>192</v>
      </c>
      <c r="G21" s="157">
        <v>192</v>
      </c>
      <c r="H21" s="157">
        <v>192</v>
      </c>
      <c r="I21" s="157">
        <v>192</v>
      </c>
      <c r="J21" s="3"/>
      <c r="K21" s="15"/>
    </row>
    <row r="22" spans="1:11" ht="12.75">
      <c r="A22" s="82" t="s">
        <v>34</v>
      </c>
      <c r="B22" s="87"/>
      <c r="C22" s="87"/>
      <c r="D22" s="157">
        <v>0</v>
      </c>
      <c r="E22" s="157">
        <v>0</v>
      </c>
      <c r="F22" s="157">
        <v>0</v>
      </c>
      <c r="G22" s="157">
        <v>0</v>
      </c>
      <c r="H22" s="157">
        <v>0</v>
      </c>
      <c r="I22" s="157">
        <v>0</v>
      </c>
      <c r="J22" s="3"/>
      <c r="K22" s="15"/>
    </row>
    <row r="23" spans="1:11" ht="12.75">
      <c r="A23" s="82" t="s">
        <v>35</v>
      </c>
      <c r="B23" s="87"/>
      <c r="C23" s="87"/>
      <c r="D23" s="157">
        <v>0</v>
      </c>
      <c r="E23" s="157">
        <v>0</v>
      </c>
      <c r="F23" s="157">
        <v>0</v>
      </c>
      <c r="G23" s="157">
        <v>0</v>
      </c>
      <c r="H23" s="157">
        <v>0</v>
      </c>
      <c r="I23" s="157">
        <v>0</v>
      </c>
      <c r="J23" s="3"/>
      <c r="K23" s="15"/>
    </row>
    <row r="24" spans="1:11" ht="13.5" thickBot="1">
      <c r="A24" s="82" t="s">
        <v>36</v>
      </c>
      <c r="B24" s="87"/>
      <c r="C24" s="87"/>
      <c r="D24" s="157">
        <v>320.36371205734713</v>
      </c>
      <c r="E24" s="157">
        <v>336.53550105038096</v>
      </c>
      <c r="F24" s="157">
        <v>345.61469924817374</v>
      </c>
      <c r="G24" s="157">
        <v>355.425358759497</v>
      </c>
      <c r="H24" s="157">
        <v>415.1360317413901</v>
      </c>
      <c r="I24" s="157">
        <v>439.67551689662906</v>
      </c>
      <c r="J24" s="3"/>
      <c r="K24" s="15"/>
    </row>
    <row r="25" spans="1:11" ht="26.25" customHeight="1" thickBot="1">
      <c r="A25" s="223" t="s">
        <v>37</v>
      </c>
      <c r="B25" s="224"/>
      <c r="C25" s="225"/>
      <c r="D25" s="32">
        <f aca="true" t="shared" si="1" ref="D25:I25">SUM(D9:D24)</f>
        <v>5891.906530445993</v>
      </c>
      <c r="E25" s="32">
        <f t="shared" si="1"/>
        <v>6189.326823665701</v>
      </c>
      <c r="F25" s="32">
        <f t="shared" si="1"/>
        <v>6356.305120955542</v>
      </c>
      <c r="G25" s="32">
        <f t="shared" si="1"/>
        <v>6536.735945881183</v>
      </c>
      <c r="H25" s="32">
        <f t="shared" si="1"/>
        <v>7634.893105504696</v>
      </c>
      <c r="I25" s="32">
        <f t="shared" si="1"/>
        <v>8086.206245533657</v>
      </c>
      <c r="J25" s="3"/>
      <c r="K25" s="15"/>
    </row>
    <row r="26" spans="1:11" ht="13.5" thickBot="1">
      <c r="A26" s="88"/>
      <c r="B26" s="89"/>
      <c r="C26" s="89"/>
      <c r="D26" s="33"/>
      <c r="E26" s="33"/>
      <c r="F26" s="33"/>
      <c r="G26" s="33"/>
      <c r="H26" s="33"/>
      <c r="I26" s="33"/>
      <c r="J26" s="3"/>
      <c r="K26" s="15"/>
    </row>
    <row r="27" spans="1:11" ht="13.5" thickBot="1">
      <c r="A27" s="227" t="s">
        <v>38</v>
      </c>
      <c r="B27" s="228"/>
      <c r="C27" s="229"/>
      <c r="D27" s="159">
        <v>1513.5200000000004</v>
      </c>
      <c r="E27" s="32">
        <f>D27</f>
        <v>1513.5200000000004</v>
      </c>
      <c r="F27" s="32">
        <f>E27</f>
        <v>1513.5200000000004</v>
      </c>
      <c r="G27" s="32">
        <f>F27</f>
        <v>1513.5200000000004</v>
      </c>
      <c r="H27" s="32">
        <f>G27</f>
        <v>1513.5200000000004</v>
      </c>
      <c r="I27" s="32">
        <f>H27</f>
        <v>1513.5200000000004</v>
      </c>
      <c r="J27" s="28"/>
      <c r="K27" s="15"/>
    </row>
    <row r="28" spans="1:11" ht="13.5" thickBot="1">
      <c r="A28" s="88"/>
      <c r="B28" s="89"/>
      <c r="C28" s="89"/>
      <c r="D28" s="33"/>
      <c r="E28" s="33"/>
      <c r="F28" s="33"/>
      <c r="G28" s="33"/>
      <c r="H28" s="33"/>
      <c r="I28" s="33"/>
      <c r="J28" s="3"/>
      <c r="K28" s="15"/>
    </row>
    <row r="29" spans="1:11" ht="27.75" customHeight="1" thickBot="1">
      <c r="A29" s="223" t="s">
        <v>39</v>
      </c>
      <c r="B29" s="224"/>
      <c r="C29" s="225"/>
      <c r="D29" s="32">
        <f aca="true" t="shared" si="2" ref="D29:I29">D25+D27</f>
        <v>7405.426530445993</v>
      </c>
      <c r="E29" s="32">
        <f t="shared" si="2"/>
        <v>7702.846823665702</v>
      </c>
      <c r="F29" s="32">
        <f t="shared" si="2"/>
        <v>7869.825120955543</v>
      </c>
      <c r="G29" s="32">
        <f t="shared" si="2"/>
        <v>8050.255945881184</v>
      </c>
      <c r="H29" s="32">
        <f t="shared" si="2"/>
        <v>9148.413105504696</v>
      </c>
      <c r="I29" s="32">
        <f t="shared" si="2"/>
        <v>9599.726245533657</v>
      </c>
      <c r="J29" s="3"/>
      <c r="K29" s="3"/>
    </row>
    <row r="30" spans="1:11" ht="13.5" thickBot="1">
      <c r="A30" s="83"/>
      <c r="B30" s="84"/>
      <c r="C30" s="84"/>
      <c r="D30" s="35"/>
      <c r="E30" s="35"/>
      <c r="F30" s="35"/>
      <c r="G30" s="35"/>
      <c r="H30" s="35"/>
      <c r="I30" s="35"/>
      <c r="J30" s="3"/>
      <c r="K30" s="3"/>
    </row>
    <row r="31" spans="1:11" ht="26.25" customHeight="1" thickBot="1">
      <c r="A31" s="223" t="s">
        <v>40</v>
      </c>
      <c r="B31" s="219"/>
      <c r="C31" s="230"/>
      <c r="D31" s="32">
        <f aca="true" t="shared" si="3" ref="D31:I31">D29/D5</f>
        <v>4936.951020297329</v>
      </c>
      <c r="E31" s="32">
        <f t="shared" si="3"/>
        <v>4401.626756380401</v>
      </c>
      <c r="F31" s="32">
        <f t="shared" si="3"/>
        <v>3934.9125604777714</v>
      </c>
      <c r="G31" s="32">
        <f t="shared" si="3"/>
        <v>3220.1023783524734</v>
      </c>
      <c r="H31" s="32">
        <f t="shared" si="3"/>
        <v>3049.471035168232</v>
      </c>
      <c r="I31" s="32">
        <f t="shared" si="3"/>
        <v>2742.7789272953305</v>
      </c>
      <c r="J31" s="3"/>
      <c r="K31" s="3"/>
    </row>
    <row r="32" spans="1:11" ht="13.5" thickBot="1">
      <c r="A32" s="83"/>
      <c r="B32" s="84"/>
      <c r="C32" s="84"/>
      <c r="D32" s="35"/>
      <c r="E32" s="35"/>
      <c r="F32" s="35"/>
      <c r="G32" s="35"/>
      <c r="H32" s="35"/>
      <c r="I32" s="35"/>
      <c r="J32" s="3"/>
      <c r="K32" s="15"/>
    </row>
    <row r="33" spans="1:11" ht="13.5" thickBot="1">
      <c r="A33" s="81" t="s">
        <v>41</v>
      </c>
      <c r="B33" s="91"/>
      <c r="C33" s="91"/>
      <c r="D33" s="32">
        <f>'Pryse + Sensatiwiteitsanalise'!D5</f>
        <v>63</v>
      </c>
      <c r="E33" s="32">
        <f>$D$33</f>
        <v>63</v>
      </c>
      <c r="F33" s="32">
        <f>$D$33</f>
        <v>63</v>
      </c>
      <c r="G33" s="32">
        <f>$D$33</f>
        <v>63</v>
      </c>
      <c r="H33" s="32">
        <f>$D$33</f>
        <v>63</v>
      </c>
      <c r="I33" s="32">
        <f>$D$33</f>
        <v>63</v>
      </c>
      <c r="J33" s="3"/>
      <c r="K33" s="15"/>
    </row>
    <row r="34" spans="1:11" ht="13.5" thickBot="1">
      <c r="A34" s="83"/>
      <c r="B34" s="84"/>
      <c r="C34" s="84"/>
      <c r="D34" s="35"/>
      <c r="E34" s="35"/>
      <c r="F34" s="35"/>
      <c r="G34" s="35"/>
      <c r="H34" s="35"/>
      <c r="I34" s="35"/>
      <c r="J34" s="3"/>
      <c r="K34" s="15"/>
    </row>
    <row r="35" spans="1:11" ht="13.5" thickBot="1">
      <c r="A35" s="218" t="s">
        <v>42</v>
      </c>
      <c r="B35" s="219"/>
      <c r="C35" s="230"/>
      <c r="D35" s="34">
        <f aca="true" t="shared" si="4" ref="D35:I35">D31+D33</f>
        <v>4999.951020297329</v>
      </c>
      <c r="E35" s="34">
        <f t="shared" si="4"/>
        <v>4464.626756380401</v>
      </c>
      <c r="F35" s="34">
        <f t="shared" si="4"/>
        <v>3997.9125604777714</v>
      </c>
      <c r="G35" s="34">
        <f t="shared" si="4"/>
        <v>3283.1023783524734</v>
      </c>
      <c r="H35" s="34">
        <f t="shared" si="4"/>
        <v>3112.471035168232</v>
      </c>
      <c r="I35" s="34">
        <f t="shared" si="4"/>
        <v>2805.7789272953305</v>
      </c>
      <c r="J35" s="3"/>
      <c r="K35" s="15"/>
    </row>
    <row r="36" spans="1:11" ht="13.5" thickBot="1">
      <c r="A36" s="77" t="s">
        <v>71</v>
      </c>
      <c r="B36" s="78"/>
      <c r="C36" s="79"/>
      <c r="D36" s="34">
        <f>'Pryse + Sensatiwiteitsanalise'!B5</f>
        <v>4750</v>
      </c>
      <c r="E36" s="34">
        <f>$D$36</f>
        <v>4750</v>
      </c>
      <c r="F36" s="34">
        <f>$D$36</f>
        <v>4750</v>
      </c>
      <c r="G36" s="34">
        <f>$D$36</f>
        <v>4750</v>
      </c>
      <c r="H36" s="34">
        <f>$D$36</f>
        <v>4750</v>
      </c>
      <c r="I36" s="34">
        <f>$D$36</f>
        <v>4750</v>
      </c>
      <c r="J36" s="15"/>
      <c r="K36" s="3"/>
    </row>
    <row r="37" spans="1:10" ht="15">
      <c r="A37" s="101" t="s">
        <v>45</v>
      </c>
      <c r="B37" s="100"/>
      <c r="C37" s="100"/>
      <c r="D37" s="100"/>
      <c r="E37" s="100"/>
      <c r="F37" s="100"/>
      <c r="G37" s="100"/>
      <c r="H37" s="99"/>
      <c r="I37" s="102"/>
      <c r="J37" s="102"/>
    </row>
    <row r="38" spans="1:10" ht="15">
      <c r="A38" s="98" t="s">
        <v>46</v>
      </c>
      <c r="B38" s="97"/>
      <c r="C38" s="97"/>
      <c r="D38" s="97"/>
      <c r="E38" s="97"/>
      <c r="F38" s="97"/>
      <c r="G38" s="97"/>
      <c r="H38" s="96"/>
      <c r="I38" s="102"/>
      <c r="J38" s="102"/>
    </row>
    <row r="39" spans="1:10" ht="15.75" thickBot="1">
      <c r="A39" s="95" t="s">
        <v>47</v>
      </c>
      <c r="B39" s="94"/>
      <c r="C39" s="94"/>
      <c r="D39" s="94"/>
      <c r="E39" s="94"/>
      <c r="F39" s="94"/>
      <c r="G39" s="94"/>
      <c r="H39" s="93"/>
      <c r="I39" s="102"/>
      <c r="J39" s="102"/>
    </row>
  </sheetData>
  <sheetProtection/>
  <mergeCells count="10">
    <mergeCell ref="A35:C35"/>
    <mergeCell ref="A1:D1"/>
    <mergeCell ref="E1:G1"/>
    <mergeCell ref="A3:C3"/>
    <mergeCell ref="K7:M7"/>
    <mergeCell ref="A8:C8"/>
    <mergeCell ref="A25:C25"/>
    <mergeCell ref="A27:C27"/>
    <mergeCell ref="A29:C29"/>
    <mergeCell ref="A31:C31"/>
  </mergeCells>
  <printOptions/>
  <pageMargins left="0.35433070866141736" right="0.35433070866141736" top="0.5905511811023623" bottom="0.5905511811023623" header="0.31496062992125984" footer="0.31496062992125984"/>
  <pageSetup fitToHeight="0" fitToWidth="1" horizontalDpi="600" verticalDpi="600" orientation="portrait" paperSize="9" scale="66" r:id="rId2"/>
  <headerFooter alignWithMargins="0">
    <oddHeader>&amp;C&amp;F</oddHeader>
    <oddFooter>&amp;C&amp;A&amp;RPage &amp;P</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M39"/>
  <sheetViews>
    <sheetView zoomScale="80" zoomScaleNormal="80" zoomScalePageLayoutView="0" workbookViewId="0" topLeftCell="A1">
      <selection activeCell="D27" sqref="D27"/>
    </sheetView>
  </sheetViews>
  <sheetFormatPr defaultColWidth="9.140625" defaultRowHeight="12.75"/>
  <cols>
    <col min="1" max="1" width="41.7109375" style="1" customWidth="1"/>
    <col min="2" max="2" width="18.00390625" style="1" customWidth="1"/>
    <col min="3" max="3" width="17.28125" style="1" customWidth="1"/>
    <col min="4" max="4" width="16.140625" style="1" customWidth="1"/>
    <col min="5" max="9" width="14.28125" style="1" customWidth="1"/>
    <col min="10" max="10" width="12.7109375" style="1" customWidth="1"/>
    <col min="11" max="13" width="12.7109375" style="1" hidden="1" customWidth="1"/>
    <col min="14" max="26" width="12.7109375" style="1" customWidth="1"/>
    <col min="27" max="16384" width="9.140625" style="1" customWidth="1"/>
  </cols>
  <sheetData>
    <row r="1" spans="1:9" s="3" customFormat="1" ht="33" customHeight="1" thickBot="1">
      <c r="A1" s="215" t="s">
        <v>15</v>
      </c>
      <c r="B1" s="216"/>
      <c r="C1" s="216"/>
      <c r="D1" s="216"/>
      <c r="E1" s="217" t="s">
        <v>78</v>
      </c>
      <c r="F1" s="217"/>
      <c r="G1" s="217"/>
      <c r="H1" s="2"/>
      <c r="I1" s="16"/>
    </row>
    <row r="2" spans="1:9" ht="16.5" thickBot="1">
      <c r="A2" s="17"/>
      <c r="B2" s="18"/>
      <c r="C2" s="19"/>
      <c r="D2" s="19"/>
      <c r="E2" s="10"/>
      <c r="F2" s="10"/>
      <c r="G2" s="10"/>
      <c r="H2" s="10"/>
      <c r="I2" s="4"/>
    </row>
    <row r="3" spans="1:11" ht="24.75" customHeight="1" thickBot="1">
      <c r="A3" s="218" t="s">
        <v>16</v>
      </c>
      <c r="B3" s="219"/>
      <c r="C3" s="219"/>
      <c r="D3" s="29"/>
      <c r="E3" s="37">
        <f>'Pryse + Sensatiwiteitsanalise'!B71</f>
        <v>2537</v>
      </c>
      <c r="F3" s="29" t="s">
        <v>0</v>
      </c>
      <c r="G3" s="20"/>
      <c r="H3" s="20"/>
      <c r="I3" s="5"/>
      <c r="K3" s="3"/>
    </row>
    <row r="4" spans="1:11" ht="13.5" thickBot="1">
      <c r="A4" s="80"/>
      <c r="B4" s="90"/>
      <c r="C4" s="90"/>
      <c r="D4" s="6"/>
      <c r="E4" s="9"/>
      <c r="F4" s="21"/>
      <c r="G4" s="7"/>
      <c r="H4" s="22"/>
      <c r="I4" s="22"/>
      <c r="K4" s="15"/>
    </row>
    <row r="5" spans="1:11" ht="13.5" thickBot="1">
      <c r="A5" s="80" t="s">
        <v>17</v>
      </c>
      <c r="B5" s="90"/>
      <c r="C5" s="90"/>
      <c r="D5" s="38">
        <v>4</v>
      </c>
      <c r="E5" s="38">
        <v>4.5</v>
      </c>
      <c r="F5" s="38">
        <v>5</v>
      </c>
      <c r="G5" s="38">
        <v>5.5</v>
      </c>
      <c r="H5" s="38">
        <v>6</v>
      </c>
      <c r="I5" s="23"/>
      <c r="K5" s="15"/>
    </row>
    <row r="6" spans="1:11" ht="13.5" thickBot="1">
      <c r="A6" s="81" t="s">
        <v>18</v>
      </c>
      <c r="B6" s="91"/>
      <c r="C6" s="92"/>
      <c r="D6" s="36">
        <f aca="true" t="shared" si="0" ref="D6:I6">$E$3*D5</f>
        <v>10148</v>
      </c>
      <c r="E6" s="36">
        <f t="shared" si="0"/>
        <v>11416.5</v>
      </c>
      <c r="F6" s="36">
        <f t="shared" si="0"/>
        <v>12685</v>
      </c>
      <c r="G6" s="36">
        <f t="shared" si="0"/>
        <v>13953.5</v>
      </c>
      <c r="H6" s="36">
        <f t="shared" si="0"/>
        <v>15222</v>
      </c>
      <c r="I6" s="36">
        <f t="shared" si="0"/>
        <v>0</v>
      </c>
      <c r="K6" s="15"/>
    </row>
    <row r="7" spans="1:13" ht="15.75" thickBot="1">
      <c r="A7" s="83"/>
      <c r="B7" s="84"/>
      <c r="C7" s="84"/>
      <c r="D7" s="39"/>
      <c r="E7" s="24"/>
      <c r="F7" s="24"/>
      <c r="G7" s="24"/>
      <c r="H7" s="24"/>
      <c r="I7" s="24"/>
      <c r="K7" s="226" t="s">
        <v>66</v>
      </c>
      <c r="L7" s="226"/>
      <c r="M7" s="226"/>
    </row>
    <row r="8" spans="1:13" ht="15.75" thickBot="1">
      <c r="A8" s="220" t="s">
        <v>19</v>
      </c>
      <c r="B8" s="221"/>
      <c r="C8" s="222"/>
      <c r="D8" s="40"/>
      <c r="E8" s="25"/>
      <c r="F8" s="25"/>
      <c r="G8" s="25"/>
      <c r="H8" s="25"/>
      <c r="I8" s="25"/>
      <c r="K8" s="104" t="s">
        <v>60</v>
      </c>
      <c r="L8" s="104" t="s">
        <v>61</v>
      </c>
      <c r="M8" s="104" t="s">
        <v>62</v>
      </c>
    </row>
    <row r="9" spans="1:13" ht="15">
      <c r="A9" s="85" t="s">
        <v>20</v>
      </c>
      <c r="B9" s="86"/>
      <c r="C9" s="86"/>
      <c r="D9" s="158">
        <v>585.48</v>
      </c>
      <c r="E9" s="158">
        <v>585.48</v>
      </c>
      <c r="F9" s="158">
        <v>585.48</v>
      </c>
      <c r="G9" s="158">
        <v>669.12</v>
      </c>
      <c r="H9" s="158">
        <v>669.12</v>
      </c>
      <c r="I9" s="30"/>
      <c r="K9" s="105">
        <f>D5</f>
        <v>4</v>
      </c>
      <c r="L9" s="105">
        <f>D25</f>
        <v>7083.5846634750005</v>
      </c>
      <c r="M9" s="105">
        <f>D27</f>
        <v>2509.6</v>
      </c>
    </row>
    <row r="10" spans="1:13" ht="15">
      <c r="A10" s="82" t="s">
        <v>21</v>
      </c>
      <c r="B10" s="87"/>
      <c r="C10" s="87"/>
      <c r="D10" s="157">
        <v>1968.3999999999999</v>
      </c>
      <c r="E10" s="157">
        <v>2214.45</v>
      </c>
      <c r="F10" s="157">
        <v>2460.5</v>
      </c>
      <c r="G10" s="157">
        <v>2706.5499999999997</v>
      </c>
      <c r="H10" s="157">
        <v>2952.6</v>
      </c>
      <c r="I10" s="31"/>
      <c r="K10" s="105">
        <f>E5</f>
        <v>4.5</v>
      </c>
      <c r="L10" s="105">
        <f>E25</f>
        <v>7435.403809725</v>
      </c>
      <c r="M10" s="105">
        <f>E27</f>
        <v>2509.6</v>
      </c>
    </row>
    <row r="11" spans="1:13" ht="15">
      <c r="A11" s="82" t="s">
        <v>22</v>
      </c>
      <c r="B11" s="87"/>
      <c r="C11" s="87"/>
      <c r="D11" s="157">
        <v>199.79999999999998</v>
      </c>
      <c r="E11" s="157">
        <v>199.79999999999998</v>
      </c>
      <c r="F11" s="157">
        <v>199.79999999999998</v>
      </c>
      <c r="G11" s="157">
        <v>199.79999999999998</v>
      </c>
      <c r="H11" s="157">
        <v>199.79999999999998</v>
      </c>
      <c r="I11" s="31"/>
      <c r="K11" s="105">
        <f>F5</f>
        <v>5</v>
      </c>
      <c r="L11" s="105">
        <f>F25</f>
        <v>7787.222955974999</v>
      </c>
      <c r="M11" s="105">
        <f>F27</f>
        <v>2509.6</v>
      </c>
    </row>
    <row r="12" spans="1:13" ht="15">
      <c r="A12" s="82" t="s">
        <v>23</v>
      </c>
      <c r="B12" s="87"/>
      <c r="C12" s="87"/>
      <c r="D12" s="157">
        <v>1033.21749</v>
      </c>
      <c r="E12" s="157">
        <v>1053.63574</v>
      </c>
      <c r="F12" s="157">
        <v>1074.0539899999999</v>
      </c>
      <c r="G12" s="157">
        <v>1094.47224</v>
      </c>
      <c r="H12" s="157">
        <v>1114.89049</v>
      </c>
      <c r="I12" s="31"/>
      <c r="K12" s="105">
        <f>G5</f>
        <v>5.5</v>
      </c>
      <c r="L12" s="105">
        <f>G25</f>
        <v>8227.491402225</v>
      </c>
      <c r="M12" s="105">
        <f>G27</f>
        <v>2509.6</v>
      </c>
    </row>
    <row r="13" spans="1:13" ht="15">
      <c r="A13" s="82" t="s">
        <v>24</v>
      </c>
      <c r="B13" s="87"/>
      <c r="C13" s="87"/>
      <c r="D13" s="157">
        <v>652.54944</v>
      </c>
      <c r="E13" s="157">
        <v>656.2274399999999</v>
      </c>
      <c r="F13" s="157">
        <v>659.90544</v>
      </c>
      <c r="G13" s="157">
        <v>663.5834399999999</v>
      </c>
      <c r="H13" s="157">
        <v>667.26144</v>
      </c>
      <c r="I13" s="31"/>
      <c r="K13" s="105">
        <f>H5</f>
        <v>6</v>
      </c>
      <c r="L13" s="105">
        <f>H25</f>
        <v>8579.310548475</v>
      </c>
      <c r="M13" s="105">
        <f>H27</f>
        <v>2509.6</v>
      </c>
    </row>
    <row r="14" spans="1:13" ht="15">
      <c r="A14" s="82" t="s">
        <v>25</v>
      </c>
      <c r="B14" s="87"/>
      <c r="C14" s="87"/>
      <c r="D14" s="157">
        <v>600.432</v>
      </c>
      <c r="E14" s="157">
        <v>600.432</v>
      </c>
      <c r="F14" s="157">
        <v>600.432</v>
      </c>
      <c r="G14" s="157">
        <v>600.432</v>
      </c>
      <c r="H14" s="157">
        <v>600.432</v>
      </c>
      <c r="I14" s="31"/>
      <c r="K14" s="105">
        <f>I5</f>
        <v>0</v>
      </c>
      <c r="L14" s="105">
        <f>I25</f>
        <v>0</v>
      </c>
      <c r="M14" s="105">
        <f>I27</f>
        <v>0</v>
      </c>
    </row>
    <row r="15" spans="1:11" ht="12.75">
      <c r="A15" s="82" t="s">
        <v>26</v>
      </c>
      <c r="B15" s="87"/>
      <c r="C15" s="87"/>
      <c r="D15" s="157">
        <v>976.6400000000001</v>
      </c>
      <c r="E15" s="157">
        <v>976.6400000000001</v>
      </c>
      <c r="F15" s="157">
        <v>976.6400000000001</v>
      </c>
      <c r="G15" s="157">
        <v>976.6400000000001</v>
      </c>
      <c r="H15" s="157">
        <v>976.6400000000001</v>
      </c>
      <c r="I15" s="31"/>
      <c r="K15" s="15"/>
    </row>
    <row r="16" spans="1:11" ht="12.75">
      <c r="A16" s="82" t="s">
        <v>27</v>
      </c>
      <c r="B16" s="87"/>
      <c r="C16" s="87"/>
      <c r="D16" s="157">
        <v>197.88600000000002</v>
      </c>
      <c r="E16" s="157">
        <v>222.62175</v>
      </c>
      <c r="F16" s="157">
        <v>247.35750000000002</v>
      </c>
      <c r="G16" s="157">
        <v>272.09325</v>
      </c>
      <c r="H16" s="157">
        <v>296.82899999999995</v>
      </c>
      <c r="I16" s="31"/>
      <c r="K16" s="15"/>
    </row>
    <row r="17" spans="1:11" ht="12.75">
      <c r="A17" s="82" t="s">
        <v>29</v>
      </c>
      <c r="B17" s="87"/>
      <c r="C17" s="87"/>
      <c r="D17" s="157">
        <v>0</v>
      </c>
      <c r="E17" s="157">
        <v>0</v>
      </c>
      <c r="F17" s="157">
        <v>0</v>
      </c>
      <c r="G17" s="157">
        <v>0</v>
      </c>
      <c r="H17" s="157">
        <v>0</v>
      </c>
      <c r="I17" s="31"/>
      <c r="K17" s="15"/>
    </row>
    <row r="18" spans="1:11" ht="12.75">
      <c r="A18" s="82" t="s">
        <v>30</v>
      </c>
      <c r="B18" s="87"/>
      <c r="C18" s="87"/>
      <c r="D18" s="157">
        <v>0</v>
      </c>
      <c r="E18" s="157">
        <v>0</v>
      </c>
      <c r="F18" s="157">
        <v>0</v>
      </c>
      <c r="G18" s="157">
        <v>0</v>
      </c>
      <c r="H18" s="157">
        <v>0</v>
      </c>
      <c r="I18" s="31"/>
      <c r="K18" s="15"/>
    </row>
    <row r="19" spans="1:11" ht="12.75">
      <c r="A19" s="82" t="s">
        <v>31</v>
      </c>
      <c r="B19" s="87"/>
      <c r="C19" s="87"/>
      <c r="D19" s="157">
        <v>302.46</v>
      </c>
      <c r="E19" s="157">
        <v>340.2675</v>
      </c>
      <c r="F19" s="157">
        <v>378.075</v>
      </c>
      <c r="G19" s="157">
        <v>415.8825</v>
      </c>
      <c r="H19" s="157">
        <v>453.69</v>
      </c>
      <c r="I19" s="31"/>
      <c r="K19" s="15"/>
    </row>
    <row r="20" spans="1:11" ht="12.75">
      <c r="A20" s="82" t="s">
        <v>32</v>
      </c>
      <c r="B20" s="87"/>
      <c r="C20" s="87"/>
      <c r="D20" s="157">
        <v>0</v>
      </c>
      <c r="E20" s="157">
        <v>0</v>
      </c>
      <c r="F20" s="157">
        <v>0</v>
      </c>
      <c r="G20" s="157">
        <v>0</v>
      </c>
      <c r="H20" s="157">
        <v>0</v>
      </c>
      <c r="I20" s="31"/>
      <c r="K20" s="15"/>
    </row>
    <row r="21" spans="1:11" ht="12.75">
      <c r="A21" s="82" t="s">
        <v>33</v>
      </c>
      <c r="B21" s="87"/>
      <c r="C21" s="87"/>
      <c r="D21" s="157">
        <v>0</v>
      </c>
      <c r="E21" s="157">
        <v>0</v>
      </c>
      <c r="F21" s="157">
        <v>0</v>
      </c>
      <c r="G21" s="157">
        <v>0</v>
      </c>
      <c r="H21" s="157">
        <v>0</v>
      </c>
      <c r="I21" s="31"/>
      <c r="K21" s="15"/>
    </row>
    <row r="22" spans="1:11" ht="12.75">
      <c r="A22" s="82" t="s">
        <v>34</v>
      </c>
      <c r="B22" s="87"/>
      <c r="C22" s="87"/>
      <c r="D22" s="157">
        <v>192</v>
      </c>
      <c r="E22" s="157">
        <v>192</v>
      </c>
      <c r="F22" s="157">
        <v>192</v>
      </c>
      <c r="G22" s="157">
        <v>192</v>
      </c>
      <c r="H22" s="157">
        <v>192</v>
      </c>
      <c r="I22" s="31"/>
      <c r="K22" s="15"/>
    </row>
    <row r="23" spans="1:11" ht="12.75">
      <c r="A23" s="82" t="s">
        <v>35</v>
      </c>
      <c r="B23" s="87"/>
      <c r="C23" s="87"/>
      <c r="D23" s="157">
        <v>0</v>
      </c>
      <c r="E23" s="157">
        <v>0</v>
      </c>
      <c r="F23" s="157">
        <v>0</v>
      </c>
      <c r="G23" s="157">
        <v>0</v>
      </c>
      <c r="H23" s="157">
        <v>0</v>
      </c>
      <c r="I23" s="31"/>
      <c r="K23" s="15"/>
    </row>
    <row r="24" spans="1:11" ht="13.5" thickBot="1">
      <c r="A24" s="82" t="s">
        <v>36</v>
      </c>
      <c r="B24" s="87"/>
      <c r="C24" s="87"/>
      <c r="D24" s="157">
        <v>374.71973347500006</v>
      </c>
      <c r="E24" s="157">
        <v>393.849379725</v>
      </c>
      <c r="F24" s="157">
        <v>412.97902597500007</v>
      </c>
      <c r="G24" s="157">
        <v>436.9179722249999</v>
      </c>
      <c r="H24" s="157">
        <v>456.04761847500004</v>
      </c>
      <c r="I24" s="31"/>
      <c r="K24" s="15"/>
    </row>
    <row r="25" spans="1:11" ht="25.5" customHeight="1" thickBot="1">
      <c r="A25" s="223" t="s">
        <v>37</v>
      </c>
      <c r="B25" s="224"/>
      <c r="C25" s="225"/>
      <c r="D25" s="32">
        <f>SUM(D9:D24)</f>
        <v>7083.5846634750005</v>
      </c>
      <c r="E25" s="32">
        <f>SUM(E9:E24)</f>
        <v>7435.403809725</v>
      </c>
      <c r="F25" s="32">
        <f>SUM(F9:F24)</f>
        <v>7787.222955974999</v>
      </c>
      <c r="G25" s="32">
        <f>SUM(G9:G24)</f>
        <v>8227.491402225</v>
      </c>
      <c r="H25" s="32">
        <f>SUM(H9:H24)</f>
        <v>8579.310548475</v>
      </c>
      <c r="I25" s="8"/>
      <c r="K25" s="15"/>
    </row>
    <row r="26" spans="1:11" ht="13.5" thickBot="1">
      <c r="A26" s="88"/>
      <c r="B26" s="89"/>
      <c r="C26" s="89"/>
      <c r="D26" s="33"/>
      <c r="E26" s="26"/>
      <c r="F26" s="26"/>
      <c r="G26" s="26"/>
      <c r="H26" s="26"/>
      <c r="I26" s="26"/>
      <c r="K26" s="15"/>
    </row>
    <row r="27" spans="1:11" ht="13.5" thickBot="1">
      <c r="A27" s="227" t="s">
        <v>38</v>
      </c>
      <c r="B27" s="228"/>
      <c r="C27" s="229"/>
      <c r="D27" s="159">
        <v>2509.6</v>
      </c>
      <c r="E27" s="32">
        <f>D27</f>
        <v>2509.6</v>
      </c>
      <c r="F27" s="32">
        <f>E27</f>
        <v>2509.6</v>
      </c>
      <c r="G27" s="32">
        <f>F27</f>
        <v>2509.6</v>
      </c>
      <c r="H27" s="32">
        <f>G27</f>
        <v>2509.6</v>
      </c>
      <c r="I27" s="32"/>
      <c r="K27" s="15"/>
    </row>
    <row r="28" spans="1:11" ht="13.5" thickBot="1">
      <c r="A28" s="88"/>
      <c r="B28" s="89"/>
      <c r="C28" s="89"/>
      <c r="D28" s="33"/>
      <c r="E28" s="26"/>
      <c r="F28" s="26"/>
      <c r="G28" s="26"/>
      <c r="H28" s="26"/>
      <c r="I28" s="26"/>
      <c r="K28" s="15"/>
    </row>
    <row r="29" spans="1:11" ht="25.5" customHeight="1" thickBot="1">
      <c r="A29" s="223" t="s">
        <v>39</v>
      </c>
      <c r="B29" s="224"/>
      <c r="C29" s="225"/>
      <c r="D29" s="32">
        <f>D25+D27</f>
        <v>9593.184663475</v>
      </c>
      <c r="E29" s="32">
        <f>E25+E27</f>
        <v>9945.003809725</v>
      </c>
      <c r="F29" s="32">
        <f>F25+F27</f>
        <v>10296.822955975</v>
      </c>
      <c r="G29" s="32">
        <f>G25+G27</f>
        <v>10737.091402225</v>
      </c>
      <c r="H29" s="32">
        <f>H25+H27</f>
        <v>11088.910548475</v>
      </c>
      <c r="I29" s="32"/>
      <c r="K29" s="3"/>
    </row>
    <row r="30" spans="1:11" ht="13.5" thickBot="1">
      <c r="A30" s="83"/>
      <c r="B30" s="84"/>
      <c r="C30" s="84"/>
      <c r="D30" s="35"/>
      <c r="E30" s="35"/>
      <c r="F30" s="35"/>
      <c r="G30" s="35"/>
      <c r="H30" s="35"/>
      <c r="I30" s="35"/>
      <c r="K30" s="3"/>
    </row>
    <row r="31" spans="1:11" ht="25.5" customHeight="1" thickBot="1">
      <c r="A31" s="223" t="s">
        <v>40</v>
      </c>
      <c r="B31" s="219"/>
      <c r="C31" s="230"/>
      <c r="D31" s="32">
        <f>D29/D5</f>
        <v>2398.29616586875</v>
      </c>
      <c r="E31" s="32">
        <f>E29/E5</f>
        <v>2210.0008466055556</v>
      </c>
      <c r="F31" s="32">
        <f>F29/F5</f>
        <v>2059.364591195</v>
      </c>
      <c r="G31" s="32">
        <f>G29/G5</f>
        <v>1952.1984367681819</v>
      </c>
      <c r="H31" s="32">
        <f>H29/H5</f>
        <v>1848.1517580791667</v>
      </c>
      <c r="I31" s="32"/>
      <c r="K31" s="3"/>
    </row>
    <row r="32" spans="1:11" ht="13.5" thickBot="1">
      <c r="A32" s="83"/>
      <c r="B32" s="84"/>
      <c r="C32" s="84"/>
      <c r="D32" s="35"/>
      <c r="E32" s="11"/>
      <c r="F32" s="11"/>
      <c r="G32" s="11"/>
      <c r="H32" s="11"/>
      <c r="I32" s="11"/>
      <c r="K32" s="15"/>
    </row>
    <row r="33" spans="1:11" ht="13.5" thickBot="1">
      <c r="A33" s="81" t="s">
        <v>41</v>
      </c>
      <c r="B33" s="91"/>
      <c r="C33" s="91"/>
      <c r="D33" s="32">
        <f>'Pryse + Sensatiwiteitsanalise'!D6</f>
        <v>63</v>
      </c>
      <c r="E33" s="32">
        <f>$D$33</f>
        <v>63</v>
      </c>
      <c r="F33" s="32">
        <f>$D$33</f>
        <v>63</v>
      </c>
      <c r="G33" s="32">
        <f>$D$33</f>
        <v>63</v>
      </c>
      <c r="H33" s="32">
        <f>$D$33</f>
        <v>63</v>
      </c>
      <c r="I33" s="32"/>
      <c r="K33" s="15"/>
    </row>
    <row r="34" spans="1:11" ht="13.5" thickBot="1">
      <c r="A34" s="83"/>
      <c r="B34" s="84"/>
      <c r="C34" s="84"/>
      <c r="D34" s="35"/>
      <c r="E34" s="35"/>
      <c r="F34" s="35"/>
      <c r="G34" s="35"/>
      <c r="H34" s="35"/>
      <c r="I34" s="35"/>
      <c r="K34" s="15"/>
    </row>
    <row r="35" spans="1:11" ht="13.5" thickBot="1">
      <c r="A35" s="218" t="s">
        <v>42</v>
      </c>
      <c r="B35" s="219"/>
      <c r="C35" s="230"/>
      <c r="D35" s="34">
        <f>D31+D33</f>
        <v>2461.29616586875</v>
      </c>
      <c r="E35" s="34">
        <f>E31+E33</f>
        <v>2273.0008466055556</v>
      </c>
      <c r="F35" s="34">
        <f>F31+F33</f>
        <v>2122.364591195</v>
      </c>
      <c r="G35" s="34">
        <f>G31+G33</f>
        <v>2015.1984367681819</v>
      </c>
      <c r="H35" s="34">
        <f>H31+H33</f>
        <v>1911.1517580791667</v>
      </c>
      <c r="I35" s="34"/>
      <c r="K35" s="15"/>
    </row>
    <row r="36" spans="1:11" ht="13.5" thickBot="1">
      <c r="A36" s="77" t="s">
        <v>44</v>
      </c>
      <c r="B36" s="78"/>
      <c r="C36" s="79"/>
      <c r="D36" s="34">
        <f>'Pryse + Sensatiwiteitsanalise'!B6</f>
        <v>2600</v>
      </c>
      <c r="E36" s="34">
        <f>$D$36</f>
        <v>2600</v>
      </c>
      <c r="F36" s="34">
        <f>$D$36</f>
        <v>2600</v>
      </c>
      <c r="G36" s="34">
        <f>$D$36</f>
        <v>2600</v>
      </c>
      <c r="H36" s="34">
        <f>$D$36</f>
        <v>2600</v>
      </c>
      <c r="I36" s="27"/>
      <c r="K36" s="3"/>
    </row>
    <row r="37" spans="1:9" ht="15">
      <c r="A37" s="101" t="s">
        <v>45</v>
      </c>
      <c r="B37" s="100"/>
      <c r="C37" s="100"/>
      <c r="D37" s="100"/>
      <c r="E37" s="100"/>
      <c r="F37" s="100"/>
      <c r="G37" s="100"/>
      <c r="H37" s="99"/>
      <c r="I37" s="102"/>
    </row>
    <row r="38" spans="1:9" ht="15">
      <c r="A38" s="98" t="s">
        <v>46</v>
      </c>
      <c r="B38" s="97"/>
      <c r="C38" s="97"/>
      <c r="D38" s="97"/>
      <c r="E38" s="97"/>
      <c r="F38" s="97"/>
      <c r="G38" s="97"/>
      <c r="H38" s="96"/>
      <c r="I38" s="102"/>
    </row>
    <row r="39" spans="1:9" ht="15.75" thickBot="1">
      <c r="A39" s="95" t="s">
        <v>47</v>
      </c>
      <c r="B39" s="94"/>
      <c r="C39" s="94"/>
      <c r="D39" s="94"/>
      <c r="E39" s="94"/>
      <c r="F39" s="94"/>
      <c r="G39" s="94"/>
      <c r="H39" s="93"/>
      <c r="I39" s="102"/>
    </row>
  </sheetData>
  <sheetProtection/>
  <mergeCells count="10">
    <mergeCell ref="K7:M7"/>
    <mergeCell ref="A29:C29"/>
    <mergeCell ref="A31:C31"/>
    <mergeCell ref="A35:C35"/>
    <mergeCell ref="E1:G1"/>
    <mergeCell ref="A1:D1"/>
    <mergeCell ref="A3:C3"/>
    <mergeCell ref="A8:C8"/>
    <mergeCell ref="A25:C25"/>
    <mergeCell ref="A27:C27"/>
  </mergeCells>
  <printOptions/>
  <pageMargins left="0.35433070866141736" right="0.35433070866141736" top="0.5905511811023623" bottom="0.5905511811023623" header="0.31496062992125984" footer="0.31496062992125984"/>
  <pageSetup fitToHeight="0" fitToWidth="1" horizontalDpi="600" verticalDpi="600" orientation="portrait" paperSize="9" scale="59" r:id="rId2"/>
  <headerFooter alignWithMargins="0">
    <oddHeader>&amp;C&amp;F</oddHeader>
    <oddFooter>&amp;C&amp;A&amp;RPage &amp;P</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K44"/>
  <sheetViews>
    <sheetView zoomScale="85" zoomScaleNormal="85" zoomScalePageLayoutView="0" workbookViewId="0" topLeftCell="A1">
      <selection activeCell="J25" sqref="J25"/>
    </sheetView>
  </sheetViews>
  <sheetFormatPr defaultColWidth="9.140625" defaultRowHeight="12.75"/>
  <cols>
    <col min="1" max="1" width="42.8515625" style="1" customWidth="1"/>
    <col min="2" max="2" width="15.7109375" style="1" bestFit="1" customWidth="1"/>
    <col min="3" max="4" width="14.421875" style="1" customWidth="1"/>
    <col min="5" max="9" width="14.28125" style="1" customWidth="1"/>
    <col min="10" max="10" width="14.421875" style="1" customWidth="1"/>
    <col min="11" max="11" width="12.7109375" style="1" customWidth="1"/>
    <col min="12" max="26" width="12.7109375" style="1" hidden="1" customWidth="1"/>
    <col min="27" max="27" width="0" style="1" hidden="1" customWidth="1"/>
    <col min="28" max="16384" width="9.140625" style="1" customWidth="1"/>
  </cols>
  <sheetData>
    <row r="1" spans="1:11" ht="30" customHeight="1" thickBot="1">
      <c r="A1" s="215" t="s">
        <v>49</v>
      </c>
      <c r="B1" s="216"/>
      <c r="C1" s="216"/>
      <c r="D1" s="216"/>
      <c r="E1" s="217" t="s">
        <v>79</v>
      </c>
      <c r="F1" s="217"/>
      <c r="G1" s="217"/>
      <c r="H1" s="2"/>
      <c r="I1" s="16"/>
      <c r="J1" s="15"/>
      <c r="K1" s="15"/>
    </row>
    <row r="2" spans="1:11" ht="16.5" thickBot="1">
      <c r="A2" s="17"/>
      <c r="B2" s="18"/>
      <c r="C2" s="19"/>
      <c r="D2" s="19"/>
      <c r="E2" s="10"/>
      <c r="F2" s="10"/>
      <c r="G2" s="10"/>
      <c r="H2" s="10"/>
      <c r="I2" s="4"/>
      <c r="J2" s="3"/>
      <c r="K2" s="15"/>
    </row>
    <row r="3" spans="1:11" ht="24.75" customHeight="1" thickBot="1">
      <c r="A3" s="218" t="s">
        <v>16</v>
      </c>
      <c r="B3" s="219"/>
      <c r="C3" s="219"/>
      <c r="D3" s="29"/>
      <c r="E3" s="37">
        <f>'Pryse + Sensatiwiteitsanalise'!B19</f>
        <v>2011</v>
      </c>
      <c r="F3" s="29" t="s">
        <v>0</v>
      </c>
      <c r="G3" s="20"/>
      <c r="H3" s="20"/>
      <c r="I3" s="5"/>
      <c r="K3" s="15"/>
    </row>
    <row r="4" spans="1:11" ht="13.5" thickBot="1">
      <c r="A4" s="80"/>
      <c r="B4" s="90"/>
      <c r="C4" s="90"/>
      <c r="D4" s="6"/>
      <c r="E4" s="9"/>
      <c r="F4" s="21"/>
      <c r="G4" s="7"/>
      <c r="H4" s="22"/>
      <c r="I4" s="22"/>
      <c r="J4" s="3"/>
      <c r="K4" s="15"/>
    </row>
    <row r="5" spans="1:11" ht="13.5" thickBot="1">
      <c r="A5" s="80" t="s">
        <v>17</v>
      </c>
      <c r="B5" s="90"/>
      <c r="C5" s="90"/>
      <c r="D5" s="41">
        <v>8</v>
      </c>
      <c r="E5" s="41">
        <v>10</v>
      </c>
      <c r="F5" s="41">
        <v>12</v>
      </c>
      <c r="G5" s="41">
        <v>14</v>
      </c>
      <c r="H5" s="41">
        <v>0</v>
      </c>
      <c r="I5" s="41">
        <v>0</v>
      </c>
      <c r="J5" s="3"/>
      <c r="K5" s="15"/>
    </row>
    <row r="6" spans="1:11" ht="13.5" thickBot="1">
      <c r="A6" s="81" t="s">
        <v>18</v>
      </c>
      <c r="B6" s="91"/>
      <c r="C6" s="92"/>
      <c r="D6" s="36">
        <f aca="true" t="shared" si="0" ref="D6:I6">$E$3*D5</f>
        <v>16088</v>
      </c>
      <c r="E6" s="36">
        <f t="shared" si="0"/>
        <v>20110</v>
      </c>
      <c r="F6" s="36">
        <f t="shared" si="0"/>
        <v>24132</v>
      </c>
      <c r="G6" s="36">
        <f t="shared" si="0"/>
        <v>28154</v>
      </c>
      <c r="H6" s="36">
        <f t="shared" si="0"/>
        <v>0</v>
      </c>
      <c r="I6" s="36">
        <f t="shared" si="0"/>
        <v>0</v>
      </c>
      <c r="J6" s="3"/>
      <c r="K6" s="15"/>
    </row>
    <row r="7" spans="1:11" ht="13.5" thickBot="1">
      <c r="A7" s="83"/>
      <c r="B7" s="84"/>
      <c r="C7" s="84"/>
      <c r="D7" s="39"/>
      <c r="E7" s="39"/>
      <c r="F7" s="39"/>
      <c r="G7" s="39"/>
      <c r="H7" s="39"/>
      <c r="I7" s="39"/>
      <c r="J7" s="3"/>
      <c r="K7" s="15"/>
    </row>
    <row r="8" spans="1:11" ht="13.5" thickBot="1">
      <c r="A8" s="220" t="s">
        <v>19</v>
      </c>
      <c r="B8" s="221"/>
      <c r="C8" s="222"/>
      <c r="D8" s="40"/>
      <c r="E8" s="40"/>
      <c r="F8" s="40"/>
      <c r="G8" s="40"/>
      <c r="H8" s="40"/>
      <c r="I8" s="40"/>
      <c r="J8" s="3"/>
      <c r="K8" s="15"/>
    </row>
    <row r="9" spans="1:11" ht="12.75">
      <c r="A9" s="85" t="s">
        <v>20</v>
      </c>
      <c r="B9" s="86"/>
      <c r="C9" s="86"/>
      <c r="D9" s="158">
        <v>3062.8125</v>
      </c>
      <c r="E9" s="158">
        <v>3619.6875</v>
      </c>
      <c r="F9" s="158">
        <v>4455</v>
      </c>
      <c r="G9" s="158">
        <v>5568.75</v>
      </c>
      <c r="H9" s="30">
        <v>0</v>
      </c>
      <c r="I9" s="30">
        <v>0</v>
      </c>
      <c r="J9" s="3"/>
      <c r="K9" s="15"/>
    </row>
    <row r="10" spans="1:11" ht="12.75">
      <c r="A10" s="82" t="s">
        <v>21</v>
      </c>
      <c r="B10" s="87"/>
      <c r="C10" s="87"/>
      <c r="D10" s="157">
        <v>5014.8</v>
      </c>
      <c r="E10" s="157">
        <v>6084</v>
      </c>
      <c r="F10" s="157">
        <v>7282.799999999999</v>
      </c>
      <c r="G10" s="157">
        <v>8069</v>
      </c>
      <c r="H10" s="31">
        <v>0</v>
      </c>
      <c r="I10" s="31">
        <v>0</v>
      </c>
      <c r="J10" s="3"/>
      <c r="K10" s="15"/>
    </row>
    <row r="11" spans="1:11" ht="12.75">
      <c r="A11" s="82" t="s">
        <v>22</v>
      </c>
      <c r="B11" s="87"/>
      <c r="C11" s="87"/>
      <c r="D11" s="157">
        <v>199.79999999999998</v>
      </c>
      <c r="E11" s="157">
        <v>199.79999999999998</v>
      </c>
      <c r="F11" s="157">
        <v>199.79999999999998</v>
      </c>
      <c r="G11" s="157">
        <v>199.79999999999998</v>
      </c>
      <c r="H11" s="31">
        <v>0</v>
      </c>
      <c r="I11" s="31">
        <v>0</v>
      </c>
      <c r="J11" s="3"/>
      <c r="K11" s="15"/>
    </row>
    <row r="12" spans="1:11" ht="12.75">
      <c r="A12" s="82" t="s">
        <v>23</v>
      </c>
      <c r="B12" s="87"/>
      <c r="C12" s="87"/>
      <c r="D12" s="157">
        <v>1352.4742800000001</v>
      </c>
      <c r="E12" s="157">
        <v>1411.0322800000004</v>
      </c>
      <c r="F12" s="157">
        <v>1469.5902800000003</v>
      </c>
      <c r="G12" s="157">
        <v>1528.1482800000003</v>
      </c>
      <c r="H12" s="31">
        <v>0</v>
      </c>
      <c r="I12" s="31">
        <v>0</v>
      </c>
      <c r="J12" s="3"/>
      <c r="K12" s="15"/>
    </row>
    <row r="13" spans="1:11" ht="12.75">
      <c r="A13" s="82" t="s">
        <v>24</v>
      </c>
      <c r="B13" s="87"/>
      <c r="C13" s="87"/>
      <c r="D13" s="157">
        <v>787.2518399999999</v>
      </c>
      <c r="E13" s="157">
        <v>802.4638399999999</v>
      </c>
      <c r="F13" s="157">
        <v>817.6758399999999</v>
      </c>
      <c r="G13" s="157">
        <v>832.8878399999999</v>
      </c>
      <c r="H13" s="31">
        <v>0</v>
      </c>
      <c r="I13" s="31">
        <v>0</v>
      </c>
      <c r="J13" s="3"/>
      <c r="K13" s="15"/>
    </row>
    <row r="14" spans="1:11" ht="12.75">
      <c r="A14" s="82" t="s">
        <v>25</v>
      </c>
      <c r="B14" s="87"/>
      <c r="C14" s="87"/>
      <c r="D14" s="157">
        <v>996.0519999999999</v>
      </c>
      <c r="E14" s="157">
        <v>996.0519999999999</v>
      </c>
      <c r="F14" s="157">
        <v>996.0519999999999</v>
      </c>
      <c r="G14" s="157">
        <v>996.0519999999999</v>
      </c>
      <c r="H14" s="31">
        <v>0</v>
      </c>
      <c r="I14" s="31">
        <v>0</v>
      </c>
      <c r="J14" s="3"/>
      <c r="K14" s="15"/>
    </row>
    <row r="15" spans="1:11" ht="12.75">
      <c r="A15" s="82" t="s">
        <v>26</v>
      </c>
      <c r="B15" s="87"/>
      <c r="C15" s="87"/>
      <c r="D15" s="157">
        <v>602.56</v>
      </c>
      <c r="E15" s="157">
        <v>602.56</v>
      </c>
      <c r="F15" s="157">
        <v>602.56</v>
      </c>
      <c r="G15" s="157">
        <v>602.56</v>
      </c>
      <c r="H15" s="31">
        <v>0</v>
      </c>
      <c r="I15" s="31">
        <v>0</v>
      </c>
      <c r="J15" s="3"/>
      <c r="K15" s="15"/>
    </row>
    <row r="16" spans="1:11" ht="12.75">
      <c r="A16" s="82" t="s">
        <v>27</v>
      </c>
      <c r="B16" s="87"/>
      <c r="C16" s="87"/>
      <c r="D16" s="157">
        <v>0</v>
      </c>
      <c r="E16" s="157">
        <v>0</v>
      </c>
      <c r="F16" s="157">
        <v>0</v>
      </c>
      <c r="G16" s="157">
        <v>0</v>
      </c>
      <c r="H16" s="31">
        <v>0</v>
      </c>
      <c r="I16" s="31">
        <v>0</v>
      </c>
      <c r="J16" s="3"/>
      <c r="K16" s="15"/>
    </row>
    <row r="17" spans="1:11" ht="12.75">
      <c r="A17" s="82" t="s">
        <v>28</v>
      </c>
      <c r="B17" s="87"/>
      <c r="C17" s="87"/>
      <c r="D17" s="157">
        <v>6226.707200000001</v>
      </c>
      <c r="E17" s="157">
        <v>6226.707200000001</v>
      </c>
      <c r="F17" s="157">
        <v>6226.707200000001</v>
      </c>
      <c r="G17" s="157">
        <v>6226.707200000001</v>
      </c>
      <c r="H17" s="31">
        <v>0</v>
      </c>
      <c r="I17" s="31">
        <v>0</v>
      </c>
      <c r="J17" s="3"/>
      <c r="K17" s="15"/>
    </row>
    <row r="18" spans="1:11" ht="12.75">
      <c r="A18" s="82" t="s">
        <v>29</v>
      </c>
      <c r="B18" s="87"/>
      <c r="C18" s="87"/>
      <c r="D18" s="157">
        <v>1893.9960039781201</v>
      </c>
      <c r="E18" s="157">
        <v>2078.2091317752365</v>
      </c>
      <c r="F18" s="157">
        <v>2303.0028165091994</v>
      </c>
      <c r="G18" s="157">
        <v>2514.453636996519</v>
      </c>
      <c r="H18" s="31">
        <v>0</v>
      </c>
      <c r="I18" s="31">
        <v>0</v>
      </c>
      <c r="J18" s="3"/>
      <c r="K18" s="15"/>
    </row>
    <row r="19" spans="1:11" ht="12.75">
      <c r="A19" s="82" t="s">
        <v>30</v>
      </c>
      <c r="B19" s="87"/>
      <c r="C19" s="87"/>
      <c r="D19" s="157">
        <v>0</v>
      </c>
      <c r="E19" s="157">
        <v>0</v>
      </c>
      <c r="F19" s="157">
        <v>0</v>
      </c>
      <c r="G19" s="157">
        <v>0</v>
      </c>
      <c r="H19" s="31">
        <v>0</v>
      </c>
      <c r="I19" s="31">
        <v>0</v>
      </c>
      <c r="J19" s="3"/>
      <c r="K19" s="15"/>
    </row>
    <row r="20" spans="1:11" ht="12.75">
      <c r="A20" s="82" t="s">
        <v>31</v>
      </c>
      <c r="B20" s="87"/>
      <c r="C20" s="87"/>
      <c r="D20" s="157">
        <v>609.672</v>
      </c>
      <c r="E20" s="157">
        <v>762.09</v>
      </c>
      <c r="F20" s="157">
        <v>914.5079999999999</v>
      </c>
      <c r="G20" s="157">
        <v>1066.926</v>
      </c>
      <c r="H20" s="31">
        <v>0</v>
      </c>
      <c r="I20" s="31">
        <v>0</v>
      </c>
      <c r="J20" s="3"/>
      <c r="K20" s="15"/>
    </row>
    <row r="21" spans="1:11" ht="12.75">
      <c r="A21" s="82" t="s">
        <v>32</v>
      </c>
      <c r="B21" s="87"/>
      <c r="C21" s="87"/>
      <c r="D21" s="157">
        <v>0</v>
      </c>
      <c r="E21" s="157">
        <v>0</v>
      </c>
      <c r="F21" s="157">
        <v>0</v>
      </c>
      <c r="G21" s="157">
        <v>0</v>
      </c>
      <c r="H21" s="31">
        <v>0</v>
      </c>
      <c r="I21" s="31">
        <v>0</v>
      </c>
      <c r="J21" s="3"/>
      <c r="K21" s="15"/>
    </row>
    <row r="22" spans="1:11" s="13" customFormat="1" ht="12.75">
      <c r="A22" s="82" t="s">
        <v>33</v>
      </c>
      <c r="B22" s="87"/>
      <c r="C22" s="87"/>
      <c r="D22" s="157">
        <v>192</v>
      </c>
      <c r="E22" s="157">
        <v>192</v>
      </c>
      <c r="F22" s="157">
        <v>192</v>
      </c>
      <c r="G22" s="157">
        <v>192</v>
      </c>
      <c r="H22" s="31">
        <v>0</v>
      </c>
      <c r="I22" s="31">
        <v>0</v>
      </c>
      <c r="J22" s="3"/>
      <c r="K22" s="12"/>
    </row>
    <row r="23" spans="1:11" s="13" customFormat="1" ht="12.75">
      <c r="A23" s="82" t="s">
        <v>34</v>
      </c>
      <c r="B23" s="87"/>
      <c r="C23" s="87"/>
      <c r="D23" s="157">
        <v>0</v>
      </c>
      <c r="E23" s="157">
        <v>0</v>
      </c>
      <c r="F23" s="157">
        <v>0</v>
      </c>
      <c r="G23" s="157">
        <v>0</v>
      </c>
      <c r="H23" s="31">
        <v>0</v>
      </c>
      <c r="I23" s="31">
        <v>0</v>
      </c>
      <c r="J23" s="3"/>
      <c r="K23" s="12"/>
    </row>
    <row r="24" spans="1:11" s="13" customFormat="1" ht="12.75">
      <c r="A24" s="82" t="s">
        <v>35</v>
      </c>
      <c r="B24" s="87"/>
      <c r="C24" s="87"/>
      <c r="D24" s="157">
        <v>0</v>
      </c>
      <c r="E24" s="157">
        <v>0</v>
      </c>
      <c r="F24" s="157">
        <v>0</v>
      </c>
      <c r="G24" s="157">
        <v>0</v>
      </c>
      <c r="H24" s="31">
        <v>0</v>
      </c>
      <c r="I24" s="31">
        <v>0</v>
      </c>
      <c r="J24" s="3"/>
      <c r="K24" s="12"/>
    </row>
    <row r="25" spans="1:11" s="13" customFormat="1" ht="13.5" thickBot="1">
      <c r="A25" s="82" t="s">
        <v>36</v>
      </c>
      <c r="B25" s="87"/>
      <c r="C25" s="87"/>
      <c r="D25" s="157">
        <v>1203.9422348787418</v>
      </c>
      <c r="E25" s="157">
        <v>1321.039612227076</v>
      </c>
      <c r="F25" s="157">
        <v>1463.932527849279</v>
      </c>
      <c r="G25" s="157">
        <v>1598.3438850273003</v>
      </c>
      <c r="H25" s="31">
        <v>0</v>
      </c>
      <c r="I25" s="31">
        <v>0</v>
      </c>
      <c r="J25" s="3"/>
      <c r="K25" s="12"/>
    </row>
    <row r="26" spans="1:11" s="13" customFormat="1" ht="13.5" thickBot="1">
      <c r="A26" s="223" t="s">
        <v>37</v>
      </c>
      <c r="B26" s="224"/>
      <c r="C26" s="225"/>
      <c r="D26" s="32">
        <f>SUM(D9:D25)</f>
        <v>22142.068058856865</v>
      </c>
      <c r="E26" s="32">
        <f>SUM(E9:E25)</f>
        <v>24295.641564002308</v>
      </c>
      <c r="F26" s="32">
        <f>SUM(F9:F25)</f>
        <v>26923.62866435848</v>
      </c>
      <c r="G26" s="32">
        <f>SUM(G9:G25)</f>
        <v>29395.62884202382</v>
      </c>
      <c r="H26" s="32">
        <v>0</v>
      </c>
      <c r="I26" s="32">
        <v>0</v>
      </c>
      <c r="J26" s="3"/>
      <c r="K26" s="12"/>
    </row>
    <row r="27" spans="1:11" s="13" customFormat="1" ht="13.5" thickBot="1">
      <c r="A27" s="88"/>
      <c r="B27" s="89"/>
      <c r="C27" s="89"/>
      <c r="D27" s="33"/>
      <c r="E27" s="33"/>
      <c r="F27" s="33"/>
      <c r="G27" s="33"/>
      <c r="H27" s="33"/>
      <c r="I27" s="33"/>
      <c r="J27" s="3"/>
      <c r="K27" s="12"/>
    </row>
    <row r="28" spans="1:11" ht="13.5" thickBot="1">
      <c r="A28" s="227" t="s">
        <v>38</v>
      </c>
      <c r="B28" s="228"/>
      <c r="C28" s="229"/>
      <c r="D28" s="159">
        <v>3855.4500000000003</v>
      </c>
      <c r="E28" s="32">
        <f>D28</f>
        <v>3855.4500000000003</v>
      </c>
      <c r="F28" s="32">
        <f>E28</f>
        <v>3855.4500000000003</v>
      </c>
      <c r="G28" s="32">
        <f>F28</f>
        <v>3855.4500000000003</v>
      </c>
      <c r="H28" s="32"/>
      <c r="I28" s="32"/>
      <c r="J28" s="28"/>
      <c r="K28" s="3"/>
    </row>
    <row r="29" spans="1:11" ht="13.5" thickBot="1">
      <c r="A29" s="88"/>
      <c r="B29" s="89"/>
      <c r="C29" s="89"/>
      <c r="D29" s="33"/>
      <c r="E29" s="33"/>
      <c r="F29" s="33"/>
      <c r="G29" s="33"/>
      <c r="H29" s="33"/>
      <c r="I29" s="33"/>
      <c r="J29" s="3"/>
      <c r="K29" s="15"/>
    </row>
    <row r="30" spans="1:11" ht="27" customHeight="1" thickBot="1">
      <c r="A30" s="223" t="s">
        <v>39</v>
      </c>
      <c r="B30" s="224"/>
      <c r="C30" s="225"/>
      <c r="D30" s="32">
        <f>D26+D28</f>
        <v>25997.518058856866</v>
      </c>
      <c r="E30" s="32">
        <f>E26+E28</f>
        <v>28151.09156400231</v>
      </c>
      <c r="F30" s="32">
        <f>F26+F28</f>
        <v>30779.07866435848</v>
      </c>
      <c r="G30" s="32">
        <f>G26+G28</f>
        <v>33251.07884202382</v>
      </c>
      <c r="H30" s="32">
        <v>0</v>
      </c>
      <c r="I30" s="32">
        <v>0</v>
      </c>
      <c r="J30" s="3"/>
      <c r="K30" s="15"/>
    </row>
    <row r="31" spans="1:11" ht="13.5" thickBot="1">
      <c r="A31" s="83"/>
      <c r="B31" s="84"/>
      <c r="C31" s="84"/>
      <c r="D31" s="35"/>
      <c r="E31" s="35"/>
      <c r="F31" s="35"/>
      <c r="G31" s="35"/>
      <c r="H31" s="35"/>
      <c r="I31" s="35"/>
      <c r="J31" s="3"/>
      <c r="K31" s="15"/>
    </row>
    <row r="32" spans="1:11" ht="24" customHeight="1" thickBot="1">
      <c r="A32" s="223" t="s">
        <v>40</v>
      </c>
      <c r="B32" s="219"/>
      <c r="C32" s="230"/>
      <c r="D32" s="32">
        <f>D30/D5</f>
        <v>3249.689757357108</v>
      </c>
      <c r="E32" s="32">
        <f>E30/E5</f>
        <v>2815.109156400231</v>
      </c>
      <c r="F32" s="32">
        <f>F30/F5</f>
        <v>2564.923222029873</v>
      </c>
      <c r="G32" s="32">
        <f>G30/G5</f>
        <v>2375.0770601445583</v>
      </c>
      <c r="H32" s="32">
        <v>0</v>
      </c>
      <c r="I32" s="32">
        <v>0</v>
      </c>
      <c r="J32" s="3"/>
      <c r="K32" s="15"/>
    </row>
    <row r="33" spans="1:11" ht="13.5" thickBot="1">
      <c r="A33" s="83"/>
      <c r="B33" s="84"/>
      <c r="C33" s="84"/>
      <c r="D33" s="35"/>
      <c r="E33" s="35"/>
      <c r="F33" s="35"/>
      <c r="G33" s="35"/>
      <c r="H33" s="35"/>
      <c r="I33" s="35"/>
      <c r="J33" s="3"/>
      <c r="K33" s="15"/>
    </row>
    <row r="34" spans="1:11" ht="13.5" thickBot="1">
      <c r="A34" s="81" t="s">
        <v>41</v>
      </c>
      <c r="B34" s="91"/>
      <c r="C34" s="91"/>
      <c r="D34" s="32">
        <f>'Pryse + Sensatiwiteitsanalise'!D4</f>
        <v>289</v>
      </c>
      <c r="E34" s="32">
        <f>$D$34</f>
        <v>289</v>
      </c>
      <c r="F34" s="32">
        <f>$D$34</f>
        <v>289</v>
      </c>
      <c r="G34" s="32">
        <f>$D$34</f>
        <v>289</v>
      </c>
      <c r="H34" s="32">
        <v>0</v>
      </c>
      <c r="I34" s="32">
        <v>0</v>
      </c>
      <c r="J34" s="3"/>
      <c r="K34" s="3"/>
    </row>
    <row r="35" spans="1:11" ht="13.5" thickBot="1">
      <c r="A35" s="83"/>
      <c r="B35" s="84"/>
      <c r="C35" s="84"/>
      <c r="D35" s="35"/>
      <c r="E35" s="35"/>
      <c r="F35" s="35"/>
      <c r="G35" s="35"/>
      <c r="H35" s="35"/>
      <c r="I35" s="35"/>
      <c r="J35" s="3"/>
      <c r="K35" s="3"/>
    </row>
    <row r="36" spans="1:10" ht="13.5" thickBot="1">
      <c r="A36" s="218" t="s">
        <v>42</v>
      </c>
      <c r="B36" s="219"/>
      <c r="C36" s="230"/>
      <c r="D36" s="34">
        <f>D32+D34</f>
        <v>3538.689757357108</v>
      </c>
      <c r="E36" s="34">
        <f>E32+E34</f>
        <v>3104.109156400231</v>
      </c>
      <c r="F36" s="34">
        <f>F32+F34</f>
        <v>2853.923222029873</v>
      </c>
      <c r="G36" s="34">
        <f>G32+G34</f>
        <v>2664.0770601445583</v>
      </c>
      <c r="H36" s="34">
        <v>0</v>
      </c>
      <c r="I36" s="34">
        <v>0</v>
      </c>
      <c r="J36" s="3"/>
    </row>
    <row r="37" spans="1:10" ht="13.5" thickBot="1">
      <c r="A37" s="77" t="s">
        <v>70</v>
      </c>
      <c r="B37" s="78"/>
      <c r="C37" s="79"/>
      <c r="D37" s="34">
        <f>'Pryse + Sensatiwiteitsanalise'!B4</f>
        <v>2300</v>
      </c>
      <c r="E37" s="34">
        <f>$D$37</f>
        <v>2300</v>
      </c>
      <c r="F37" s="34">
        <f>$D$37</f>
        <v>2300</v>
      </c>
      <c r="G37" s="34">
        <f>$D$37</f>
        <v>2300</v>
      </c>
      <c r="H37" s="34">
        <v>0</v>
      </c>
      <c r="I37" s="34">
        <v>0</v>
      </c>
      <c r="J37" s="15"/>
    </row>
    <row r="38" spans="1:10" ht="15">
      <c r="A38" s="101" t="s">
        <v>45</v>
      </c>
      <c r="B38" s="100"/>
      <c r="C38" s="100"/>
      <c r="D38" s="100"/>
      <c r="E38" s="100"/>
      <c r="F38" s="100"/>
      <c r="G38" s="100"/>
      <c r="H38" s="99"/>
      <c r="I38" s="102"/>
      <c r="J38" s="102"/>
    </row>
    <row r="39" spans="1:10" ht="15">
      <c r="A39" s="98" t="s">
        <v>46</v>
      </c>
      <c r="B39" s="97"/>
      <c r="C39" s="97"/>
      <c r="D39" s="97"/>
      <c r="E39" s="97"/>
      <c r="F39" s="97"/>
      <c r="G39" s="97"/>
      <c r="H39" s="96"/>
      <c r="I39" s="102"/>
      <c r="J39" s="102"/>
    </row>
    <row r="40" spans="1:10" ht="15.75" thickBot="1">
      <c r="A40" s="95" t="s">
        <v>47</v>
      </c>
      <c r="B40" s="94"/>
      <c r="C40" s="94"/>
      <c r="D40" s="94"/>
      <c r="E40" s="94"/>
      <c r="F40" s="94"/>
      <c r="G40" s="94"/>
      <c r="H40" s="93"/>
      <c r="I40" s="102"/>
      <c r="J40" s="102"/>
    </row>
    <row r="41" spans="1:8" ht="12.75">
      <c r="A41" s="231" t="s">
        <v>48</v>
      </c>
      <c r="B41" s="232"/>
      <c r="C41" s="232"/>
      <c r="D41" s="232"/>
      <c r="E41" s="232"/>
      <c r="F41" s="232"/>
      <c r="G41" s="232"/>
      <c r="H41" s="233"/>
    </row>
    <row r="42" spans="1:8" ht="12.75">
      <c r="A42" s="234"/>
      <c r="B42" s="235"/>
      <c r="C42" s="235"/>
      <c r="D42" s="235"/>
      <c r="E42" s="235"/>
      <c r="F42" s="235"/>
      <c r="G42" s="235"/>
      <c r="H42" s="236"/>
    </row>
    <row r="43" spans="1:8" ht="12.75">
      <c r="A43" s="234"/>
      <c r="B43" s="235"/>
      <c r="C43" s="235"/>
      <c r="D43" s="235"/>
      <c r="E43" s="235"/>
      <c r="F43" s="235"/>
      <c r="G43" s="235"/>
      <c r="H43" s="236"/>
    </row>
    <row r="44" spans="1:8" ht="13.5" thickBot="1">
      <c r="A44" s="237"/>
      <c r="B44" s="238"/>
      <c r="C44" s="238"/>
      <c r="D44" s="238"/>
      <c r="E44" s="238"/>
      <c r="F44" s="238"/>
      <c r="G44" s="238"/>
      <c r="H44" s="239"/>
    </row>
  </sheetData>
  <sheetProtection/>
  <mergeCells count="10">
    <mergeCell ref="A41:H44"/>
    <mergeCell ref="A1:D1"/>
    <mergeCell ref="E1:G1"/>
    <mergeCell ref="A36:C36"/>
    <mergeCell ref="A3:C3"/>
    <mergeCell ref="A8:C8"/>
    <mergeCell ref="A26:C26"/>
    <mergeCell ref="A28:C28"/>
    <mergeCell ref="A30:C30"/>
    <mergeCell ref="A32:C32"/>
  </mergeCells>
  <printOptions/>
  <pageMargins left="0.35433070866141736" right="0.35433070866141736" top="0.5905511811023623" bottom="0.5905511811023623" header="0.31496062992125984" footer="0.31496062992125984"/>
  <pageSetup fitToHeight="0" fitToWidth="1" horizontalDpi="600" verticalDpi="600" orientation="portrait" paperSize="9" scale="62" r:id="rId2"/>
  <headerFooter alignWithMargins="0">
    <oddHeader>&amp;C&amp;F</oddHeader>
    <oddFooter>&amp;C&amp;A&amp;RPage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Private</dc:creator>
  <cp:keywords/>
  <dc:description/>
  <cp:lastModifiedBy>miekie</cp:lastModifiedBy>
  <cp:lastPrinted>2018-08-16T09:17:40Z</cp:lastPrinted>
  <dcterms:created xsi:type="dcterms:W3CDTF">2007-01-09T12:07:13Z</dcterms:created>
  <dcterms:modified xsi:type="dcterms:W3CDTF">2018-09-06T09:13:18Z</dcterms:modified>
  <cp:category/>
  <cp:version/>
  <cp:contentType/>
  <cp:contentStatus/>
</cp:coreProperties>
</file>