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AE231AF6-1543-41E4-A117-08432249CF30}" xr6:coauthVersionLast="47" xr6:coauthVersionMax="47" xr10:uidLastSave="{00000000-0000-0000-0000-000000000000}"/>
  <bookViews>
    <workbookView xWindow="-28920" yWindow="-120" windowWidth="29040" windowHeight="15720" tabRatio="836" firstSheet="2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  <sheet name="Lewerings tot datum (TM)1" sheetId="29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65" i="6"/>
  <c r="U65" i="6"/>
  <c r="T65" i="17"/>
  <c r="U65" i="17"/>
  <c r="S64" i="16"/>
  <c r="T64" i="16" s="1"/>
  <c r="O62" i="1"/>
  <c r="K62" i="1"/>
  <c r="G62" i="1"/>
  <c r="U64" i="17" l="1"/>
  <c r="U63" i="17"/>
  <c r="G79" i="6"/>
  <c r="E20" i="21" s="1"/>
  <c r="H79" i="6"/>
  <c r="I79" i="6"/>
  <c r="J79" i="6"/>
  <c r="J80" i="6" s="1"/>
  <c r="K79" i="6"/>
  <c r="L79" i="6"/>
  <c r="M79" i="6"/>
  <c r="K20" i="21" s="1"/>
  <c r="N79" i="6"/>
  <c r="O79" i="6"/>
  <c r="M20" i="21" s="1"/>
  <c r="P79" i="6"/>
  <c r="Q79" i="6"/>
  <c r="R79" i="6"/>
  <c r="P20" i="21" s="1"/>
  <c r="S79" i="6"/>
  <c r="Q20" i="21" s="1"/>
  <c r="U82" i="17"/>
  <c r="G79" i="17"/>
  <c r="H79" i="17"/>
  <c r="F13" i="21" s="1"/>
  <c r="I79" i="17"/>
  <c r="G13" i="21" s="1"/>
  <c r="J79" i="17"/>
  <c r="J80" i="17" s="1"/>
  <c r="K79" i="17"/>
  <c r="L79" i="17"/>
  <c r="M79" i="17"/>
  <c r="M80" i="17" s="1"/>
  <c r="N79" i="17"/>
  <c r="O79" i="17"/>
  <c r="O80" i="17" s="1"/>
  <c r="P79" i="17"/>
  <c r="P80" i="17" s="1"/>
  <c r="Q79" i="17"/>
  <c r="R79" i="17"/>
  <c r="R80" i="17" s="1"/>
  <c r="S79" i="17"/>
  <c r="U79" i="17"/>
  <c r="S74" i="16"/>
  <c r="R79" i="16"/>
  <c r="Q7" i="21" s="1"/>
  <c r="F78" i="16"/>
  <c r="E6" i="21" s="1"/>
  <c r="G78" i="16"/>
  <c r="G79" i="16" s="1"/>
  <c r="H78" i="16"/>
  <c r="H79" i="16" s="1"/>
  <c r="I78" i="16"/>
  <c r="J78" i="16"/>
  <c r="I6" i="21" s="1"/>
  <c r="K78" i="16"/>
  <c r="L78" i="16"/>
  <c r="K6" i="21" s="1"/>
  <c r="M78" i="16"/>
  <c r="N78" i="16"/>
  <c r="M6" i="21" s="1"/>
  <c r="O78" i="16"/>
  <c r="P78" i="16"/>
  <c r="O6" i="21" s="1"/>
  <c r="Q78" i="16"/>
  <c r="R78" i="16"/>
  <c r="Q6" i="21"/>
  <c r="U62" i="17"/>
  <c r="F16" i="1"/>
  <c r="S18" i="16" s="1"/>
  <c r="J16" i="1"/>
  <c r="T19" i="17" s="1"/>
  <c r="F17" i="1"/>
  <c r="S19" i="16" s="1"/>
  <c r="J17" i="1"/>
  <c r="T20" i="17" s="1"/>
  <c r="F18" i="1"/>
  <c r="S20" i="16" s="1"/>
  <c r="J18" i="1"/>
  <c r="T21" i="17" s="1"/>
  <c r="F19" i="1"/>
  <c r="S21" i="16" s="1"/>
  <c r="J19" i="1"/>
  <c r="T22" i="17" s="1"/>
  <c r="F20" i="1"/>
  <c r="S22" i="16" s="1"/>
  <c r="T22" i="16" s="1"/>
  <c r="J20" i="1"/>
  <c r="T23" i="17" s="1"/>
  <c r="F21" i="1"/>
  <c r="S23" i="16" s="1"/>
  <c r="J21" i="1"/>
  <c r="T24" i="17" s="1"/>
  <c r="F22" i="1"/>
  <c r="S24" i="16" s="1"/>
  <c r="T24" i="16" s="1"/>
  <c r="J22" i="1"/>
  <c r="T25" i="17" s="1"/>
  <c r="F23" i="1"/>
  <c r="S25" i="16" s="1"/>
  <c r="J23" i="1"/>
  <c r="T26" i="17" s="1"/>
  <c r="F24" i="1"/>
  <c r="S26" i="16" s="1"/>
  <c r="J24" i="1"/>
  <c r="T27" i="17" s="1"/>
  <c r="F25" i="1"/>
  <c r="S27" i="16" s="1"/>
  <c r="J25" i="1"/>
  <c r="T28" i="17" s="1"/>
  <c r="F26" i="1"/>
  <c r="S28" i="16" s="1"/>
  <c r="J26" i="1"/>
  <c r="T29" i="17" s="1"/>
  <c r="F27" i="1"/>
  <c r="S29" i="16" s="1"/>
  <c r="J27" i="1"/>
  <c r="T30" i="17" s="1"/>
  <c r="F28" i="1"/>
  <c r="S30" i="16" s="1"/>
  <c r="J28" i="1"/>
  <c r="T31" i="17" s="1"/>
  <c r="F29" i="1"/>
  <c r="S31" i="16" s="1"/>
  <c r="J29" i="1"/>
  <c r="T32" i="17" s="1"/>
  <c r="F30" i="1"/>
  <c r="S32" i="16" s="1"/>
  <c r="J30" i="1"/>
  <c r="T33" i="17" s="1"/>
  <c r="F31" i="1"/>
  <c r="S33" i="16" s="1"/>
  <c r="T33" i="16" s="1"/>
  <c r="J31" i="1"/>
  <c r="T34" i="17" s="1"/>
  <c r="F32" i="1"/>
  <c r="S34" i="16" s="1"/>
  <c r="J32" i="1"/>
  <c r="T35" i="17" s="1"/>
  <c r="F33" i="1"/>
  <c r="S35" i="16" s="1"/>
  <c r="J33" i="1"/>
  <c r="T36" i="17" s="1"/>
  <c r="F34" i="1"/>
  <c r="S36" i="16" s="1"/>
  <c r="J34" i="1"/>
  <c r="T37" i="17" s="1"/>
  <c r="F35" i="1"/>
  <c r="S37" i="16" s="1"/>
  <c r="T37" i="16" s="1"/>
  <c r="J35" i="1"/>
  <c r="T38" i="17" s="1"/>
  <c r="F36" i="1"/>
  <c r="S38" i="16" s="1"/>
  <c r="J36" i="1"/>
  <c r="T39" i="17" s="1"/>
  <c r="F37" i="1"/>
  <c r="S39" i="16" s="1"/>
  <c r="J37" i="1"/>
  <c r="T40" i="17" s="1"/>
  <c r="F38" i="1"/>
  <c r="S40" i="16" s="1"/>
  <c r="J38" i="1"/>
  <c r="T41" i="17" s="1"/>
  <c r="F39" i="1"/>
  <c r="S41" i="16" s="1"/>
  <c r="J39" i="1"/>
  <c r="T42" i="17" s="1"/>
  <c r="F40" i="1"/>
  <c r="S42" i="16" s="1"/>
  <c r="J40" i="1"/>
  <c r="T43" i="17" s="1"/>
  <c r="F41" i="1"/>
  <c r="S43" i="16" s="1"/>
  <c r="J41" i="1"/>
  <c r="T44" i="17" s="1"/>
  <c r="F42" i="1"/>
  <c r="S44" i="16" s="1"/>
  <c r="J42" i="1"/>
  <c r="T45" i="17" s="1"/>
  <c r="F43" i="1"/>
  <c r="S45" i="16" s="1"/>
  <c r="J43" i="1"/>
  <c r="T46" i="17" s="1"/>
  <c r="F44" i="1"/>
  <c r="S46" i="16" s="1"/>
  <c r="J44" i="1"/>
  <c r="T47" i="17" s="1"/>
  <c r="F45" i="1"/>
  <c r="S47" i="16" s="1"/>
  <c r="J45" i="1"/>
  <c r="T48" i="17" s="1"/>
  <c r="F46" i="1"/>
  <c r="S48" i="16" s="1"/>
  <c r="T48" i="16" s="1"/>
  <c r="J46" i="1"/>
  <c r="T49" i="17" s="1"/>
  <c r="F47" i="1"/>
  <c r="S49" i="16" s="1"/>
  <c r="T49" i="16" s="1"/>
  <c r="J47" i="1"/>
  <c r="T50" i="17" s="1"/>
  <c r="F48" i="1"/>
  <c r="S50" i="16" s="1"/>
  <c r="J48" i="1"/>
  <c r="T51" i="17" s="1"/>
  <c r="F49" i="1"/>
  <c r="S51" i="16" s="1"/>
  <c r="J49" i="1"/>
  <c r="T52" i="17" s="1"/>
  <c r="F50" i="1"/>
  <c r="S52" i="16" s="1"/>
  <c r="T52" i="16" s="1"/>
  <c r="J50" i="1"/>
  <c r="T53" i="17" s="1"/>
  <c r="F51" i="1"/>
  <c r="S53" i="16" s="1"/>
  <c r="J51" i="1"/>
  <c r="T54" i="17" s="1"/>
  <c r="F52" i="1"/>
  <c r="S54" i="16" s="1"/>
  <c r="J52" i="1"/>
  <c r="T55" i="17" s="1"/>
  <c r="F53" i="1"/>
  <c r="S55" i="16" s="1"/>
  <c r="J53" i="1"/>
  <c r="T56" i="17" s="1"/>
  <c r="F54" i="1"/>
  <c r="S56" i="16" s="1"/>
  <c r="J54" i="1"/>
  <c r="T57" i="17" s="1"/>
  <c r="F55" i="1"/>
  <c r="S57" i="16" s="1"/>
  <c r="J55" i="1"/>
  <c r="T58" i="17" s="1"/>
  <c r="F56" i="1"/>
  <c r="S58" i="16" s="1"/>
  <c r="J56" i="1"/>
  <c r="T59" i="17" s="1"/>
  <c r="F57" i="1"/>
  <c r="S59" i="16" s="1"/>
  <c r="J57" i="1"/>
  <c r="T60" i="17" s="1"/>
  <c r="F58" i="1"/>
  <c r="S60" i="16" s="1"/>
  <c r="J58" i="1"/>
  <c r="T61" i="17" s="1"/>
  <c r="T38" i="16"/>
  <c r="T72" i="16"/>
  <c r="T73" i="16"/>
  <c r="F59" i="1"/>
  <c r="S61" i="16" s="1"/>
  <c r="U61" i="17"/>
  <c r="U60" i="17"/>
  <c r="U59" i="17"/>
  <c r="U58" i="17"/>
  <c r="C79" i="6"/>
  <c r="D79" i="6"/>
  <c r="E79" i="6"/>
  <c r="F79" i="6"/>
  <c r="G16" i="1"/>
  <c r="U56" i="17"/>
  <c r="U57" i="17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U55" i="17"/>
  <c r="U51" i="17"/>
  <c r="U52" i="17"/>
  <c r="U53" i="17"/>
  <c r="U54" i="17"/>
  <c r="U50" i="17"/>
  <c r="U49" i="17"/>
  <c r="U48" i="17"/>
  <c r="U47" i="17"/>
  <c r="U46" i="17"/>
  <c r="C10" i="4"/>
  <c r="S17" i="16"/>
  <c r="S77" i="16"/>
  <c r="R74" i="16"/>
  <c r="S73" i="6"/>
  <c r="T78" i="17"/>
  <c r="U44" i="17"/>
  <c r="U45" i="17"/>
  <c r="U43" i="17"/>
  <c r="U42" i="17"/>
  <c r="U41" i="17"/>
  <c r="U39" i="17"/>
  <c r="U40" i="17"/>
  <c r="T74" i="6"/>
  <c r="U80" i="17"/>
  <c r="N79" i="16"/>
  <c r="U73" i="17"/>
  <c r="U74" i="17"/>
  <c r="U73" i="6"/>
  <c r="U78" i="6"/>
  <c r="D5" i="4"/>
  <c r="C5" i="4"/>
  <c r="D79" i="17"/>
  <c r="E79" i="17"/>
  <c r="F79" i="17"/>
  <c r="N74" i="16"/>
  <c r="P75" i="17"/>
  <c r="S16" i="17"/>
  <c r="P16" i="17"/>
  <c r="Q16" i="17"/>
  <c r="Q78" i="17"/>
  <c r="T74" i="16"/>
  <c r="O74" i="16"/>
  <c r="P74" i="16"/>
  <c r="Q74" i="16"/>
  <c r="M74" i="16"/>
  <c r="M7" i="21"/>
  <c r="N6" i="21"/>
  <c r="P6" i="21"/>
  <c r="N5" i="21"/>
  <c r="O5" i="21"/>
  <c r="P5" i="21"/>
  <c r="Q5" i="21"/>
  <c r="R5" i="21"/>
  <c r="M5" i="21"/>
  <c r="S16" i="6"/>
  <c r="Q16" i="6"/>
  <c r="O16" i="6"/>
  <c r="Q79" i="16"/>
  <c r="M17" i="16"/>
  <c r="N17" i="16"/>
  <c r="O17" i="16"/>
  <c r="P17" i="16"/>
  <c r="Q17" i="16"/>
  <c r="R17" i="16"/>
  <c r="L17" i="16"/>
  <c r="N77" i="16"/>
  <c r="P7" i="21"/>
  <c r="Q81" i="16"/>
  <c r="P8" i="21" s="1"/>
  <c r="S5" i="21"/>
  <c r="D10" i="4"/>
  <c r="U30" i="17"/>
  <c r="U19" i="17"/>
  <c r="T16" i="6"/>
  <c r="R16" i="6"/>
  <c r="S15" i="6"/>
  <c r="T15" i="6"/>
  <c r="S14" i="6"/>
  <c r="T14" i="6"/>
  <c r="E5" i="4"/>
  <c r="T16" i="17"/>
  <c r="Q15" i="16"/>
  <c r="R15" i="16"/>
  <c r="S15" i="1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S78" i="17"/>
  <c r="T77" i="16"/>
  <c r="T75" i="17"/>
  <c r="U75" i="17"/>
  <c r="P15" i="16"/>
  <c r="Q14" i="6"/>
  <c r="R77" i="6"/>
  <c r="R12" i="21"/>
  <c r="T18" i="6"/>
  <c r="T78" i="6"/>
  <c r="R19" i="21"/>
  <c r="U11" i="17"/>
  <c r="T5" i="16"/>
  <c r="T6" i="16"/>
  <c r="T7" i="16"/>
  <c r="T8" i="16"/>
  <c r="T9" i="16"/>
  <c r="T10" i="16"/>
  <c r="T4" i="16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L67" i="1"/>
  <c r="N67" i="1"/>
  <c r="J67" i="1"/>
  <c r="F67" i="1"/>
  <c r="M66" i="1"/>
  <c r="N66" i="1" s="1"/>
  <c r="J66" i="1"/>
  <c r="L66" i="1"/>
  <c r="F66" i="1"/>
  <c r="M65" i="1"/>
  <c r="N65" i="1" s="1"/>
  <c r="J65" i="1"/>
  <c r="L65" i="1"/>
  <c r="F65" i="1"/>
  <c r="S67" i="16" s="1"/>
  <c r="M64" i="1"/>
  <c r="N64" i="1" s="1"/>
  <c r="J64" i="1"/>
  <c r="L64" i="1"/>
  <c r="F64" i="1"/>
  <c r="S66" i="16" s="1"/>
  <c r="M63" i="1"/>
  <c r="N63" i="1" s="1"/>
  <c r="J63" i="1"/>
  <c r="L63" i="1"/>
  <c r="F63" i="1"/>
  <c r="S65" i="16" s="1"/>
  <c r="M62" i="1"/>
  <c r="J62" i="1"/>
  <c r="L62" i="1"/>
  <c r="F62" i="1"/>
  <c r="M59" i="1"/>
  <c r="N59" i="1" s="1"/>
  <c r="O59" i="1" s="1"/>
  <c r="L59" i="1"/>
  <c r="M60" i="1"/>
  <c r="M61" i="1"/>
  <c r="J61" i="1"/>
  <c r="T64" i="17" s="1"/>
  <c r="J60" i="1"/>
  <c r="T63" i="17" s="1"/>
  <c r="L61" i="1"/>
  <c r="L60" i="1"/>
  <c r="F61" i="1"/>
  <c r="S63" i="16" s="1"/>
  <c r="F60" i="1"/>
  <c r="S62" i="16" s="1"/>
  <c r="J59" i="1"/>
  <c r="T62" i="17" s="1"/>
  <c r="N56" i="1"/>
  <c r="S71" i="6"/>
  <c r="S72" i="6"/>
  <c r="S77" i="6"/>
  <c r="Q12" i="21"/>
  <c r="S77" i="17"/>
  <c r="S75" i="17"/>
  <c r="R76" i="16"/>
  <c r="J17" i="16"/>
  <c r="R77" i="16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S18" i="6"/>
  <c r="S78" i="6"/>
  <c r="Q19" i="21"/>
  <c r="N54" i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U20" i="17"/>
  <c r="E14" i="1"/>
  <c r="H14" i="1"/>
  <c r="I14" i="1"/>
  <c r="D14" i="1"/>
  <c r="E8" i="4"/>
  <c r="T73" i="6"/>
  <c r="T75" i="6"/>
  <c r="E9" i="4"/>
  <c r="U21" i="17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D78" i="16"/>
  <c r="E78" i="16"/>
  <c r="C6" i="2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/>
  <c r="P77" i="16"/>
  <c r="U22" i="17"/>
  <c r="S21" i="6"/>
  <c r="R20" i="6"/>
  <c r="R19" i="6"/>
  <c r="T15" i="16"/>
  <c r="T17" i="16"/>
  <c r="R18" i="6"/>
  <c r="R78" i="6"/>
  <c r="P12" i="21"/>
  <c r="U23" i="17"/>
  <c r="S22" i="6"/>
  <c r="P19" i="21"/>
  <c r="U24" i="17"/>
  <c r="S23" i="6"/>
  <c r="Q76" i="16"/>
  <c r="S24" i="6"/>
  <c r="U25" i="17"/>
  <c r="U26" i="17"/>
  <c r="S25" i="6"/>
  <c r="Q77" i="16"/>
  <c r="G20" i="21"/>
  <c r="H20" i="21"/>
  <c r="L13" i="21"/>
  <c r="I20" i="21"/>
  <c r="E13" i="21"/>
  <c r="L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/>
  <c r="P80" i="6"/>
  <c r="N21" i="21" s="1"/>
  <c r="O78" i="6"/>
  <c r="M15" i="6"/>
  <c r="B20" i="21"/>
  <c r="C20" i="21"/>
  <c r="D20" i="21"/>
  <c r="P74" i="6"/>
  <c r="L75" i="17"/>
  <c r="Q15" i="6"/>
  <c r="K15" i="16"/>
  <c r="K17" i="16"/>
  <c r="J20" i="21"/>
  <c r="F20" i="21"/>
  <c r="O78" i="17"/>
  <c r="M12" i="21"/>
  <c r="H73" i="6"/>
  <c r="N75" i="6"/>
  <c r="K18" i="6"/>
  <c r="F15" i="6"/>
  <c r="G15" i="6"/>
  <c r="G16" i="6"/>
  <c r="G14" i="17"/>
  <c r="H14" i="17"/>
  <c r="I14" i="17"/>
  <c r="J14" i="17"/>
  <c r="L16" i="17"/>
  <c r="L18" i="17"/>
  <c r="L78" i="17"/>
  <c r="G15" i="17"/>
  <c r="H15" i="17"/>
  <c r="I15" i="17"/>
  <c r="J15" i="17"/>
  <c r="K16" i="17"/>
  <c r="M16" i="17"/>
  <c r="M18" i="17"/>
  <c r="M78" i="17"/>
  <c r="F15" i="17"/>
  <c r="F14" i="17"/>
  <c r="F14" i="16"/>
  <c r="G14" i="16"/>
  <c r="H14" i="16"/>
  <c r="I14" i="16"/>
  <c r="J14" i="16"/>
  <c r="K15" i="6"/>
  <c r="H14" i="6"/>
  <c r="K14" i="6"/>
  <c r="L73" i="16"/>
  <c r="U16" i="17"/>
  <c r="O77" i="16"/>
  <c r="B6" i="21"/>
  <c r="D15" i="16"/>
  <c r="D77" i="16"/>
  <c r="D79" i="16"/>
  <c r="B7" i="21"/>
  <c r="M74" i="17"/>
  <c r="M75" i="17"/>
  <c r="M76" i="16"/>
  <c r="M77" i="16"/>
  <c r="L5" i="21"/>
  <c r="R32" i="6"/>
  <c r="R36" i="6"/>
  <c r="R30" i="6"/>
  <c r="K75" i="17"/>
  <c r="K78" i="6"/>
  <c r="K80" i="6"/>
  <c r="I21" i="21" s="1"/>
  <c r="J74" i="6"/>
  <c r="J75" i="6"/>
  <c r="J87" i="6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/>
  <c r="E74" i="6"/>
  <c r="E75" i="6"/>
  <c r="E87" i="6"/>
  <c r="I74" i="6"/>
  <c r="I75" i="6"/>
  <c r="I87" i="6"/>
  <c r="G18" i="21"/>
  <c r="G11" i="21"/>
  <c r="G12" i="21"/>
  <c r="H16" i="16"/>
  <c r="I17" i="6"/>
  <c r="I17" i="17"/>
  <c r="G73" i="6"/>
  <c r="D16" i="6"/>
  <c r="D78" i="6"/>
  <c r="E16" i="6"/>
  <c r="E18" i="6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K18" i="17"/>
  <c r="E17" i="16"/>
  <c r="E80" i="16"/>
  <c r="K78" i="17"/>
  <c r="K80" i="17"/>
  <c r="K82" i="17" s="1"/>
  <c r="I15" i="21" s="1"/>
  <c r="I14" i="21"/>
  <c r="D18" i="6"/>
  <c r="M13" i="21"/>
  <c r="H16" i="17"/>
  <c r="M19" i="21"/>
  <c r="U15" i="6"/>
  <c r="U27" i="17"/>
  <c r="S26" i="6"/>
  <c r="B19" i="21"/>
  <c r="D80" i="6"/>
  <c r="B21" i="21"/>
  <c r="E78" i="6"/>
  <c r="E80" i="6"/>
  <c r="C21" i="21"/>
  <c r="F16" i="6"/>
  <c r="F78" i="6"/>
  <c r="F80" i="6"/>
  <c r="D21" i="21"/>
  <c r="I12" i="21"/>
  <c r="M74" i="6"/>
  <c r="M75" i="6"/>
  <c r="D17" i="16"/>
  <c r="D80" i="16"/>
  <c r="D81" i="16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/>
  <c r="C5" i="21"/>
  <c r="R26" i="6"/>
  <c r="J14" i="1"/>
  <c r="F14" i="1"/>
  <c r="R31" i="6"/>
  <c r="R34" i="6"/>
  <c r="R23" i="6"/>
  <c r="B5" i="21"/>
  <c r="J80" i="16"/>
  <c r="J77" i="16"/>
  <c r="I5" i="21"/>
  <c r="I15" i="16"/>
  <c r="H75" i="6"/>
  <c r="H87" i="6"/>
  <c r="Q75" i="17"/>
  <c r="M16" i="6"/>
  <c r="M18" i="6"/>
  <c r="M78" i="6"/>
  <c r="M80" i="6"/>
  <c r="K21" i="21" s="1"/>
  <c r="I16" i="17"/>
  <c r="I18" i="17"/>
  <c r="F16" i="17"/>
  <c r="F78" i="17"/>
  <c r="G16" i="17"/>
  <c r="G18" i="17"/>
  <c r="J16" i="17"/>
  <c r="J78" i="17"/>
  <c r="F18" i="6"/>
  <c r="C19" i="21"/>
  <c r="P75" i="6"/>
  <c r="N16" i="6"/>
  <c r="P16" i="6"/>
  <c r="I19" i="21"/>
  <c r="G78" i="6"/>
  <c r="G18" i="6"/>
  <c r="I15" i="6"/>
  <c r="G78" i="17"/>
  <c r="J12" i="21"/>
  <c r="L80" i="17"/>
  <c r="L82" i="17" s="1"/>
  <c r="J15" i="21" s="1"/>
  <c r="K12" i="21"/>
  <c r="D87" i="6"/>
  <c r="L12" i="21"/>
  <c r="N80" i="17"/>
  <c r="L14" i="21" s="1"/>
  <c r="H78" i="17"/>
  <c r="H18" i="17"/>
  <c r="E78" i="17"/>
  <c r="C12" i="21"/>
  <c r="U14" i="6"/>
  <c r="I80" i="17"/>
  <c r="J14" i="6"/>
  <c r="H15" i="6"/>
  <c r="H16" i="6"/>
  <c r="D78" i="17"/>
  <c r="G75" i="6"/>
  <c r="G87" i="6"/>
  <c r="I14" i="6"/>
  <c r="F75" i="6"/>
  <c r="F87" i="6"/>
  <c r="M79" i="16"/>
  <c r="L7" i="21" s="1"/>
  <c r="E81" i="16"/>
  <c r="C8" i="21"/>
  <c r="L16" i="6"/>
  <c r="L18" i="6"/>
  <c r="L78" i="6"/>
  <c r="J15" i="6"/>
  <c r="F15" i="16"/>
  <c r="H15" i="16"/>
  <c r="H17" i="16"/>
  <c r="O79" i="16"/>
  <c r="O81" i="16" s="1"/>
  <c r="N8" i="21" s="1"/>
  <c r="N7" i="21"/>
  <c r="P78" i="17"/>
  <c r="E82" i="6"/>
  <c r="C22" i="21"/>
  <c r="D82" i="6"/>
  <c r="B22" i="21"/>
  <c r="F18" i="17"/>
  <c r="I77" i="16"/>
  <c r="H5" i="21"/>
  <c r="I17" i="16"/>
  <c r="I80" i="16"/>
  <c r="G77" i="16"/>
  <c r="G17" i="16"/>
  <c r="G80" i="16"/>
  <c r="F77" i="16"/>
  <c r="E5" i="21"/>
  <c r="F17" i="16"/>
  <c r="F80" i="16"/>
  <c r="N18" i="6"/>
  <c r="N78" i="6"/>
  <c r="N80" i="6"/>
  <c r="N82" i="6"/>
  <c r="L22" i="21"/>
  <c r="S80" i="17"/>
  <c r="Q14" i="21" s="1"/>
  <c r="Q13" i="21"/>
  <c r="U28" i="17"/>
  <c r="S27" i="6"/>
  <c r="R63" i="6"/>
  <c r="O12" i="21"/>
  <c r="Q80" i="17"/>
  <c r="Q82" i="17"/>
  <c r="O15" i="21"/>
  <c r="R22" i="6"/>
  <c r="R24" i="6"/>
  <c r="R25" i="6"/>
  <c r="I16" i="6"/>
  <c r="I18" i="6"/>
  <c r="K79" i="16"/>
  <c r="J7" i="21" s="1"/>
  <c r="J5" i="21"/>
  <c r="K19" i="21"/>
  <c r="N14" i="1"/>
  <c r="N81" i="16"/>
  <c r="M8" i="21" s="1"/>
  <c r="L77" i="16"/>
  <c r="K5" i="21"/>
  <c r="L80" i="16"/>
  <c r="J16" i="6"/>
  <c r="J18" i="6"/>
  <c r="M81" i="16"/>
  <c r="L8" i="21"/>
  <c r="Q75" i="6"/>
  <c r="R75" i="17"/>
  <c r="R94" i="6"/>
  <c r="D19" i="21"/>
  <c r="U18" i="17"/>
  <c r="U78" i="17"/>
  <c r="U16" i="6"/>
  <c r="U18" i="6"/>
  <c r="J89" i="6"/>
  <c r="F82" i="6"/>
  <c r="D22" i="21"/>
  <c r="E19" i="21"/>
  <c r="G80" i="6"/>
  <c r="G82" i="6" s="1"/>
  <c r="E22" i="21" s="1"/>
  <c r="H78" i="6"/>
  <c r="H80" i="6"/>
  <c r="H82" i="6" s="1"/>
  <c r="F22" i="21" s="1"/>
  <c r="H18" i="6"/>
  <c r="E80" i="17"/>
  <c r="E82" i="17"/>
  <c r="E12" i="21"/>
  <c r="G80" i="17"/>
  <c r="G82" i="17" s="1"/>
  <c r="E15" i="21" s="1"/>
  <c r="I82" i="17"/>
  <c r="G15" i="21" s="1"/>
  <c r="G14" i="21"/>
  <c r="D80" i="17"/>
  <c r="D82" i="17"/>
  <c r="B12" i="21"/>
  <c r="F80" i="17"/>
  <c r="F82" i="17"/>
  <c r="D12" i="21"/>
  <c r="F12" i="21"/>
  <c r="H12" i="21"/>
  <c r="J18" i="17"/>
  <c r="N82" i="17"/>
  <c r="L15" i="21" s="1"/>
  <c r="I79" i="16"/>
  <c r="I81" i="16" s="1"/>
  <c r="H8" i="21" s="1"/>
  <c r="H7" i="21"/>
  <c r="L80" i="6"/>
  <c r="J21" i="21"/>
  <c r="J19" i="21"/>
  <c r="B8" i="21"/>
  <c r="H80" i="16"/>
  <c r="H77" i="16"/>
  <c r="G5" i="21"/>
  <c r="N12" i="21"/>
  <c r="S12" i="21"/>
  <c r="O20" i="21"/>
  <c r="L21" i="21"/>
  <c r="L19" i="21"/>
  <c r="R80" i="6"/>
  <c r="R82" i="6" s="1"/>
  <c r="P22" i="21" s="1"/>
  <c r="F5" i="21"/>
  <c r="F79" i="16"/>
  <c r="F81" i="16"/>
  <c r="E8" i="21"/>
  <c r="S80" i="6"/>
  <c r="S82" i="6" s="1"/>
  <c r="Q22" i="21" s="1"/>
  <c r="Q21" i="21"/>
  <c r="U29" i="17"/>
  <c r="S28" i="6"/>
  <c r="I78" i="6"/>
  <c r="I80" i="6"/>
  <c r="I82" i="6" s="1"/>
  <c r="G22" i="21" s="1"/>
  <c r="J78" i="6"/>
  <c r="Q18" i="6"/>
  <c r="Q78" i="6"/>
  <c r="O19" i="21"/>
  <c r="S19" i="21"/>
  <c r="F19" i="21"/>
  <c r="B14" i="21"/>
  <c r="B15" i="21"/>
  <c r="C14" i="21"/>
  <c r="C15" i="21"/>
  <c r="D15" i="21"/>
  <c r="D14" i="21"/>
  <c r="L82" i="6"/>
  <c r="J22" i="21"/>
  <c r="O13" i="21"/>
  <c r="O14" i="21"/>
  <c r="G19" i="21"/>
  <c r="E7" i="21"/>
  <c r="S29" i="6"/>
  <c r="H19" i="21"/>
  <c r="K14" i="1"/>
  <c r="G14" i="1"/>
  <c r="Q80" i="6"/>
  <c r="Q82" i="6"/>
  <c r="O22" i="21" s="1"/>
  <c r="S30" i="6"/>
  <c r="U31" i="17"/>
  <c r="O21" i="21"/>
  <c r="S31" i="6"/>
  <c r="U32" i="17"/>
  <c r="S32" i="6"/>
  <c r="U33" i="17"/>
  <c r="S33" i="6"/>
  <c r="U34" i="17"/>
  <c r="S34" i="6"/>
  <c r="U35" i="17"/>
  <c r="S35" i="6"/>
  <c r="U36" i="17"/>
  <c r="O14" i="1"/>
  <c r="U37" i="17"/>
  <c r="S36" i="6"/>
  <c r="U38" i="17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E10" i="4"/>
  <c r="S74" i="6"/>
  <c r="S75" i="6"/>
  <c r="U74" i="6"/>
  <c r="U75" i="6"/>
  <c r="N58" i="1"/>
  <c r="N57" i="1"/>
  <c r="K16" i="1"/>
  <c r="K17" i="1" s="1"/>
  <c r="N55" i="1"/>
  <c r="O55" i="1"/>
  <c r="O56" i="1"/>
  <c r="O57" i="1"/>
  <c r="O58" i="1"/>
  <c r="T63" i="16" l="1"/>
  <c r="T64" i="6"/>
  <c r="U64" i="6" s="1"/>
  <c r="N62" i="1"/>
  <c r="K18" i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T34" i="6"/>
  <c r="U34" i="6" s="1"/>
  <c r="T62" i="16"/>
  <c r="T63" i="6"/>
  <c r="U63" i="6" s="1"/>
  <c r="T38" i="6"/>
  <c r="U38" i="6" s="1"/>
  <c r="N61" i="1"/>
  <c r="T57" i="6"/>
  <c r="U57" i="6" s="1"/>
  <c r="T48" i="6"/>
  <c r="U48" i="6" s="1"/>
  <c r="T79" i="17"/>
  <c r="T55" i="6"/>
  <c r="U55" i="6" s="1"/>
  <c r="T40" i="6"/>
  <c r="U40" i="6" s="1"/>
  <c r="T33" i="6"/>
  <c r="U33" i="6" s="1"/>
  <c r="T23" i="6"/>
  <c r="U23" i="6" s="1"/>
  <c r="T31" i="6"/>
  <c r="U31" i="6" s="1"/>
  <c r="T49" i="6"/>
  <c r="U49" i="6" s="1"/>
  <c r="T47" i="6"/>
  <c r="U47" i="6" s="1"/>
  <c r="T39" i="6"/>
  <c r="U39" i="6" s="1"/>
  <c r="T37" i="6"/>
  <c r="U37" i="6" s="1"/>
  <c r="T57" i="16"/>
  <c r="T58" i="6"/>
  <c r="U58" i="6" s="1"/>
  <c r="T29" i="16"/>
  <c r="T30" i="6"/>
  <c r="U30" i="6" s="1"/>
  <c r="T61" i="6"/>
  <c r="U61" i="6" s="1"/>
  <c r="T60" i="16"/>
  <c r="T41" i="6"/>
  <c r="U41" i="6" s="1"/>
  <c r="T40" i="16"/>
  <c r="T21" i="16"/>
  <c r="T22" i="6"/>
  <c r="U22" i="6" s="1"/>
  <c r="T46" i="6"/>
  <c r="U46" i="6" s="1"/>
  <c r="T45" i="16"/>
  <c r="T24" i="6"/>
  <c r="U24" i="6" s="1"/>
  <c r="T23" i="16"/>
  <c r="T28" i="16"/>
  <c r="T29" i="6"/>
  <c r="U29" i="6" s="1"/>
  <c r="T25" i="16"/>
  <c r="T26" i="6"/>
  <c r="U26" i="6" s="1"/>
  <c r="T20" i="16"/>
  <c r="T21" i="6"/>
  <c r="U21" i="6" s="1"/>
  <c r="T54" i="6"/>
  <c r="U54" i="6" s="1"/>
  <c r="T53" i="16"/>
  <c r="T44" i="16"/>
  <c r="T45" i="6"/>
  <c r="U45" i="6" s="1"/>
  <c r="T56" i="6"/>
  <c r="U56" i="6" s="1"/>
  <c r="T55" i="16"/>
  <c r="T41" i="16"/>
  <c r="T42" i="6"/>
  <c r="U42" i="6" s="1"/>
  <c r="T32" i="16"/>
  <c r="T53" i="6"/>
  <c r="U53" i="6" s="1"/>
  <c r="T30" i="16"/>
  <c r="T50" i="6"/>
  <c r="U50" i="6" s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T59" i="16"/>
  <c r="T60" i="6"/>
  <c r="U60" i="6" s="1"/>
  <c r="T27" i="16"/>
  <c r="T28" i="6"/>
  <c r="U28" i="6" s="1"/>
  <c r="T32" i="6"/>
  <c r="U32" i="6" s="1"/>
  <c r="T31" i="16"/>
  <c r="T43" i="16"/>
  <c r="T44" i="6"/>
  <c r="U44" i="6" s="1"/>
  <c r="T61" i="16"/>
  <c r="T62" i="6"/>
  <c r="U62" i="6" s="1"/>
  <c r="T34" i="16"/>
  <c r="T35" i="6"/>
  <c r="U35" i="6" s="1"/>
  <c r="T47" i="16"/>
  <c r="T36" i="16"/>
  <c r="T51" i="16"/>
  <c r="T52" i="6"/>
  <c r="U52" i="6" s="1"/>
  <c r="T46" i="16"/>
  <c r="T42" i="16"/>
  <c r="T43" i="6"/>
  <c r="U43" i="6" s="1"/>
  <c r="T19" i="6"/>
  <c r="T18" i="16"/>
  <c r="S78" i="16"/>
  <c r="R6" i="21" s="1"/>
  <c r="S6" i="21" s="1"/>
  <c r="T35" i="16"/>
  <c r="T36" i="6"/>
  <c r="U36" i="6" s="1"/>
  <c r="T56" i="16"/>
  <c r="T50" i="16"/>
  <c r="T51" i="6"/>
  <c r="U51" i="6" s="1"/>
  <c r="T54" i="16"/>
  <c r="T25" i="6"/>
  <c r="U25" i="6" s="1"/>
  <c r="T39" i="16"/>
  <c r="T58" i="16"/>
  <c r="T59" i="6"/>
  <c r="U59" i="6" s="1"/>
  <c r="T26" i="16"/>
  <c r="T27" i="6"/>
  <c r="U27" i="6" s="1"/>
  <c r="T19" i="16"/>
  <c r="T20" i="6"/>
  <c r="U20" i="6" s="1"/>
  <c r="N60" i="1"/>
  <c r="O60" i="1" s="1"/>
  <c r="J82" i="6"/>
  <c r="H22" i="21" s="1"/>
  <c r="H21" i="21"/>
  <c r="K82" i="6"/>
  <c r="P21" i="21"/>
  <c r="E21" i="21"/>
  <c r="M82" i="6"/>
  <c r="K22" i="21" s="1"/>
  <c r="O80" i="6"/>
  <c r="G21" i="21"/>
  <c r="P82" i="6"/>
  <c r="N22" i="21" s="1"/>
  <c r="F21" i="21"/>
  <c r="P82" i="17"/>
  <c r="N15" i="21" s="1"/>
  <c r="N14" i="21"/>
  <c r="S14" i="21" s="1"/>
  <c r="M14" i="21"/>
  <c r="O82" i="17"/>
  <c r="M15" i="21" s="1"/>
  <c r="K14" i="21"/>
  <c r="M82" i="17"/>
  <c r="K15" i="21" s="1"/>
  <c r="R82" i="17"/>
  <c r="P15" i="21" s="1"/>
  <c r="P14" i="21"/>
  <c r="H14" i="21"/>
  <c r="J82" i="17"/>
  <c r="H15" i="21" s="1"/>
  <c r="J14" i="21"/>
  <c r="H80" i="17"/>
  <c r="N13" i="21"/>
  <c r="S82" i="17"/>
  <c r="Q15" i="21" s="1"/>
  <c r="H13" i="21"/>
  <c r="E14" i="21"/>
  <c r="P13" i="21"/>
  <c r="G81" i="16"/>
  <c r="F8" i="21" s="1"/>
  <c r="F7" i="21"/>
  <c r="H81" i="16"/>
  <c r="G8" i="21" s="1"/>
  <c r="G7" i="21"/>
  <c r="P79" i="16"/>
  <c r="G6" i="21"/>
  <c r="F6" i="21"/>
  <c r="K81" i="16"/>
  <c r="J8" i="21" s="1"/>
  <c r="L79" i="16"/>
  <c r="J79" i="16"/>
  <c r="R81" i="16"/>
  <c r="Q8" i="21" s="1"/>
  <c r="O61" i="1" l="1"/>
  <c r="R13" i="21"/>
  <c r="S13" i="21" s="1"/>
  <c r="T80" i="17"/>
  <c r="D6" i="4"/>
  <c r="D7" i="4" s="1"/>
  <c r="S79" i="16"/>
  <c r="C6" i="4"/>
  <c r="T79" i="6"/>
  <c r="U19" i="6"/>
  <c r="U79" i="6" s="1"/>
  <c r="U80" i="6" s="1"/>
  <c r="U82" i="6" s="1"/>
  <c r="T78" i="16"/>
  <c r="T79" i="16" s="1"/>
  <c r="T81" i="16" s="1"/>
  <c r="O82" i="6"/>
  <c r="M22" i="21" s="1"/>
  <c r="M21" i="21"/>
  <c r="S21" i="21" s="1"/>
  <c r="I22" i="21"/>
  <c r="K87" i="6"/>
  <c r="H82" i="17"/>
  <c r="F15" i="21" s="1"/>
  <c r="F14" i="21"/>
  <c r="C7" i="4"/>
  <c r="C11" i="4" s="1"/>
  <c r="P81" i="16"/>
  <c r="O8" i="21" s="1"/>
  <c r="O7" i="21"/>
  <c r="I7" i="21"/>
  <c r="J81" i="16"/>
  <c r="I8" i="21" s="1"/>
  <c r="K7" i="21"/>
  <c r="L81" i="16"/>
  <c r="K8" i="21" s="1"/>
  <c r="E6" i="4" l="1"/>
  <c r="E7" i="4" s="1"/>
  <c r="E11" i="4" s="1"/>
  <c r="D12" i="4"/>
  <c r="D14" i="4" s="1"/>
  <c r="D11" i="4"/>
  <c r="R14" i="21"/>
  <c r="T82" i="17"/>
  <c r="R15" i="21" s="1"/>
  <c r="S15" i="21" s="1"/>
  <c r="R20" i="21"/>
  <c r="S20" i="21" s="1"/>
  <c r="T80" i="6"/>
  <c r="R7" i="21"/>
  <c r="S7" i="21" s="1"/>
  <c r="S81" i="16"/>
  <c r="R8" i="21" s="1"/>
  <c r="S8" i="21" s="1"/>
  <c r="C12" i="4"/>
  <c r="C14" i="4" s="1"/>
  <c r="E12" i="4" l="1"/>
  <c r="E14" i="4" s="1"/>
  <c r="T82" i="6"/>
  <c r="R22" i="21" s="1"/>
  <c r="S22" i="21" s="1"/>
  <c r="R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<sst xmlns="http://schemas.openxmlformats.org/spreadsheetml/2006/main" count="337" uniqueCount="128">
  <si>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</si>
  <si>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</si>
  <si>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</si>
  <si>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</si>
  <si>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</si>
  <si>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</si>
  <si>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</si>
  <si>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</si>
  <si>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</si>
  <si>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</si>
  <si>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</si>
  <si>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</si>
  <si>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</si>
  <si>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</si>
  <si>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</si>
  <si>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</si>
  <si>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</si>
  <si>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</si>
  <si>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</si>
  <si>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</si>
  <si>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</si>
  <si>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</si>
  <si>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</si>
  <si>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</si>
  <si>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</si>
  <si>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</si>
  <si>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</si>
  <si>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</si>
  <si>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</si>
  <si>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</si>
  <si>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</si>
  <si>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</si>
  <si>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</si>
  <si>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</si>
  <si>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</si>
  <si>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</si>
  <si>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</si>
  <si>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</si>
  <si>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</si>
  <si>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</si>
  <si>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</si>
  <si>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</si>
  <si>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</si>
  <si>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</si>
  <si>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</si>
  <si>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</si>
  <si>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</si>
  <si>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</si>
  <si>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</si>
  <si>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</si>
  <si>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</si>
  <si>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</si>
  <si>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</si>
  <si>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</si>
  <si>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</si>
  <si>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</si>
  <si>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</si>
  <si>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</si>
  <si>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</si>
  <si>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</si>
  <si>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</si>
  <si>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</si>
  <si>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</si>
  <si>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</si>
  <si>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</si>
  <si>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</si>
  <si>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</si>
  <si>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</si>
  <si>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</si>
  <si>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</si>
  <si>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</si>
  <si>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</si>
  <si>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</si>
  <si>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</si>
  <si>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</si>
  <si>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</si>
  <si>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</si>
  <si>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</si>
  <si>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</si>
  <si>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</si>
  <si>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</si>
  <si>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</si>
  <si>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</si>
  <si>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</si>
  <si>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</si>
  <si>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</si>
  <si>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</si>
  <si>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</si>
  <si>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</si>
  <si>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</si>
  <si>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</si>
  <si>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</si>
  <si>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</si>
  <si>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</si>
  <si>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</si>
  <si>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</si>
  <si>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</si>
  <si>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</si>
  <si>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</si>
  <si>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</si>
  <si>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</si>
  <si>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</si>
  <si>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</si>
  <si>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</si>
  <si>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</si>
  <si>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</si>
  <si>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</si>
  <si>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</si>
  <si>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</si>
  <si>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</si>
  <si>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</si>
  <si>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</si>
  <si>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</si>
  <si>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</si>
  <si>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</si>
  <si>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</si>
  <si>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</si>
  <si>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</si>
  <si>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</si>
  <si>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</si>
  <si>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</si>
  <si>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</si>
  <si>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</si>
  <si>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</si>
  <si>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</si>
  <si>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</si>
  <si>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</si>
  <si>
    <t>2024/25 Marketing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</si>
</sst>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chartsheet" Target="chartsheets/sheet11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441408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11480</c:v>
                </c:pt>
                <c:pt idx="44">
                  <c:v>13945</c:v>
                </c:pt>
                <c:pt idx="45">
                  <c:v>44372</c:v>
                </c:pt>
                <c:pt idx="46">
                  <c:v>36681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334884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555858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513791.6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171464.2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23279.599999999999</c:v>
                </c:pt>
                <c:pt idx="26">
                  <c:v>32346.6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18464.2</c:v>
                </c:pt>
                <c:pt idx="32">
                  <c:v>13769.8</c:v>
                </c:pt>
                <c:pt idx="33">
                  <c:v>9839.6</c:v>
                </c:pt>
                <c:pt idx="34">
                  <c:v>7019.2</c:v>
                </c:pt>
                <c:pt idx="35">
                  <c:v>15204.6</c:v>
                </c:pt>
                <c:pt idx="36">
                  <c:v>4165.3999999999996</c:v>
                </c:pt>
                <c:pt idx="37">
                  <c:v>8791.4</c:v>
                </c:pt>
                <c:pt idx="38">
                  <c:v>11756.2</c:v>
                </c:pt>
                <c:pt idx="39">
                  <c:v>24860.6</c:v>
                </c:pt>
                <c:pt idx="40">
                  <c:v>19169.8</c:v>
                </c:pt>
                <c:pt idx="41">
                  <c:v>15727</c:v>
                </c:pt>
                <c:pt idx="42">
                  <c:v>15930.8</c:v>
                </c:pt>
                <c:pt idx="43">
                  <c:v>21146.400000000001</c:v>
                </c:pt>
                <c:pt idx="44">
                  <c:v>16745.8</c:v>
                </c:pt>
                <c:pt idx="45">
                  <c:v>15102</c:v>
                </c:pt>
                <c:pt idx="46">
                  <c:v>23585.599999999999</c:v>
                </c:pt>
                <c:pt idx="47">
                  <c:v>29708.2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11020168</c:v>
                </c:pt>
                <c:pt idx="13">
                  <c:v>13156445.285714289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12127826</c:v>
                </c:pt>
                <c:pt idx="13">
                  <c:v>13644686.285714289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0.97805048387096771</c:v>
                </c:pt>
                <c:pt idx="13">
                  <c:v>0.94890465828766712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7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0.99176720475785896</c:v>
                </c:pt>
                <c:pt idx="6">
                  <c:v>0.99662154932301927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7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0.9868668235294118</c:v>
                </c:pt>
                <c:pt idx="6">
                  <c:v>1.0031883124513881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7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1.0034681597251387</c:v>
                </c:pt>
                <c:pt idx="5">
                  <c:v>0.97805048387096771</c:v>
                </c:pt>
                <c:pt idx="6">
                  <c:v>0.99690559294481351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11020168</c:v>
                </c:pt>
                <c:pt idx="14">
                  <c:v>13156445.285714289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12127826</c:v>
                </c:pt>
                <c:pt idx="14">
                  <c:v>13644686.285714289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1.0034681597251387</c:v>
                </c:pt>
                <c:pt idx="13" formatCode="0.0%">
                  <c:v>0.97805048387096771</c:v>
                </c:pt>
                <c:pt idx="14">
                  <c:v>0.94890465828766712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352284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104717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48027</c:v>
                </c:pt>
                <c:pt idx="18">
                  <c:v>29495</c:v>
                </c:pt>
                <c:pt idx="19">
                  <c:v>29333</c:v>
                </c:pt>
                <c:pt idx="20">
                  <c:v>25813</c:v>
                </c:pt>
                <c:pt idx="21">
                  <c:v>37237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32266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33573</c:v>
                </c:pt>
                <c:pt idx="31">
                  <c:v>18561</c:v>
                </c:pt>
                <c:pt idx="32">
                  <c:v>20863</c:v>
                </c:pt>
                <c:pt idx="33">
                  <c:v>14694</c:v>
                </c:pt>
                <c:pt idx="34">
                  <c:v>10535</c:v>
                </c:pt>
                <c:pt idx="35">
                  <c:v>5682</c:v>
                </c:pt>
                <c:pt idx="36">
                  <c:v>9872</c:v>
                </c:pt>
                <c:pt idx="37">
                  <c:v>14397</c:v>
                </c:pt>
                <c:pt idx="38">
                  <c:v>13917</c:v>
                </c:pt>
                <c:pt idx="39">
                  <c:v>34450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24969</c:v>
                </c:pt>
                <c:pt idx="44">
                  <c:v>19427</c:v>
                </c:pt>
                <c:pt idx="45">
                  <c:v>32637</c:v>
                </c:pt>
                <c:pt idx="46">
                  <c:v>35588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  <c:pt idx="41">
                  <c:v>15081.833333333334</c:v>
                </c:pt>
                <c:pt idx="42">
                  <c:v>14736</c:v>
                </c:pt>
                <c:pt idx="43">
                  <c:v>34622.5</c:v>
                </c:pt>
                <c:pt idx="44">
                  <c:v>23244.833333333332</c:v>
                </c:pt>
                <c:pt idx="45">
                  <c:v>14913.5</c:v>
                </c:pt>
                <c:pt idx="46">
                  <c:v>19065.166666666668</c:v>
                </c:pt>
                <c:pt idx="47">
                  <c:v>33748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441408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11480</c:v>
                </c:pt>
                <c:pt idx="44">
                  <c:v>13945</c:v>
                </c:pt>
                <c:pt idx="45">
                  <c:v>44372</c:v>
                </c:pt>
                <c:pt idx="46">
                  <c:v>36681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352284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104717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48027</c:v>
                </c:pt>
                <c:pt idx="18">
                  <c:v>29495</c:v>
                </c:pt>
                <c:pt idx="19">
                  <c:v>29333</c:v>
                </c:pt>
                <c:pt idx="20">
                  <c:v>25813</c:v>
                </c:pt>
                <c:pt idx="21">
                  <c:v>37237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32266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33573</c:v>
                </c:pt>
                <c:pt idx="31">
                  <c:v>18561</c:v>
                </c:pt>
                <c:pt idx="32">
                  <c:v>20863</c:v>
                </c:pt>
                <c:pt idx="33">
                  <c:v>14694</c:v>
                </c:pt>
                <c:pt idx="34">
                  <c:v>10535</c:v>
                </c:pt>
                <c:pt idx="35">
                  <c:v>5682</c:v>
                </c:pt>
                <c:pt idx="36">
                  <c:v>9872</c:v>
                </c:pt>
                <c:pt idx="37">
                  <c:v>14397</c:v>
                </c:pt>
                <c:pt idx="38">
                  <c:v>13917</c:v>
                </c:pt>
                <c:pt idx="39">
                  <c:v>34450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24969</c:v>
                </c:pt>
                <c:pt idx="44">
                  <c:v>19427</c:v>
                </c:pt>
                <c:pt idx="45">
                  <c:v>32637</c:v>
                </c:pt>
                <c:pt idx="46">
                  <c:v>35588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995479</c:v>
                </c:pt>
                <c:pt idx="3">
                  <c:v>1169048</c:v>
                </c:pt>
                <c:pt idx="4">
                  <c:v>1014254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853775</c:v>
                </c:pt>
                <c:pt idx="9">
                  <c:v>541774</c:v>
                </c:pt>
                <c:pt idx="10">
                  <c:v>473316</c:v>
                </c:pt>
                <c:pt idx="11">
                  <c:v>361618</c:v>
                </c:pt>
                <c:pt idx="12">
                  <c:v>314495</c:v>
                </c:pt>
                <c:pt idx="13">
                  <c:v>152372</c:v>
                </c:pt>
                <c:pt idx="14">
                  <c:v>98302</c:v>
                </c:pt>
                <c:pt idx="15">
                  <c:v>98103</c:v>
                </c:pt>
                <c:pt idx="16">
                  <c:v>70656</c:v>
                </c:pt>
                <c:pt idx="17">
                  <c:v>95661</c:v>
                </c:pt>
                <c:pt idx="18">
                  <c:v>63544</c:v>
                </c:pt>
                <c:pt idx="19">
                  <c:v>62847</c:v>
                </c:pt>
                <c:pt idx="20">
                  <c:v>59544</c:v>
                </c:pt>
                <c:pt idx="21">
                  <c:v>75597</c:v>
                </c:pt>
                <c:pt idx="22">
                  <c:v>56239</c:v>
                </c:pt>
                <c:pt idx="23">
                  <c:v>65668</c:v>
                </c:pt>
                <c:pt idx="24">
                  <c:v>54117</c:v>
                </c:pt>
                <c:pt idx="25">
                  <c:v>66311</c:v>
                </c:pt>
                <c:pt idx="26">
                  <c:v>42568</c:v>
                </c:pt>
                <c:pt idx="27">
                  <c:v>40599</c:v>
                </c:pt>
                <c:pt idx="28">
                  <c:v>34830</c:v>
                </c:pt>
                <c:pt idx="29">
                  <c:v>33961</c:v>
                </c:pt>
                <c:pt idx="30">
                  <c:v>60616</c:v>
                </c:pt>
                <c:pt idx="31">
                  <c:v>42588</c:v>
                </c:pt>
                <c:pt idx="32">
                  <c:v>38399</c:v>
                </c:pt>
                <c:pt idx="33">
                  <c:v>25190</c:v>
                </c:pt>
                <c:pt idx="34">
                  <c:v>15558</c:v>
                </c:pt>
                <c:pt idx="35">
                  <c:v>10596</c:v>
                </c:pt>
                <c:pt idx="36">
                  <c:v>24008</c:v>
                </c:pt>
                <c:pt idx="37">
                  <c:v>32087</c:v>
                </c:pt>
                <c:pt idx="38">
                  <c:v>26846</c:v>
                </c:pt>
                <c:pt idx="39">
                  <c:v>51283</c:v>
                </c:pt>
                <c:pt idx="40">
                  <c:v>50384</c:v>
                </c:pt>
                <c:pt idx="41">
                  <c:v>42274</c:v>
                </c:pt>
                <c:pt idx="42">
                  <c:v>18878</c:v>
                </c:pt>
                <c:pt idx="43">
                  <c:v>36449</c:v>
                </c:pt>
                <c:pt idx="44">
                  <c:v>33372</c:v>
                </c:pt>
                <c:pt idx="45">
                  <c:v>77009</c:v>
                </c:pt>
                <c:pt idx="46">
                  <c:v>72269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442252.71428571426</c:v>
                </c:pt>
                <c:pt idx="3">
                  <c:v>816031.42857142852</c:v>
                </c:pt>
                <c:pt idx="4">
                  <c:v>630045.57142857148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1055684.5714285714</c:v>
                </c:pt>
                <c:pt idx="9">
                  <c:v>835419.71428571432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999606.57142857148</c:v>
                </c:pt>
                <c:pt idx="13">
                  <c:v>570084.14285714284</c:v>
                </c:pt>
                <c:pt idx="14">
                  <c:v>485662.14285714284</c:v>
                </c:pt>
                <c:pt idx="15">
                  <c:v>400003.71428571426</c:v>
                </c:pt>
                <c:pt idx="16">
                  <c:v>350658.71428571426</c:v>
                </c:pt>
                <c:pt idx="17">
                  <c:v>333225</c:v>
                </c:pt>
                <c:pt idx="18">
                  <c:v>98357.142857142855</c:v>
                </c:pt>
                <c:pt idx="19">
                  <c:v>82913.28571428571</c:v>
                </c:pt>
                <c:pt idx="20">
                  <c:v>79576.571428571435</c:v>
                </c:pt>
                <c:pt idx="21">
                  <c:v>128632</c:v>
                </c:pt>
                <c:pt idx="22">
                  <c:v>37645</c:v>
                </c:pt>
                <c:pt idx="23">
                  <c:v>42795.142857142855</c:v>
                </c:pt>
                <c:pt idx="24">
                  <c:v>36753.285714285717</c:v>
                </c:pt>
                <c:pt idx="25">
                  <c:v>83026.28571428571</c:v>
                </c:pt>
                <c:pt idx="26">
                  <c:v>39608.142857142855</c:v>
                </c:pt>
                <c:pt idx="27">
                  <c:v>24372.428571428572</c:v>
                </c:pt>
                <c:pt idx="28">
                  <c:v>21985.285714285714</c:v>
                </c:pt>
                <c:pt idx="29">
                  <c:v>43992.142857142855</c:v>
                </c:pt>
                <c:pt idx="30">
                  <c:v>47090.142857142855</c:v>
                </c:pt>
                <c:pt idx="31">
                  <c:v>19900</c:v>
                </c:pt>
                <c:pt idx="32">
                  <c:v>17517.571428571428</c:v>
                </c:pt>
                <c:pt idx="33">
                  <c:v>13470.142857142857</c:v>
                </c:pt>
                <c:pt idx="34">
                  <c:v>36113.428571428572</c:v>
                </c:pt>
                <c:pt idx="35">
                  <c:v>6170.7142857142853</c:v>
                </c:pt>
                <c:pt idx="36">
                  <c:v>13550.571428571429</c:v>
                </c:pt>
                <c:pt idx="37">
                  <c:v>18429.857142857141</c:v>
                </c:pt>
                <c:pt idx="38">
                  <c:v>47212.142857142855</c:v>
                </c:pt>
                <c:pt idx="39">
                  <c:v>42218.571428571428</c:v>
                </c:pt>
                <c:pt idx="40">
                  <c:v>30064.714285714286</c:v>
                </c:pt>
                <c:pt idx="41">
                  <c:v>29839.857142857141</c:v>
                </c:pt>
                <c:pt idx="42">
                  <c:v>50925</c:v>
                </c:pt>
                <c:pt idx="43">
                  <c:v>38483.571428571428</c:v>
                </c:pt>
                <c:pt idx="44">
                  <c:v>28142.285714285714</c:v>
                </c:pt>
                <c:pt idx="45">
                  <c:v>38673</c:v>
                </c:pt>
                <c:pt idx="46">
                  <c:v>56528.428571428572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1681547</c:v>
                </c:pt>
                <c:pt idx="5">
                  <c:v>2074378</c:v>
                </c:pt>
                <c:pt idx="6">
                  <c:v>2530432</c:v>
                </c:pt>
                <c:pt idx="7">
                  <c:v>2930077</c:v>
                </c:pt>
                <c:pt idx="8">
                  <c:v>3431568</c:v>
                </c:pt>
                <c:pt idx="9">
                  <c:v>3797018</c:v>
                </c:pt>
                <c:pt idx="10">
                  <c:v>4130168</c:v>
                </c:pt>
                <c:pt idx="11">
                  <c:v>4385922</c:v>
                </c:pt>
                <c:pt idx="12">
                  <c:v>4595700</c:v>
                </c:pt>
                <c:pt idx="13">
                  <c:v>4690018</c:v>
                </c:pt>
                <c:pt idx="14">
                  <c:v>4746808</c:v>
                </c:pt>
                <c:pt idx="15">
                  <c:v>4798916</c:v>
                </c:pt>
                <c:pt idx="16">
                  <c:v>4837244</c:v>
                </c:pt>
                <c:pt idx="17">
                  <c:v>4884878</c:v>
                </c:pt>
                <c:pt idx="18">
                  <c:v>4918927</c:v>
                </c:pt>
                <c:pt idx="19">
                  <c:v>4952441</c:v>
                </c:pt>
                <c:pt idx="20">
                  <c:v>4986172</c:v>
                </c:pt>
                <c:pt idx="21">
                  <c:v>5024532</c:v>
                </c:pt>
                <c:pt idx="22">
                  <c:v>5056089</c:v>
                </c:pt>
                <c:pt idx="23">
                  <c:v>5092518</c:v>
                </c:pt>
                <c:pt idx="24">
                  <c:v>5123635</c:v>
                </c:pt>
                <c:pt idx="25">
                  <c:v>5157680</c:v>
                </c:pt>
                <c:pt idx="26">
                  <c:v>5179648</c:v>
                </c:pt>
                <c:pt idx="27">
                  <c:v>5203539</c:v>
                </c:pt>
                <c:pt idx="28">
                  <c:v>5220940</c:v>
                </c:pt>
                <c:pt idx="29">
                  <c:v>5237506</c:v>
                </c:pt>
                <c:pt idx="30">
                  <c:v>5264549</c:v>
                </c:pt>
                <c:pt idx="31">
                  <c:v>5288576</c:v>
                </c:pt>
                <c:pt idx="32">
                  <c:v>5306112</c:v>
                </c:pt>
                <c:pt idx="33">
                  <c:v>5316608</c:v>
                </c:pt>
                <c:pt idx="34">
                  <c:v>5321631</c:v>
                </c:pt>
                <c:pt idx="35">
                  <c:v>5326545</c:v>
                </c:pt>
                <c:pt idx="36">
                  <c:v>5340681</c:v>
                </c:pt>
                <c:pt idx="37">
                  <c:v>5358371</c:v>
                </c:pt>
                <c:pt idx="38">
                  <c:v>5371300</c:v>
                </c:pt>
                <c:pt idx="39">
                  <c:v>5388133</c:v>
                </c:pt>
                <c:pt idx="40">
                  <c:v>5406751</c:v>
                </c:pt>
                <c:pt idx="41">
                  <c:v>5420697</c:v>
                </c:pt>
                <c:pt idx="42">
                  <c:v>5426778</c:v>
                </c:pt>
                <c:pt idx="43">
                  <c:v>5438258</c:v>
                </c:pt>
                <c:pt idx="44">
                  <c:v>5452203</c:v>
                </c:pt>
                <c:pt idx="45">
                  <c:v>5496575</c:v>
                </c:pt>
                <c:pt idx="46">
                  <c:v>5533256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1318174</c:v>
                </c:pt>
                <c:pt idx="3">
                  <c:v>2015478</c:v>
                </c:pt>
                <c:pt idx="4">
                  <c:v>2588324</c:v>
                </c:pt>
                <c:pt idx="5">
                  <c:v>3087843</c:v>
                </c:pt>
                <c:pt idx="6">
                  <c:v>3570519</c:v>
                </c:pt>
                <c:pt idx="7">
                  <c:v>3899038</c:v>
                </c:pt>
                <c:pt idx="8">
                  <c:v>4251322</c:v>
                </c:pt>
                <c:pt idx="9">
                  <c:v>4427646</c:v>
                </c:pt>
                <c:pt idx="10">
                  <c:v>4567812</c:v>
                </c:pt>
                <c:pt idx="11">
                  <c:v>4673676</c:v>
                </c:pt>
                <c:pt idx="12">
                  <c:v>4778393</c:v>
                </c:pt>
                <c:pt idx="13">
                  <c:v>4836447</c:v>
                </c:pt>
                <c:pt idx="14">
                  <c:v>4877959</c:v>
                </c:pt>
                <c:pt idx="15">
                  <c:v>4923954</c:v>
                </c:pt>
                <c:pt idx="16">
                  <c:v>4956282</c:v>
                </c:pt>
                <c:pt idx="17">
                  <c:v>5004309</c:v>
                </c:pt>
                <c:pt idx="18">
                  <c:v>5033804</c:v>
                </c:pt>
                <c:pt idx="19">
                  <c:v>5063137</c:v>
                </c:pt>
                <c:pt idx="20">
                  <c:v>5088950</c:v>
                </c:pt>
                <c:pt idx="21">
                  <c:v>5126187</c:v>
                </c:pt>
                <c:pt idx="22">
                  <c:v>5150869</c:v>
                </c:pt>
                <c:pt idx="23">
                  <c:v>5180108</c:v>
                </c:pt>
                <c:pt idx="24">
                  <c:v>5203108</c:v>
                </c:pt>
                <c:pt idx="25">
                  <c:v>5235374</c:v>
                </c:pt>
                <c:pt idx="26">
                  <c:v>5255974</c:v>
                </c:pt>
                <c:pt idx="27">
                  <c:v>5272682</c:v>
                </c:pt>
                <c:pt idx="28">
                  <c:v>5290111</c:v>
                </c:pt>
                <c:pt idx="29">
                  <c:v>5307506</c:v>
                </c:pt>
                <c:pt idx="30">
                  <c:v>5341079</c:v>
                </c:pt>
                <c:pt idx="31">
                  <c:v>5359640</c:v>
                </c:pt>
                <c:pt idx="32">
                  <c:v>5380503</c:v>
                </c:pt>
                <c:pt idx="33">
                  <c:v>5395197</c:v>
                </c:pt>
                <c:pt idx="34">
                  <c:v>5405732</c:v>
                </c:pt>
                <c:pt idx="35">
                  <c:v>5411414</c:v>
                </c:pt>
                <c:pt idx="36">
                  <c:v>5421286</c:v>
                </c:pt>
                <c:pt idx="37">
                  <c:v>5435683</c:v>
                </c:pt>
                <c:pt idx="38">
                  <c:v>5449600</c:v>
                </c:pt>
                <c:pt idx="39">
                  <c:v>5484050</c:v>
                </c:pt>
                <c:pt idx="40">
                  <c:v>5515816</c:v>
                </c:pt>
                <c:pt idx="41">
                  <c:v>5544144</c:v>
                </c:pt>
                <c:pt idx="42">
                  <c:v>5556941</c:v>
                </c:pt>
                <c:pt idx="43">
                  <c:v>5581910</c:v>
                </c:pt>
                <c:pt idx="44">
                  <c:v>5601337</c:v>
                </c:pt>
                <c:pt idx="45">
                  <c:v>5633974</c:v>
                </c:pt>
                <c:pt idx="46">
                  <c:v>5669562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1091090</c:v>
                </c:pt>
                <c:pt idx="2">
                  <c:v>2086569</c:v>
                </c:pt>
                <c:pt idx="3">
                  <c:v>3255617</c:v>
                </c:pt>
                <c:pt idx="4">
                  <c:v>4269871</c:v>
                </c:pt>
                <c:pt idx="5">
                  <c:v>5162221</c:v>
                </c:pt>
                <c:pt idx="6">
                  <c:v>6100951</c:v>
                </c:pt>
                <c:pt idx="7">
                  <c:v>6829115</c:v>
                </c:pt>
                <c:pt idx="8">
                  <c:v>7682890</c:v>
                </c:pt>
                <c:pt idx="9">
                  <c:v>8224664</c:v>
                </c:pt>
                <c:pt idx="10">
                  <c:v>8697980</c:v>
                </c:pt>
                <c:pt idx="11">
                  <c:v>9059598</c:v>
                </c:pt>
                <c:pt idx="12">
                  <c:v>9374093</c:v>
                </c:pt>
                <c:pt idx="13">
                  <c:v>9526465</c:v>
                </c:pt>
                <c:pt idx="14">
                  <c:v>9624746</c:v>
                </c:pt>
                <c:pt idx="15">
                  <c:v>9722886</c:v>
                </c:pt>
                <c:pt idx="16">
                  <c:v>9793542</c:v>
                </c:pt>
                <c:pt idx="17">
                  <c:v>9888485</c:v>
                </c:pt>
                <c:pt idx="18">
                  <c:v>9952029</c:v>
                </c:pt>
                <c:pt idx="19">
                  <c:v>10014876</c:v>
                </c:pt>
                <c:pt idx="20">
                  <c:v>10074420</c:v>
                </c:pt>
                <c:pt idx="21">
                  <c:v>10149672</c:v>
                </c:pt>
                <c:pt idx="22">
                  <c:v>10205911</c:v>
                </c:pt>
                <c:pt idx="23">
                  <c:v>10271608</c:v>
                </c:pt>
                <c:pt idx="24">
                  <c:v>10325725</c:v>
                </c:pt>
                <c:pt idx="25">
                  <c:v>10392187</c:v>
                </c:pt>
                <c:pt idx="26">
                  <c:v>10434755</c:v>
                </c:pt>
                <c:pt idx="27">
                  <c:v>10475354</c:v>
                </c:pt>
                <c:pt idx="28">
                  <c:v>10510199</c:v>
                </c:pt>
                <c:pt idx="29">
                  <c:v>10544160</c:v>
                </c:pt>
                <c:pt idx="30">
                  <c:v>10604558</c:v>
                </c:pt>
                <c:pt idx="31">
                  <c:v>10647146</c:v>
                </c:pt>
                <c:pt idx="32">
                  <c:v>10685545</c:v>
                </c:pt>
                <c:pt idx="33">
                  <c:v>10710735</c:v>
                </c:pt>
                <c:pt idx="34">
                  <c:v>10726061</c:v>
                </c:pt>
                <c:pt idx="35">
                  <c:v>10736657</c:v>
                </c:pt>
                <c:pt idx="36">
                  <c:v>10760808</c:v>
                </c:pt>
                <c:pt idx="37">
                  <c:v>10793435</c:v>
                </c:pt>
                <c:pt idx="38">
                  <c:v>10821257</c:v>
                </c:pt>
                <c:pt idx="39">
                  <c:v>10872363</c:v>
                </c:pt>
                <c:pt idx="40">
                  <c:v>10924351</c:v>
                </c:pt>
                <c:pt idx="41">
                  <c:v>10969483</c:v>
                </c:pt>
                <c:pt idx="42">
                  <c:v>10989792</c:v>
                </c:pt>
                <c:pt idx="43">
                  <c:v>11026241</c:v>
                </c:pt>
                <c:pt idx="44">
                  <c:v>11059613</c:v>
                </c:pt>
                <c:pt idx="45">
                  <c:v>11136622</c:v>
                </c:pt>
                <c:pt idx="46">
                  <c:v>11208891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11020168</c:v>
                </c:pt>
                <c:pt idx="13">
                  <c:v>13156445.285714289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12127826</c:v>
                </c:pt>
                <c:pt idx="13">
                  <c:v>13644686.285714289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0.97805048387096771</c:v>
                </c:pt>
                <c:pt idx="13">
                  <c:v>0.94890465828766712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5438258</c:v>
                </c:pt>
                <c:pt idx="13">
                  <c:v>7445639.5999999996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5836550</c:v>
                </c:pt>
                <c:pt idx="13">
                  <c:v>7628186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0.99176720475785896</c:v>
                </c:pt>
                <c:pt idx="13">
                  <c:v>0.98677063639850437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5581910</c:v>
                </c:pt>
                <c:pt idx="13">
                  <c:v>6292610.8333333312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6291276</c:v>
                </c:pt>
                <c:pt idx="13">
                  <c:v>6738267.2333333315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0.9868668235294118</c:v>
                </c:pt>
                <c:pt idx="13">
                  <c:v>0.97051905779174785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2"/>
      <c r="C2" s="453"/>
      <c r="D2" s="453"/>
      <c r="E2" s="453"/>
      <c r="F2" s="454"/>
      <c r="G2" s="362"/>
    </row>
    <row r="3" spans="2:8" ht="20.399999999999999" thickBot="1" x14ac:dyDescent="0.45">
      <c r="B3" s="455" t="s">
        <v>127</v>
      </c>
      <c r="C3" s="456"/>
      <c r="D3" s="456"/>
      <c r="E3" s="456"/>
      <c r="F3" s="457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5438258</v>
      </c>
      <c r="D6" s="426">
        <f>'Summary -Yellow maize'!T79</f>
        <v>5581910</v>
      </c>
      <c r="E6" s="423">
        <f>C6+D6</f>
        <v>11020168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5836550</v>
      </c>
      <c r="D7" s="428">
        <f>D5+D6</f>
        <v>6291276</v>
      </c>
      <c r="E7" s="427">
        <f>E5+E6</f>
        <v>12127826</v>
      </c>
      <c r="F7" s="340" t="s">
        <v>8</v>
      </c>
      <c r="H7" s="8"/>
    </row>
    <row r="8" spans="2:8" ht="15" thickTop="1" x14ac:dyDescent="0.3">
      <c r="B8" s="444" t="s">
        <v>125</v>
      </c>
      <c r="C8" s="429">
        <v>6055000</v>
      </c>
      <c r="D8" s="430">
        <v>6795000</v>
      </c>
      <c r="E8" s="429">
        <f>C8+D8</f>
        <v>12850000</v>
      </c>
      <c r="F8" s="445" t="s">
        <v>126</v>
      </c>
      <c r="G8" s="8"/>
      <c r="H8" s="8"/>
    </row>
    <row r="9" spans="2:8" ht="27.6" x14ac:dyDescent="0.25">
      <c r="B9" s="414" t="s">
        <v>124</v>
      </c>
      <c r="C9" s="431">
        <v>170000</v>
      </c>
      <c r="D9" s="432">
        <v>450000</v>
      </c>
      <c r="E9" s="431">
        <f>C9+D9</f>
        <v>620000</v>
      </c>
      <c r="F9" s="415" t="s">
        <v>123</v>
      </c>
    </row>
    <row r="10" spans="2:8" ht="28.8" x14ac:dyDescent="0.25">
      <c r="B10" s="417" t="s">
        <v>9</v>
      </c>
      <c r="C10" s="433">
        <f>C8-C9</f>
        <v>5885000</v>
      </c>
      <c r="D10" s="434">
        <f>D8-D9</f>
        <v>6345000</v>
      </c>
      <c r="E10" s="433">
        <f>E8-E9</f>
        <v>12230000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0.99176720475785896</v>
      </c>
      <c r="D11" s="441">
        <f>D7/D10</f>
        <v>0.99153286052009459</v>
      </c>
      <c r="E11" s="440">
        <f>E7/E10</f>
        <v>0.99164562551103841</v>
      </c>
      <c r="F11" s="341" t="s">
        <v>11</v>
      </c>
    </row>
    <row r="12" spans="2:8" ht="13.8" x14ac:dyDescent="0.25">
      <c r="B12" s="337" t="s">
        <v>12</v>
      </c>
      <c r="C12" s="423">
        <f>C10-C7</f>
        <v>48450</v>
      </c>
      <c r="D12" s="424">
        <f>D10-D7</f>
        <v>53724</v>
      </c>
      <c r="E12" s="423">
        <f>E10-E7</f>
        <v>102174</v>
      </c>
      <c r="F12" s="342" t="s">
        <v>13</v>
      </c>
    </row>
    <row r="13" spans="2:8" ht="13.8" x14ac:dyDescent="0.25">
      <c r="B13" s="337" t="s">
        <v>14</v>
      </c>
      <c r="C13" s="435">
        <f>52-('Summary -White maize'!B64)</f>
        <v>5</v>
      </c>
      <c r="D13" s="435">
        <f>52-('Summary -Yellow maize'!B65)</f>
        <v>5</v>
      </c>
      <c r="E13" s="435">
        <f>52-('Summary -Total maize'!B65)</f>
        <v>5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9690</v>
      </c>
      <c r="D14" s="437">
        <f>D12/D13</f>
        <v>10744.8</v>
      </c>
      <c r="E14" s="436">
        <f>E12/E13</f>
        <v>20434.8</v>
      </c>
      <c r="F14" s="422" t="s">
        <v>17</v>
      </c>
    </row>
    <row r="15" spans="2:8" ht="14.4" x14ac:dyDescent="0.3">
      <c r="B15" s="449" t="s">
        <v>18</v>
      </c>
      <c r="C15" s="450"/>
      <c r="D15" s="450"/>
      <c r="E15" s="450"/>
      <c r="F15" s="451"/>
    </row>
    <row r="16" spans="2:8" ht="14.4" x14ac:dyDescent="0.3">
      <c r="B16" s="458" t="s">
        <v>122</v>
      </c>
      <c r="C16" s="459"/>
      <c r="D16" s="459"/>
      <c r="E16" s="459"/>
      <c r="F16" s="460"/>
    </row>
    <row r="17" spans="2:6" ht="14.4" x14ac:dyDescent="0.3">
      <c r="B17" s="458" t="s">
        <v>19</v>
      </c>
      <c r="C17" s="459"/>
      <c r="D17" s="459"/>
      <c r="E17" s="459"/>
      <c r="F17" s="460"/>
    </row>
    <row r="18" spans="2:6" ht="14.4" x14ac:dyDescent="0.3">
      <c r="B18" s="458" t="s">
        <v>20</v>
      </c>
      <c r="C18" s="459"/>
      <c r="D18" s="459"/>
      <c r="E18" s="459"/>
      <c r="F18" s="460"/>
    </row>
    <row r="19" spans="2:6" ht="14.4" x14ac:dyDescent="0.3">
      <c r="B19" s="461" t="s">
        <v>21</v>
      </c>
      <c r="C19" s="462"/>
      <c r="D19" s="462"/>
      <c r="E19" s="462"/>
      <c r="F19" s="463"/>
    </row>
    <row r="20" spans="2:6" ht="15" thickBot="1" x14ac:dyDescent="0.35">
      <c r="B20" s="446" t="s">
        <v>22</v>
      </c>
      <c r="C20" s="447"/>
      <c r="D20" s="447"/>
      <c r="E20" s="447"/>
      <c r="F20" s="448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40" activePane="bottomRight" state="frozen"/>
      <selection pane="topRight" activeCell="D1" sqref="D1"/>
      <selection pane="bottomLeft" activeCell="A6" sqref="A6"/>
      <selection pane="bottomRight" activeCell="O65" sqref="O6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5" t="s">
        <v>23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3" customFormat="1" ht="18.600000000000001" thickTop="1" thickBot="1" x14ac:dyDescent="0.35">
      <c r="A3" s="32"/>
      <c r="B3" s="33"/>
      <c r="C3" s="255"/>
      <c r="D3" s="464" t="s">
        <v>24</v>
      </c>
      <c r="E3" s="464"/>
      <c r="F3" s="464"/>
      <c r="G3" s="464"/>
      <c r="H3" s="464" t="s">
        <v>25</v>
      </c>
      <c r="I3" s="464"/>
      <c r="J3" s="464"/>
      <c r="K3" s="464"/>
      <c r="L3" s="464" t="s">
        <v>26</v>
      </c>
      <c r="M3" s="464"/>
      <c r="N3" s="464"/>
      <c r="O3" s="464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15764</v>
      </c>
      <c r="N17" s="36">
        <f t="shared" ref="N17:N18" si="13">L17+M17</f>
        <v>777239</v>
      </c>
      <c r="O17" s="40">
        <f>O16+N17</f>
        <v>1091090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3" si="15">G17+F18</f>
        <v>768395</v>
      </c>
      <c r="H18" s="246">
        <v>616206</v>
      </c>
      <c r="I18" s="246">
        <v>12951</v>
      </c>
      <c r="J18" s="36">
        <f t="shared" si="12"/>
        <v>629157</v>
      </c>
      <c r="K18" s="40">
        <f t="shared" ref="K18:K19" si="16">K17+J18</f>
        <v>1318174</v>
      </c>
      <c r="L18" s="246">
        <v>976961</v>
      </c>
      <c r="M18" s="246">
        <v>18518</v>
      </c>
      <c r="N18" s="36">
        <f t="shared" si="13"/>
        <v>995479</v>
      </c>
      <c r="O18" s="40">
        <f t="shared" ref="O18:O53" si="17">O17+N18</f>
        <v>2086569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2015478</v>
      </c>
      <c r="L19" s="246">
        <v>1164821</v>
      </c>
      <c r="M19" s="246">
        <v>4227</v>
      </c>
      <c r="N19" s="36">
        <f>L19+M19</f>
        <v>1169048</v>
      </c>
      <c r="O19" s="40">
        <f t="shared" si="17"/>
        <v>3255617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79222</v>
      </c>
      <c r="F20" s="36">
        <f>D20+E20</f>
        <v>441408</v>
      </c>
      <c r="G20" s="40">
        <f t="shared" si="15"/>
        <v>1681547</v>
      </c>
      <c r="H20" s="246">
        <v>500366</v>
      </c>
      <c r="I20" s="246">
        <v>72480</v>
      </c>
      <c r="J20" s="36">
        <f t="shared" si="12"/>
        <v>572846</v>
      </c>
      <c r="K20" s="40">
        <f>K19+J20</f>
        <v>2588324</v>
      </c>
      <c r="L20" s="246">
        <v>862552</v>
      </c>
      <c r="M20" s="246">
        <v>151702</v>
      </c>
      <c r="N20" s="36">
        <f>L20+M20</f>
        <v>1014254</v>
      </c>
      <c r="O20" s="40">
        <f t="shared" si="17"/>
        <v>4269871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2074378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3087843</v>
      </c>
      <c r="L21" s="246">
        <v>878511</v>
      </c>
      <c r="M21" s="246">
        <v>13839</v>
      </c>
      <c r="N21" s="36">
        <f t="shared" ref="N21:N22" si="19">L21+M21</f>
        <v>892350</v>
      </c>
      <c r="O21" s="40">
        <f t="shared" si="17"/>
        <v>5162221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2530432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3570519</v>
      </c>
      <c r="L22" s="246">
        <v>923475</v>
      </c>
      <c r="M22" s="246">
        <v>15255</v>
      </c>
      <c r="N22" s="36">
        <f t="shared" si="19"/>
        <v>938730</v>
      </c>
      <c r="O22" s="40">
        <f t="shared" si="17"/>
        <v>6100951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2930077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3899038</v>
      </c>
      <c r="L23" s="246">
        <v>721128</v>
      </c>
      <c r="M23" s="246">
        <v>7036</v>
      </c>
      <c r="N23" s="36">
        <f t="shared" ref="N23:N25" si="21">L23+M23</f>
        <v>728164</v>
      </c>
      <c r="O23" s="40">
        <f t="shared" si="17"/>
        <v>6829115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60160</v>
      </c>
      <c r="F24" s="36">
        <f t="shared" si="18"/>
        <v>501491</v>
      </c>
      <c r="G24" s="40">
        <f t="shared" si="15"/>
        <v>3431568</v>
      </c>
      <c r="H24" s="246">
        <v>277503</v>
      </c>
      <c r="I24" s="246">
        <v>74781</v>
      </c>
      <c r="J24" s="36">
        <f t="shared" si="12"/>
        <v>352284</v>
      </c>
      <c r="K24" s="40">
        <f t="shared" si="20"/>
        <v>4251322</v>
      </c>
      <c r="L24" s="246">
        <v>718834</v>
      </c>
      <c r="M24" s="246">
        <v>134941</v>
      </c>
      <c r="N24" s="36">
        <f t="shared" si="21"/>
        <v>853775</v>
      </c>
      <c r="O24" s="40">
        <f t="shared" si="17"/>
        <v>7682890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3797018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4427646</v>
      </c>
      <c r="L25" s="246">
        <v>534966</v>
      </c>
      <c r="M25" s="246">
        <v>6808</v>
      </c>
      <c r="N25" s="36">
        <f t="shared" si="21"/>
        <v>541774</v>
      </c>
      <c r="O25" s="40">
        <f t="shared" si="17"/>
        <v>8224664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4130168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4567812</v>
      </c>
      <c r="L26" s="246">
        <v>460555</v>
      </c>
      <c r="M26" s="246">
        <v>12761</v>
      </c>
      <c r="N26" s="36">
        <f t="shared" ref="N26:N28" si="22">L26+M26</f>
        <v>473316</v>
      </c>
      <c r="O26" s="40">
        <f t="shared" si="17"/>
        <v>8697980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4385922</v>
      </c>
      <c r="H27" s="246">
        <v>106733</v>
      </c>
      <c r="I27" s="246">
        <v>-869</v>
      </c>
      <c r="J27" s="36">
        <f t="shared" si="12"/>
        <v>105864</v>
      </c>
      <c r="K27" s="40">
        <f t="shared" ref="K27:K53" si="23">K26+J27</f>
        <v>4673676</v>
      </c>
      <c r="L27" s="246">
        <v>356823</v>
      </c>
      <c r="M27" s="246">
        <v>4795</v>
      </c>
      <c r="N27" s="36">
        <f t="shared" si="22"/>
        <v>361618</v>
      </c>
      <c r="O27" s="40">
        <f t="shared" si="17"/>
        <v>9059598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48616</v>
      </c>
      <c r="F28" s="36">
        <f t="shared" si="18"/>
        <v>209778</v>
      </c>
      <c r="G28" s="40">
        <f t="shared" si="15"/>
        <v>4595700</v>
      </c>
      <c r="H28" s="246">
        <v>69742</v>
      </c>
      <c r="I28" s="246">
        <v>34975</v>
      </c>
      <c r="J28" s="36">
        <f t="shared" si="12"/>
        <v>104717</v>
      </c>
      <c r="K28" s="40">
        <f t="shared" si="23"/>
        <v>4778393</v>
      </c>
      <c r="L28" s="246">
        <v>230904</v>
      </c>
      <c r="M28" s="246">
        <v>83591</v>
      </c>
      <c r="N28" s="36">
        <f t="shared" si="22"/>
        <v>314495</v>
      </c>
      <c r="O28" s="40">
        <f t="shared" si="17"/>
        <v>9374093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4690018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4836447</v>
      </c>
      <c r="L29" s="246">
        <v>145544</v>
      </c>
      <c r="M29" s="246">
        <v>6828</v>
      </c>
      <c r="N29" s="36">
        <f t="shared" ref="N29:N30" si="25">L29+M29</f>
        <v>152372</v>
      </c>
      <c r="O29" s="40">
        <f t="shared" si="17"/>
        <v>9526465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4746808</v>
      </c>
      <c r="H30" s="246">
        <v>39744</v>
      </c>
      <c r="I30" s="246">
        <v>1768</v>
      </c>
      <c r="J30" s="36">
        <f t="shared" ref="J30" si="27">H30+I30</f>
        <v>41512</v>
      </c>
      <c r="K30" s="40">
        <f t="shared" si="23"/>
        <v>4877959</v>
      </c>
      <c r="L30" s="246">
        <v>96147</v>
      </c>
      <c r="M30" s="246">
        <v>2134</v>
      </c>
      <c r="N30" s="36">
        <f t="shared" si="25"/>
        <v>98281</v>
      </c>
      <c r="O30" s="40">
        <f t="shared" si="17"/>
        <v>9624746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4798916</v>
      </c>
      <c r="H31" s="246">
        <v>45205</v>
      </c>
      <c r="I31" s="246">
        <v>790</v>
      </c>
      <c r="J31" s="36">
        <f t="shared" ref="J31" si="29">H31+I31</f>
        <v>45995</v>
      </c>
      <c r="K31" s="40">
        <f t="shared" si="23"/>
        <v>4923954</v>
      </c>
      <c r="L31" s="246">
        <v>95523</v>
      </c>
      <c r="M31" s="246">
        <v>2617</v>
      </c>
      <c r="N31" s="36">
        <f t="shared" ref="N31:N32" si="30">L31+M31</f>
        <v>98140</v>
      </c>
      <c r="O31" s="40">
        <f t="shared" si="17"/>
        <v>9722886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4837244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4956282</v>
      </c>
      <c r="L32" s="246">
        <v>72807</v>
      </c>
      <c r="M32" s="246">
        <v>-2151</v>
      </c>
      <c r="N32" s="36">
        <f t="shared" si="30"/>
        <v>70656</v>
      </c>
      <c r="O32" s="40">
        <f t="shared" si="17"/>
        <v>9793542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18240</v>
      </c>
      <c r="F33" s="36">
        <f t="shared" si="31"/>
        <v>47634</v>
      </c>
      <c r="G33" s="40">
        <f t="shared" si="15"/>
        <v>4884878</v>
      </c>
      <c r="H33" s="246">
        <v>34651</v>
      </c>
      <c r="I33" s="246">
        <v>13376</v>
      </c>
      <c r="J33" s="36">
        <f t="shared" ref="J33" si="33">H33+I33</f>
        <v>48027</v>
      </c>
      <c r="K33" s="40">
        <f t="shared" si="23"/>
        <v>5004309</v>
      </c>
      <c r="L33" s="246">
        <v>64045</v>
      </c>
      <c r="M33" s="246">
        <v>30898</v>
      </c>
      <c r="N33" s="36">
        <f t="shared" ref="N33" si="34">L33+M33</f>
        <v>94943</v>
      </c>
      <c r="O33" s="40">
        <f t="shared" si="17"/>
        <v>9888485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5">D34+E34</f>
        <v>34049</v>
      </c>
      <c r="G34" s="40">
        <f t="shared" si="15"/>
        <v>4918927</v>
      </c>
      <c r="H34" s="246">
        <v>27253</v>
      </c>
      <c r="I34" s="246">
        <v>2242</v>
      </c>
      <c r="J34" s="36">
        <f t="shared" ref="J34:J35" si="36">H34+I34</f>
        <v>29495</v>
      </c>
      <c r="K34" s="40">
        <f t="shared" si="23"/>
        <v>5033804</v>
      </c>
      <c r="L34" s="246">
        <v>60710</v>
      </c>
      <c r="M34" s="246">
        <v>2834</v>
      </c>
      <c r="N34" s="36">
        <f t="shared" ref="N34" si="37">L34+M34</f>
        <v>63544</v>
      </c>
      <c r="O34" s="40">
        <f t="shared" si="17"/>
        <v>9952029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5"/>
        <v>33514</v>
      </c>
      <c r="G35" s="40">
        <f t="shared" si="15"/>
        <v>4952441</v>
      </c>
      <c r="H35" s="246">
        <v>28208</v>
      </c>
      <c r="I35" s="246">
        <v>1125</v>
      </c>
      <c r="J35" s="36">
        <f t="shared" si="36"/>
        <v>29333</v>
      </c>
      <c r="K35" s="40">
        <f t="shared" si="23"/>
        <v>5063137</v>
      </c>
      <c r="L35" s="246">
        <v>60140</v>
      </c>
      <c r="M35" s="246">
        <v>2707</v>
      </c>
      <c r="N35" s="36">
        <f t="shared" ref="N35:N36" si="38">L35+M35</f>
        <v>62847</v>
      </c>
      <c r="O35" s="40">
        <f t="shared" si="17"/>
        <v>10014876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39">D36+E36</f>
        <v>33731</v>
      </c>
      <c r="G36" s="40">
        <f t="shared" si="15"/>
        <v>4986172</v>
      </c>
      <c r="H36" s="246">
        <v>26251</v>
      </c>
      <c r="I36" s="246">
        <v>-438</v>
      </c>
      <c r="J36" s="36">
        <f t="shared" ref="J36" si="40">H36+I36</f>
        <v>25813</v>
      </c>
      <c r="K36" s="40">
        <f t="shared" si="23"/>
        <v>5088950</v>
      </c>
      <c r="L36" s="246">
        <v>56846</v>
      </c>
      <c r="M36" s="246">
        <v>2698</v>
      </c>
      <c r="N36" s="36">
        <f t="shared" si="38"/>
        <v>59544</v>
      </c>
      <c r="O36" s="40">
        <f t="shared" si="17"/>
        <v>10074420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1">D37+E37</f>
        <v>38360</v>
      </c>
      <c r="G37" s="40">
        <f t="shared" si="15"/>
        <v>5024532</v>
      </c>
      <c r="H37" s="246">
        <v>20128</v>
      </c>
      <c r="I37" s="246">
        <v>17109</v>
      </c>
      <c r="J37" s="36">
        <f t="shared" ref="J37" si="42">H37+I37</f>
        <v>37237</v>
      </c>
      <c r="K37" s="40">
        <f t="shared" si="23"/>
        <v>5126187</v>
      </c>
      <c r="L37" s="246">
        <v>43875</v>
      </c>
      <c r="M37" s="246">
        <v>31377</v>
      </c>
      <c r="N37" s="36">
        <f t="shared" ref="N37" si="43">L37+M37</f>
        <v>75252</v>
      </c>
      <c r="O37" s="40">
        <f t="shared" si="17"/>
        <v>10149672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4">D38+E38</f>
        <v>31557</v>
      </c>
      <c r="G38" s="40">
        <f t="shared" si="15"/>
        <v>5056089</v>
      </c>
      <c r="H38" s="246">
        <v>23089</v>
      </c>
      <c r="I38" s="246">
        <v>1593</v>
      </c>
      <c r="J38" s="36">
        <f t="shared" ref="J38:J41" si="45">H38+I38</f>
        <v>24682</v>
      </c>
      <c r="K38" s="40">
        <f t="shared" si="23"/>
        <v>5150869</v>
      </c>
      <c r="L38" s="246">
        <v>53742</v>
      </c>
      <c r="M38" s="246">
        <v>2497</v>
      </c>
      <c r="N38" s="36">
        <f t="shared" ref="N38:N42" si="46">L38+M38</f>
        <v>56239</v>
      </c>
      <c r="O38" s="40">
        <f t="shared" si="17"/>
        <v>10205911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4"/>
        <v>36429</v>
      </c>
      <c r="G39" s="40">
        <f t="shared" si="15"/>
        <v>5092518</v>
      </c>
      <c r="H39" s="246">
        <v>28083</v>
      </c>
      <c r="I39" s="246">
        <v>1156</v>
      </c>
      <c r="J39" s="36">
        <f t="shared" si="45"/>
        <v>29239</v>
      </c>
      <c r="K39" s="40">
        <f t="shared" si="23"/>
        <v>5180108</v>
      </c>
      <c r="L39" s="246">
        <v>64785</v>
      </c>
      <c r="M39" s="246">
        <v>912</v>
      </c>
      <c r="N39" s="36">
        <f t="shared" si="46"/>
        <v>65697</v>
      </c>
      <c r="O39" s="40">
        <f t="shared" si="17"/>
        <v>10271608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-345</v>
      </c>
      <c r="F40" s="36">
        <f t="shared" si="44"/>
        <v>31117</v>
      </c>
      <c r="G40" s="40">
        <f t="shared" si="15"/>
        <v>5123635</v>
      </c>
      <c r="H40" s="246">
        <v>22712</v>
      </c>
      <c r="I40" s="246">
        <v>288</v>
      </c>
      <c r="J40" s="36">
        <f t="shared" si="45"/>
        <v>23000</v>
      </c>
      <c r="K40" s="40">
        <f t="shared" si="23"/>
        <v>5203108</v>
      </c>
      <c r="L40" s="246">
        <v>54174</v>
      </c>
      <c r="M40" s="246">
        <v>-57</v>
      </c>
      <c r="N40" s="36">
        <f t="shared" si="46"/>
        <v>54117</v>
      </c>
      <c r="O40" s="40">
        <f t="shared" si="17"/>
        <v>10325725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14283</v>
      </c>
      <c r="F41" s="36">
        <f t="shared" ref="F41:F50" si="47">D41+E41</f>
        <v>34045</v>
      </c>
      <c r="G41" s="40">
        <f t="shared" si="15"/>
        <v>5157680</v>
      </c>
      <c r="H41" s="246">
        <v>16114</v>
      </c>
      <c r="I41" s="246">
        <v>16152</v>
      </c>
      <c r="J41" s="36">
        <f t="shared" si="45"/>
        <v>32266</v>
      </c>
      <c r="K41" s="40">
        <f t="shared" si="23"/>
        <v>5235374</v>
      </c>
      <c r="L41" s="246">
        <v>35876</v>
      </c>
      <c r="M41" s="246">
        <v>30586</v>
      </c>
      <c r="N41" s="36">
        <f t="shared" si="46"/>
        <v>66462</v>
      </c>
      <c r="O41" s="40">
        <f t="shared" si="17"/>
        <v>10392187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47"/>
        <v>21968</v>
      </c>
      <c r="G42" s="40">
        <f t="shared" si="15"/>
        <v>5179648</v>
      </c>
      <c r="H42" s="246">
        <v>21619</v>
      </c>
      <c r="I42" s="246">
        <v>-1019</v>
      </c>
      <c r="J42" s="36">
        <f t="shared" ref="J42:J51" si="48">H42+I42</f>
        <v>20600</v>
      </c>
      <c r="K42" s="40">
        <f t="shared" si="23"/>
        <v>5255974</v>
      </c>
      <c r="L42" s="246">
        <v>44979</v>
      </c>
      <c r="M42" s="246">
        <v>-2411</v>
      </c>
      <c r="N42" s="36">
        <f t="shared" si="46"/>
        <v>42568</v>
      </c>
      <c r="O42" s="40">
        <f t="shared" si="17"/>
        <v>10434755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47"/>
        <v>23891</v>
      </c>
      <c r="G43" s="40">
        <f t="shared" si="15"/>
        <v>5203539</v>
      </c>
      <c r="H43" s="246">
        <v>17583</v>
      </c>
      <c r="I43" s="246">
        <v>-875</v>
      </c>
      <c r="J43" s="36">
        <f t="shared" si="48"/>
        <v>16708</v>
      </c>
      <c r="K43" s="40">
        <f t="shared" si="23"/>
        <v>5272682</v>
      </c>
      <c r="L43" s="246">
        <v>42794</v>
      </c>
      <c r="M43" s="246">
        <v>-2195</v>
      </c>
      <c r="N43" s="36">
        <f t="shared" ref="N43:N50" si="49">L43+M43</f>
        <v>40599</v>
      </c>
      <c r="O43" s="40">
        <f t="shared" si="17"/>
        <v>10475354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47"/>
        <v>17401</v>
      </c>
      <c r="G44" s="40">
        <f t="shared" si="15"/>
        <v>5220940</v>
      </c>
      <c r="H44" s="246">
        <v>15720</v>
      </c>
      <c r="I44" s="246">
        <v>1709</v>
      </c>
      <c r="J44" s="36">
        <f t="shared" si="48"/>
        <v>17429</v>
      </c>
      <c r="K44" s="40">
        <f t="shared" si="23"/>
        <v>5290111</v>
      </c>
      <c r="L44" s="246">
        <v>32436</v>
      </c>
      <c r="M44" s="246">
        <v>2409</v>
      </c>
      <c r="N44" s="36">
        <f t="shared" si="49"/>
        <v>34845</v>
      </c>
      <c r="O44" s="40">
        <f t="shared" si="17"/>
        <v>10510199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47"/>
        <v>16566</v>
      </c>
      <c r="G45" s="40">
        <f t="shared" si="15"/>
        <v>5237506</v>
      </c>
      <c r="H45" s="246">
        <v>18324</v>
      </c>
      <c r="I45" s="246">
        <v>-929</v>
      </c>
      <c r="J45" s="36">
        <f t="shared" si="48"/>
        <v>17395</v>
      </c>
      <c r="K45" s="40">
        <f t="shared" si="23"/>
        <v>5307506</v>
      </c>
      <c r="L45" s="246">
        <v>37249</v>
      </c>
      <c r="M45" s="246">
        <v>-3288</v>
      </c>
      <c r="N45" s="36">
        <f t="shared" si="49"/>
        <v>33961</v>
      </c>
      <c r="O45" s="40">
        <f t="shared" si="17"/>
        <v>10544160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7651</v>
      </c>
      <c r="F46" s="36">
        <f t="shared" si="47"/>
        <v>27043</v>
      </c>
      <c r="G46" s="40">
        <f t="shared" si="15"/>
        <v>5264549</v>
      </c>
      <c r="H46" s="246">
        <v>19675</v>
      </c>
      <c r="I46" s="246">
        <v>13898</v>
      </c>
      <c r="J46" s="36">
        <f t="shared" si="48"/>
        <v>33573</v>
      </c>
      <c r="K46" s="40">
        <f t="shared" si="23"/>
        <v>5341079</v>
      </c>
      <c r="L46" s="246">
        <v>39067</v>
      </c>
      <c r="M46" s="246">
        <v>21331</v>
      </c>
      <c r="N46" s="36">
        <f t="shared" si="49"/>
        <v>60398</v>
      </c>
      <c r="O46" s="40">
        <f t="shared" si="17"/>
        <v>10604558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3111</v>
      </c>
      <c r="F47" s="36">
        <f t="shared" si="47"/>
        <v>24027</v>
      </c>
      <c r="G47" s="40">
        <f t="shared" si="15"/>
        <v>5288576</v>
      </c>
      <c r="H47" s="246">
        <v>20609</v>
      </c>
      <c r="I47" s="246">
        <v>-2048</v>
      </c>
      <c r="J47" s="36">
        <f t="shared" si="48"/>
        <v>18561</v>
      </c>
      <c r="K47" s="40">
        <f t="shared" si="23"/>
        <v>5359640</v>
      </c>
      <c r="L47" s="246">
        <v>41525</v>
      </c>
      <c r="M47" s="246">
        <v>1063</v>
      </c>
      <c r="N47" s="36">
        <f t="shared" si="49"/>
        <v>42588</v>
      </c>
      <c r="O47" s="40">
        <f t="shared" si="17"/>
        <v>10647146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-1552</v>
      </c>
      <c r="F48" s="36">
        <f t="shared" si="47"/>
        <v>17536</v>
      </c>
      <c r="G48" s="40">
        <f t="shared" si="15"/>
        <v>5306112</v>
      </c>
      <c r="H48" s="246">
        <v>21242</v>
      </c>
      <c r="I48" s="246">
        <v>-379</v>
      </c>
      <c r="J48" s="36">
        <f t="shared" si="48"/>
        <v>20863</v>
      </c>
      <c r="K48" s="40">
        <f t="shared" si="23"/>
        <v>5380503</v>
      </c>
      <c r="L48" s="246">
        <v>40330</v>
      </c>
      <c r="M48" s="246">
        <v>-1931</v>
      </c>
      <c r="N48" s="36">
        <f t="shared" si="49"/>
        <v>38399</v>
      </c>
      <c r="O48" s="40">
        <f t="shared" si="17"/>
        <v>10685545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-1912</v>
      </c>
      <c r="F49" s="36">
        <f t="shared" si="47"/>
        <v>10496</v>
      </c>
      <c r="G49" s="40">
        <f t="shared" si="15"/>
        <v>5316608</v>
      </c>
      <c r="H49" s="246">
        <v>16157</v>
      </c>
      <c r="I49" s="246">
        <v>-1463</v>
      </c>
      <c r="J49" s="36">
        <f t="shared" si="48"/>
        <v>14694</v>
      </c>
      <c r="K49" s="40">
        <f t="shared" si="23"/>
        <v>5395197</v>
      </c>
      <c r="L49" s="246">
        <v>28565</v>
      </c>
      <c r="M49" s="246">
        <v>-3375</v>
      </c>
      <c r="N49" s="36">
        <f t="shared" si="49"/>
        <v>25190</v>
      </c>
      <c r="O49" s="40">
        <f t="shared" si="17"/>
        <v>10710735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3414</v>
      </c>
      <c r="F50" s="36">
        <f t="shared" si="47"/>
        <v>5023</v>
      </c>
      <c r="G50" s="40">
        <f t="shared" si="15"/>
        <v>5321631</v>
      </c>
      <c r="H50" s="246">
        <v>3883</v>
      </c>
      <c r="I50" s="246">
        <v>6652</v>
      </c>
      <c r="J50" s="36">
        <f t="shared" si="48"/>
        <v>10535</v>
      </c>
      <c r="K50" s="40">
        <f t="shared" si="23"/>
        <v>5405732</v>
      </c>
      <c r="L50" s="246">
        <v>5492</v>
      </c>
      <c r="M50" s="246">
        <v>9834</v>
      </c>
      <c r="N50" s="36">
        <f t="shared" si="49"/>
        <v>15326</v>
      </c>
      <c r="O50" s="40">
        <f t="shared" si="17"/>
        <v>10726061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-1348</v>
      </c>
      <c r="F51" s="36">
        <f t="shared" ref="F51:F53" si="50">D51+E51</f>
        <v>4914</v>
      </c>
      <c r="G51" s="40">
        <f t="shared" si="15"/>
        <v>5326545</v>
      </c>
      <c r="H51" s="246">
        <v>5586</v>
      </c>
      <c r="I51" s="246">
        <v>96</v>
      </c>
      <c r="J51" s="36">
        <f t="shared" si="48"/>
        <v>5682</v>
      </c>
      <c r="K51" s="40">
        <f t="shared" si="23"/>
        <v>5411414</v>
      </c>
      <c r="L51" s="246">
        <v>11848</v>
      </c>
      <c r="M51" s="246">
        <v>-1252</v>
      </c>
      <c r="N51" s="36">
        <f t="shared" ref="N51:N53" si="51">L51+M51</f>
        <v>10596</v>
      </c>
      <c r="O51" s="40">
        <f t="shared" si="17"/>
        <v>10736657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-1110</v>
      </c>
      <c r="F52" s="36">
        <f t="shared" si="50"/>
        <v>14136</v>
      </c>
      <c r="G52" s="40">
        <f t="shared" si="15"/>
        <v>5340681</v>
      </c>
      <c r="H52" s="246">
        <v>8820</v>
      </c>
      <c r="I52" s="246">
        <v>1052</v>
      </c>
      <c r="J52" s="36">
        <f t="shared" ref="J52:J53" si="52">H52+I52</f>
        <v>9872</v>
      </c>
      <c r="K52" s="40">
        <f t="shared" si="23"/>
        <v>5421286</v>
      </c>
      <c r="L52" s="246">
        <v>24066</v>
      </c>
      <c r="M52" s="246">
        <v>85</v>
      </c>
      <c r="N52" s="36">
        <f t="shared" si="51"/>
        <v>24151</v>
      </c>
      <c r="O52" s="40">
        <f t="shared" si="17"/>
        <v>10760808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>
        <v>15427</v>
      </c>
      <c r="E53" s="246">
        <v>2263</v>
      </c>
      <c r="F53" s="36">
        <f t="shared" si="50"/>
        <v>17690</v>
      </c>
      <c r="G53" s="40">
        <f t="shared" si="15"/>
        <v>5358371</v>
      </c>
      <c r="H53" s="246">
        <v>15785</v>
      </c>
      <c r="I53" s="246">
        <v>-1388</v>
      </c>
      <c r="J53" s="36">
        <f t="shared" si="52"/>
        <v>14397</v>
      </c>
      <c r="K53" s="40">
        <f t="shared" si="23"/>
        <v>5435683</v>
      </c>
      <c r="L53" s="246">
        <v>31212</v>
      </c>
      <c r="M53" s="246">
        <v>1415</v>
      </c>
      <c r="N53" s="36">
        <f t="shared" si="51"/>
        <v>32627</v>
      </c>
      <c r="O53" s="40">
        <f t="shared" si="17"/>
        <v>10793435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>
        <v>17748</v>
      </c>
      <c r="E54" s="246">
        <v>-4819</v>
      </c>
      <c r="F54" s="36">
        <f t="shared" ref="F54" si="53">D54+E54</f>
        <v>12929</v>
      </c>
      <c r="G54" s="40">
        <f>G53+F54</f>
        <v>5371300</v>
      </c>
      <c r="H54" s="246">
        <v>14653</v>
      </c>
      <c r="I54" s="246">
        <v>-736</v>
      </c>
      <c r="J54" s="36">
        <f t="shared" ref="J54:J55" si="54">H54+I54</f>
        <v>13917</v>
      </c>
      <c r="K54" s="40">
        <f>K53+J54</f>
        <v>5449600</v>
      </c>
      <c r="L54" s="246">
        <v>32401</v>
      </c>
      <c r="M54" s="246">
        <v>-4579</v>
      </c>
      <c r="N54" s="36">
        <f t="shared" ref="N54" si="55">L54+M54</f>
        <v>27822</v>
      </c>
      <c r="O54" s="40">
        <f>O53+N54</f>
        <v>10821257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>
        <v>15370</v>
      </c>
      <c r="E55" s="246">
        <v>1463</v>
      </c>
      <c r="F55" s="36">
        <f t="shared" ref="F55" si="56">D55+E55</f>
        <v>16833</v>
      </c>
      <c r="G55" s="40">
        <f>G54+F55</f>
        <v>5388133</v>
      </c>
      <c r="H55" s="246">
        <v>20094</v>
      </c>
      <c r="I55" s="246">
        <v>14356</v>
      </c>
      <c r="J55" s="36">
        <f t="shared" si="54"/>
        <v>34450</v>
      </c>
      <c r="K55" s="40">
        <f>K54+J55</f>
        <v>5484050</v>
      </c>
      <c r="L55" s="246">
        <v>35464</v>
      </c>
      <c r="M55" s="246">
        <v>15642</v>
      </c>
      <c r="N55" s="36">
        <f t="shared" ref="N55" si="57">L55+M55</f>
        <v>51106</v>
      </c>
      <c r="O55" s="40">
        <f>O54+N55</f>
        <v>10872363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>
        <v>18884</v>
      </c>
      <c r="E56" s="246">
        <v>-266</v>
      </c>
      <c r="F56" s="36">
        <f t="shared" ref="F56:F57" si="58">D56+E56</f>
        <v>18618</v>
      </c>
      <c r="G56" s="40">
        <f t="shared" ref="G56:G58" si="59">G55+F56</f>
        <v>5406751</v>
      </c>
      <c r="H56" s="246">
        <v>31981</v>
      </c>
      <c r="I56" s="246">
        <v>-215</v>
      </c>
      <c r="J56" s="36">
        <f t="shared" ref="J56:J58" si="60">H56+I56</f>
        <v>31766</v>
      </c>
      <c r="K56" s="40">
        <f t="shared" ref="K56:K58" si="61">K55+J56</f>
        <v>5515816</v>
      </c>
      <c r="L56" s="246">
        <v>50865</v>
      </c>
      <c r="M56" s="246">
        <v>1123</v>
      </c>
      <c r="N56" s="36">
        <f t="shared" ref="N56" si="62">L56+M56</f>
        <v>51988</v>
      </c>
      <c r="O56" s="40">
        <f t="shared" ref="O56:O57" si="63">O55+N56</f>
        <v>10924351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>
        <v>15793</v>
      </c>
      <c r="E57" s="246">
        <v>-1847</v>
      </c>
      <c r="F57" s="36">
        <f t="shared" si="58"/>
        <v>13946</v>
      </c>
      <c r="G57" s="40">
        <f t="shared" si="59"/>
        <v>5420697</v>
      </c>
      <c r="H57" s="246">
        <v>28416</v>
      </c>
      <c r="I57" s="246">
        <v>-88</v>
      </c>
      <c r="J57" s="36">
        <f t="shared" si="60"/>
        <v>28328</v>
      </c>
      <c r="K57" s="40">
        <f t="shared" si="61"/>
        <v>5544144</v>
      </c>
      <c r="L57" s="246">
        <v>44209</v>
      </c>
      <c r="M57" s="246">
        <v>923</v>
      </c>
      <c r="N57" s="36">
        <f t="shared" ref="N57:N58" si="64">L57+M57</f>
        <v>45132</v>
      </c>
      <c r="O57" s="40">
        <f t="shared" si="63"/>
        <v>10969483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>
        <v>7284</v>
      </c>
      <c r="E58" s="246">
        <v>-1203</v>
      </c>
      <c r="F58" s="36">
        <f t="shared" ref="F58" si="65">D58+E58</f>
        <v>6081</v>
      </c>
      <c r="G58" s="40">
        <f t="shared" si="59"/>
        <v>5426778</v>
      </c>
      <c r="H58" s="246">
        <v>13025</v>
      </c>
      <c r="I58" s="246">
        <v>-228</v>
      </c>
      <c r="J58" s="36">
        <f t="shared" si="60"/>
        <v>12797</v>
      </c>
      <c r="K58" s="40">
        <f t="shared" si="61"/>
        <v>5556941</v>
      </c>
      <c r="L58" s="246">
        <v>20309</v>
      </c>
      <c r="M58" s="246">
        <v>0</v>
      </c>
      <c r="N58" s="36">
        <f t="shared" si="64"/>
        <v>20309</v>
      </c>
      <c r="O58" s="40">
        <f>O57+N58</f>
        <v>10989792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>
        <v>10993</v>
      </c>
      <c r="E59" s="246">
        <v>487</v>
      </c>
      <c r="F59" s="36">
        <f t="shared" ref="F59" si="66">D59+E59</f>
        <v>11480</v>
      </c>
      <c r="G59" s="40">
        <f>G58+F59</f>
        <v>5438258</v>
      </c>
      <c r="H59" s="246">
        <v>12064</v>
      </c>
      <c r="I59" s="246">
        <v>12905</v>
      </c>
      <c r="J59" s="36">
        <f t="shared" ref="J59" si="67">H59+I59</f>
        <v>24969</v>
      </c>
      <c r="K59" s="40">
        <f>K58+J59</f>
        <v>5581910</v>
      </c>
      <c r="L59" s="246">
        <f t="shared" ref="L59:L67" si="68">D59+H59</f>
        <v>23057</v>
      </c>
      <c r="M59" s="246">
        <f t="shared" ref="M59:M61" si="69">E59+I59</f>
        <v>13392</v>
      </c>
      <c r="N59" s="36">
        <f t="shared" ref="N59:N61" si="70">L59+M59</f>
        <v>36449</v>
      </c>
      <c r="O59" s="40">
        <f>O58+N59</f>
        <v>11026241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>
        <v>12911</v>
      </c>
      <c r="E60" s="246">
        <v>1034</v>
      </c>
      <c r="F60" s="36">
        <f t="shared" ref="F60" si="71">D60+E60</f>
        <v>13945</v>
      </c>
      <c r="G60" s="40">
        <f t="shared" ref="G60:G62" si="72">G59+F60</f>
        <v>5452203</v>
      </c>
      <c r="H60" s="246">
        <v>18316</v>
      </c>
      <c r="I60" s="246">
        <v>1111</v>
      </c>
      <c r="J60" s="36">
        <f t="shared" ref="J60:J61" si="73">H60+I60</f>
        <v>19427</v>
      </c>
      <c r="K60" s="40">
        <f>K59+J60</f>
        <v>5601337</v>
      </c>
      <c r="L60" s="246">
        <f t="shared" si="68"/>
        <v>31227</v>
      </c>
      <c r="M60" s="246">
        <f t="shared" si="69"/>
        <v>2145</v>
      </c>
      <c r="N60" s="36">
        <f t="shared" si="70"/>
        <v>33372</v>
      </c>
      <c r="O60" s="40">
        <f>O59+N60</f>
        <v>11059613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>
        <v>44372</v>
      </c>
      <c r="E61" s="246">
        <v>0</v>
      </c>
      <c r="F61" s="36">
        <f t="shared" ref="F61" si="74">D61+E61</f>
        <v>44372</v>
      </c>
      <c r="G61" s="40">
        <f t="shared" si="72"/>
        <v>5496575</v>
      </c>
      <c r="H61" s="246">
        <v>32321</v>
      </c>
      <c r="I61" s="246">
        <v>316</v>
      </c>
      <c r="J61" s="36">
        <f t="shared" si="73"/>
        <v>32637</v>
      </c>
      <c r="K61" s="40">
        <f>K60+J61</f>
        <v>5633974</v>
      </c>
      <c r="L61" s="246">
        <f t="shared" si="68"/>
        <v>76693</v>
      </c>
      <c r="M61" s="246">
        <f t="shared" si="69"/>
        <v>316</v>
      </c>
      <c r="N61" s="36">
        <f t="shared" si="70"/>
        <v>77009</v>
      </c>
      <c r="O61" s="40">
        <f>O60+N61</f>
        <v>11136622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>
        <v>36681</v>
      </c>
      <c r="E62" s="246">
        <v>0</v>
      </c>
      <c r="F62" s="36">
        <f t="shared" ref="F62" si="75">D62+E62</f>
        <v>36681</v>
      </c>
      <c r="G62" s="40">
        <f t="shared" si="72"/>
        <v>5533256</v>
      </c>
      <c r="H62" s="246">
        <v>35588</v>
      </c>
      <c r="I62" s="246">
        <v>0</v>
      </c>
      <c r="J62" s="36">
        <f t="shared" ref="J62:J65" si="76">H62+I62</f>
        <v>35588</v>
      </c>
      <c r="K62" s="40">
        <f>K61+J62</f>
        <v>5669562</v>
      </c>
      <c r="L62" s="246">
        <f t="shared" si="68"/>
        <v>72269</v>
      </c>
      <c r="M62" s="246">
        <f t="shared" ref="M62" si="77">E62+I62</f>
        <v>0</v>
      </c>
      <c r="N62" s="36">
        <f t="shared" ref="N62" si="78">L62+M62</f>
        <v>72269</v>
      </c>
      <c r="O62" s="40">
        <f>O61+N62</f>
        <v>11208891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9">D63+E63</f>
        <v>0</v>
      </c>
      <c r="G63" s="40"/>
      <c r="H63" s="246"/>
      <c r="I63" s="246"/>
      <c r="J63" s="36">
        <f t="shared" si="76"/>
        <v>0</v>
      </c>
      <c r="K63" s="38"/>
      <c r="L63" s="246">
        <f t="shared" si="68"/>
        <v>0</v>
      </c>
      <c r="M63" s="246">
        <f t="shared" ref="M63" si="80">E63+I63</f>
        <v>0</v>
      </c>
      <c r="N63" s="36">
        <f t="shared" ref="N63" si="81">L63+M63</f>
        <v>0</v>
      </c>
      <c r="O63" s="40"/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68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68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68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68"/>
        <v>0</v>
      </c>
      <c r="M67" s="246"/>
      <c r="N67" s="36">
        <f t="shared" ref="N67" si="93">L67+M67</f>
        <v>0</v>
      </c>
      <c r="O67" s="40"/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S66" sqref="S66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6" t="s">
        <v>39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8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298">
        <f>'Mielies-Maize'!F20</f>
        <v>441408</v>
      </c>
      <c r="T22" s="315">
        <f t="shared" si="7"/>
        <v>334884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298">
        <f>'Mielies-Maize'!F24</f>
        <v>501491</v>
      </c>
      <c r="T26" s="315">
        <f t="shared" si="7"/>
        <v>555858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298">
        <f>'Mielies-Maize'!F28</f>
        <v>209778</v>
      </c>
      <c r="T30" s="315">
        <f t="shared" si="7"/>
        <v>513791.6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298">
        <f>'Mielies-Maize'!F33</f>
        <v>47634</v>
      </c>
      <c r="T35" s="315">
        <f t="shared" si="7"/>
        <v>171464.2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298">
        <f>'Mielies-Maize'!F40</f>
        <v>31117</v>
      </c>
      <c r="T42" s="315">
        <f t="shared" ref="T42" si="12">AVERAGE(O42:S42)</f>
        <v>23279.599999999999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298">
        <f>'Mielies-Maize'!F41</f>
        <v>34045</v>
      </c>
      <c r="T43" s="315">
        <f t="shared" ref="T43" si="13">AVERAGE(O43:S43)</f>
        <v>32346.6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298">
        <f>'Mielies-Maize'!F46</f>
        <v>27043</v>
      </c>
      <c r="T48" s="315">
        <f t="shared" ref="T48" si="16">AVERAGE(O48:S48)</f>
        <v>18464.2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298">
        <f>'Mielies-Maize'!F47</f>
        <v>24027</v>
      </c>
      <c r="T49" s="315">
        <f t="shared" ref="T49:T53" si="17">AVERAGE(O49:S49)</f>
        <v>13769.8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298">
        <f>'Mielies-Maize'!F48</f>
        <v>17536</v>
      </c>
      <c r="T50" s="315">
        <f t="shared" si="17"/>
        <v>9839.6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298">
        <f>'Mielies-Maize'!F49</f>
        <v>10496</v>
      </c>
      <c r="T51" s="315">
        <f t="shared" si="17"/>
        <v>7019.2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298">
        <f>'Mielies-Maize'!F50</f>
        <v>5023</v>
      </c>
      <c r="T52" s="315">
        <f t="shared" si="17"/>
        <v>15204.6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298">
        <f>'Mielies-Maize'!F51</f>
        <v>4914</v>
      </c>
      <c r="T53" s="315">
        <f t="shared" si="17"/>
        <v>4165.3999999999996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298">
        <f>'Mielies-Maize'!F52</f>
        <v>14136</v>
      </c>
      <c r="T54" s="315">
        <f t="shared" ref="T54:T55" si="18">AVERAGE(O54:S54)</f>
        <v>8791.4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298">
        <f>'Mielies-Maize'!F53</f>
        <v>17690</v>
      </c>
      <c r="T55" s="315">
        <f t="shared" si="18"/>
        <v>11756.2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298">
        <f>'Mielies-Maize'!F54</f>
        <v>12929</v>
      </c>
      <c r="T56" s="315">
        <f t="shared" ref="T56" si="19">AVERAGE(O56:S56)</f>
        <v>24860.6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298">
        <f>'Mielies-Maize'!F55</f>
        <v>16833</v>
      </c>
      <c r="T57" s="315">
        <f>AVERAGE(O57:S57)</f>
        <v>19169.8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298">
        <f>'Mielies-Maize'!F56</f>
        <v>18618</v>
      </c>
      <c r="T58" s="315">
        <f>AVERAGE(O58:S58)</f>
        <v>15727</v>
      </c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298">
        <f>'Mielies-Maize'!F57</f>
        <v>13946</v>
      </c>
      <c r="T59" s="315">
        <f t="shared" ref="T59" si="20">AVERAGE(O59:S59)</f>
        <v>15930.8</v>
      </c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298">
        <f>'Mielies-Maize'!F58</f>
        <v>6081</v>
      </c>
      <c r="T60" s="315">
        <f t="shared" ref="T60" si="21">AVERAGE(O60:S60)</f>
        <v>21146.400000000001</v>
      </c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298">
        <f>'Mielies-Maize'!F59</f>
        <v>11480</v>
      </c>
      <c r="T61" s="315">
        <f>AVERAGE(O61:S61)</f>
        <v>16745.8</v>
      </c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298">
        <f>'Mielies-Maize'!F60</f>
        <v>13945</v>
      </c>
      <c r="T62" s="315">
        <f>AVERAGE(O62:S62)</f>
        <v>15102</v>
      </c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298">
        <f>'Mielies-Maize'!F61</f>
        <v>44372</v>
      </c>
      <c r="T63" s="315">
        <f t="shared" ref="T63" si="22">AVERAGE(O63:S63)</f>
        <v>23585.599999999999</v>
      </c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298">
        <f>'Mielies-Maize'!F62</f>
        <v>36681</v>
      </c>
      <c r="T64" s="315">
        <f t="shared" ref="T64" si="23">AVERAGE(O64:S64)</f>
        <v>29708.2</v>
      </c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298">
        <f>'Mielies-Maize'!F63</f>
        <v>0</v>
      </c>
      <c r="T65" s="315"/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298">
        <f>'Mielies-Maize'!F64</f>
        <v>0</v>
      </c>
      <c r="T66" s="315"/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298">
        <f>'Mielies-Maize'!F65</f>
        <v>0</v>
      </c>
      <c r="T67" s="315"/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298"/>
      <c r="T68" s="315"/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3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8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309">
        <f>AVERAGE(O72:S72)</f>
        <v>7934255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9">
        <f>AVERAGE(O73:S73)</f>
        <v>203800</v>
      </c>
    </row>
    <row r="74" spans="2:20" ht="14.25" customHeight="1" x14ac:dyDescent="0.3">
      <c r="B74" s="179" t="s">
        <v>70</v>
      </c>
      <c r="C74" s="152"/>
      <c r="D74" s="88">
        <f t="shared" ref="D74:I74" si="24">D72-D73</f>
        <v>7360107</v>
      </c>
      <c r="E74" s="88">
        <f t="shared" si="24"/>
        <v>6660110</v>
      </c>
      <c r="F74" s="88">
        <f t="shared" si="24"/>
        <v>5951688</v>
      </c>
      <c r="G74" s="88">
        <f t="shared" si="24"/>
        <v>6789559</v>
      </c>
      <c r="H74" s="88">
        <f t="shared" si="24"/>
        <v>5495858</v>
      </c>
      <c r="I74" s="88">
        <f t="shared" si="24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5">O72-O73</f>
        <v>8411310</v>
      </c>
      <c r="P74" s="242">
        <f t="shared" si="25"/>
        <v>8398000</v>
      </c>
      <c r="Q74" s="242">
        <f t="shared" si="25"/>
        <v>7673000</v>
      </c>
      <c r="R74" s="242">
        <f>R72-R73</f>
        <v>8284965</v>
      </c>
      <c r="S74" s="242">
        <f>S72-S73</f>
        <v>5885000</v>
      </c>
      <c r="T74" s="309">
        <f>AVERAGE(O74:S74)</f>
        <v>7730455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6">D15</f>
        <v>328341</v>
      </c>
      <c r="E77" s="238">
        <f t="shared" si="26"/>
        <v>115703</v>
      </c>
      <c r="F77" s="222">
        <f t="shared" si="26"/>
        <v>406000</v>
      </c>
      <c r="G77" s="222">
        <f t="shared" si="26"/>
        <v>510398</v>
      </c>
      <c r="H77" s="222">
        <f t="shared" si="26"/>
        <v>269777</v>
      </c>
      <c r="I77" s="222">
        <f t="shared" si="26"/>
        <v>305123</v>
      </c>
      <c r="J77" s="231">
        <f t="shared" ref="J77" si="27">J17</f>
        <v>174836</v>
      </c>
      <c r="K77" s="231">
        <f>K17</f>
        <v>288056</v>
      </c>
      <c r="L77" s="231">
        <f>L17</f>
        <v>610419</v>
      </c>
      <c r="M77" s="245">
        <f t="shared" ref="M77:O77" si="28">M17</f>
        <v>117369</v>
      </c>
      <c r="N77" s="245">
        <f>N17</f>
        <v>85898</v>
      </c>
      <c r="O77" s="304">
        <f t="shared" si="28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29">SUM(D18:D24)</f>
        <v>1960000</v>
      </c>
      <c r="E78" s="305">
        <f t="shared" si="29"/>
        <v>1417000</v>
      </c>
      <c r="F78" s="305">
        <f t="shared" ref="F78:R78" si="30">SUM(F18:F61)</f>
        <v>9731000</v>
      </c>
      <c r="G78" s="305">
        <f t="shared" si="30"/>
        <v>11016607</v>
      </c>
      <c r="H78" s="305">
        <f t="shared" si="30"/>
        <v>10495155</v>
      </c>
      <c r="I78" s="305">
        <f t="shared" si="30"/>
        <v>13275986</v>
      </c>
      <c r="J78" s="305">
        <f t="shared" si="30"/>
        <v>9057930</v>
      </c>
      <c r="K78" s="305">
        <f t="shared" si="30"/>
        <v>6675981</v>
      </c>
      <c r="L78" s="305">
        <f t="shared" si="30"/>
        <v>15385208</v>
      </c>
      <c r="M78" s="305">
        <f t="shared" si="30"/>
        <v>6224103</v>
      </c>
      <c r="N78" s="305">
        <f t="shared" si="30"/>
        <v>5311233</v>
      </c>
      <c r="O78" s="305">
        <f t="shared" si="30"/>
        <v>8169298</v>
      </c>
      <c r="P78" s="305">
        <f t="shared" si="30"/>
        <v>7999725</v>
      </c>
      <c r="Q78" s="305">
        <f t="shared" si="30"/>
        <v>7541586</v>
      </c>
      <c r="R78" s="305">
        <f t="shared" si="30"/>
        <v>8079331</v>
      </c>
      <c r="S78" s="305">
        <f>SUM(S18:S61)</f>
        <v>5438258</v>
      </c>
      <c r="T78" s="305">
        <f>SUM(T18:T61)</f>
        <v>7445639.5999999996</v>
      </c>
    </row>
    <row r="79" spans="2:20" ht="15" thickBot="1" x14ac:dyDescent="0.35">
      <c r="B79" s="115" t="s">
        <v>74</v>
      </c>
      <c r="C79" s="132"/>
      <c r="D79" s="168">
        <f t="shared" ref="D79:K79" si="31">SUM(D77:D78)</f>
        <v>2288341</v>
      </c>
      <c r="E79" s="239">
        <f t="shared" si="31"/>
        <v>1532703</v>
      </c>
      <c r="F79" s="223">
        <f t="shared" si="31"/>
        <v>10137000</v>
      </c>
      <c r="G79" s="223">
        <f t="shared" si="31"/>
        <v>11527005</v>
      </c>
      <c r="H79" s="223">
        <f t="shared" si="31"/>
        <v>10764932</v>
      </c>
      <c r="I79" s="223">
        <f t="shared" si="31"/>
        <v>13581109</v>
      </c>
      <c r="J79" s="223">
        <f t="shared" si="31"/>
        <v>9232766</v>
      </c>
      <c r="K79" s="223">
        <f t="shared" si="31"/>
        <v>6964037</v>
      </c>
      <c r="L79" s="223">
        <f t="shared" ref="L79:T79" si="32">SUM(L77:L78)</f>
        <v>15995627</v>
      </c>
      <c r="M79" s="196">
        <f t="shared" si="32"/>
        <v>6341472</v>
      </c>
      <c r="N79" s="196">
        <f>SUM(N77:N78)</f>
        <v>5397131</v>
      </c>
      <c r="O79" s="239">
        <f t="shared" si="32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5836550</v>
      </c>
      <c r="T79" s="223">
        <f t="shared" si="32"/>
        <v>7628186</v>
      </c>
    </row>
    <row r="80" spans="2:20" ht="15" thickTop="1" x14ac:dyDescent="0.3">
      <c r="B80" s="250" t="s">
        <v>75</v>
      </c>
      <c r="C80" s="248"/>
      <c r="D80" s="249">
        <f t="shared" ref="D80:K80" si="33">SUM(D17:D61)</f>
        <v>7375341</v>
      </c>
      <c r="E80" s="249">
        <f t="shared" si="33"/>
        <v>6709703</v>
      </c>
      <c r="F80" s="249">
        <f t="shared" si="33"/>
        <v>10137000</v>
      </c>
      <c r="G80" s="249">
        <f t="shared" si="33"/>
        <v>11527005</v>
      </c>
      <c r="H80" s="249">
        <f t="shared" si="33"/>
        <v>10764932</v>
      </c>
      <c r="I80" s="249">
        <f t="shared" si="33"/>
        <v>13581109</v>
      </c>
      <c r="J80" s="249">
        <f t="shared" si="33"/>
        <v>9232766</v>
      </c>
      <c r="K80" s="249">
        <f t="shared" si="33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34">G79/G74</f>
        <v>1.6977545964325518</v>
      </c>
      <c r="H81" s="274">
        <f t="shared" si="34"/>
        <v>1.9587354695117669</v>
      </c>
      <c r="I81" s="274">
        <f t="shared" si="34"/>
        <v>1.7934176646194588</v>
      </c>
      <c r="J81" s="293">
        <f>J79/J74</f>
        <v>1.9963212098017467</v>
      </c>
      <c r="K81" s="293">
        <f t="shared" si="34"/>
        <v>2.0680458911318005</v>
      </c>
      <c r="L81" s="293">
        <f>L79/L74</f>
        <v>1.6512467224114793</v>
      </c>
      <c r="M81" s="293">
        <f t="shared" si="34"/>
        <v>0.9606020395179321</v>
      </c>
      <c r="N81" s="293">
        <f t="shared" ref="N81:P81" si="35">N79/N74</f>
        <v>1.0022527390900651</v>
      </c>
      <c r="O81" s="307">
        <f t="shared" si="35"/>
        <v>0.98683070770189185</v>
      </c>
      <c r="P81" s="319">
        <f t="shared" si="35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0.99176720475785896</v>
      </c>
      <c r="T81" s="346">
        <f>T79/T74</f>
        <v>0.98677063639850437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T66" sqref="T66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7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78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9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47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47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47">
        <f>'Mielies-Maize'!J18</f>
        <v>629157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47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47">
        <f>'Mielies-Maize'!J20</f>
        <v>572846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47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47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47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47">
        <f>'Mielies-Maize'!J24</f>
        <v>352284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47">
        <f>'Mielies-Maize'!J25</f>
        <v>176324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47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47">
        <f>'Mielies-Maize'!J27</f>
        <v>105864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47">
        <f>'Mielies-Maize'!J28</f>
        <v>104717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47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47">
        <f>'Mielies-Maize'!J30</f>
        <v>41512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47">
        <f>'Mielies-Maize'!J31</f>
        <v>45995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47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47">
        <f>'Mielies-Maize'!J33</f>
        <v>48027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47">
        <f>'Mielies-Maize'!J34</f>
        <v>29495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47">
        <f>'Mielies-Maize'!J35</f>
        <v>29333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47">
        <f>'Mielies-Maize'!J36</f>
        <v>25813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47">
        <f>'Mielies-Maize'!J37</f>
        <v>37237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47">
        <f>'Mielies-Maize'!J38</f>
        <v>24682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47">
        <f>'Mielies-Maize'!J39</f>
        <v>29239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47">
        <f>'Mielies-Maize'!J40</f>
        <v>23000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47">
        <f>'Mielies-Maize'!J41</f>
        <v>32266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47">
        <f>'Mielies-Maize'!J42</f>
        <v>20600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47">
        <f>'Mielies-Maize'!J43</f>
        <v>16708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47">
        <f>'Mielies-Maize'!J44</f>
        <v>17429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47">
        <f>'Mielies-Maize'!J45</f>
        <v>17395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47">
        <f>'Mielies-Maize'!J46</f>
        <v>33573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47">
        <f>'Mielies-Maize'!J47</f>
        <v>18561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47">
        <f>'Mielies-Maize'!J48</f>
        <v>20863</v>
      </c>
      <c r="U51" s="278">
        <f t="shared" ref="U51:U54" si="15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47">
        <f>'Mielies-Maize'!J49</f>
        <v>14694</v>
      </c>
      <c r="U52" s="278">
        <f t="shared" si="15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47">
        <f>'Mielies-Maize'!J50</f>
        <v>10535</v>
      </c>
      <c r="U53" s="278">
        <f t="shared" si="15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47">
        <f>'Mielies-Maize'!J51</f>
        <v>5682</v>
      </c>
      <c r="U54" s="278">
        <f t="shared" si="15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47">
        <f>'Mielies-Maize'!J52</f>
        <v>9872</v>
      </c>
      <c r="U55" s="278">
        <f t="shared" ref="U55" si="16">AVERAGE(N55:S55)</f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47">
        <f>'Mielies-Maize'!J53</f>
        <v>14397</v>
      </c>
      <c r="U56" s="278">
        <f t="shared" ref="U56:U57" si="17">AVERAGE(N56:S56)</f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47">
        <f>'Mielies-Maize'!J54</f>
        <v>13917</v>
      </c>
      <c r="U57" s="278">
        <f t="shared" si="17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47">
        <f>'Mielies-Maize'!J55</f>
        <v>34450</v>
      </c>
      <c r="U58" s="278">
        <f t="shared" ref="U58:U63" si="18">AVERAGE(N58:S58)</f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47">
        <f>'Mielies-Maize'!J56</f>
        <v>31766</v>
      </c>
      <c r="U59" s="278">
        <f t="shared" si="18"/>
        <v>15081.833333333334</v>
      </c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47">
        <f>'Mielies-Maize'!J57</f>
        <v>28328</v>
      </c>
      <c r="U60" s="278">
        <f t="shared" si="18"/>
        <v>14736</v>
      </c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47">
        <f>'Mielies-Maize'!J58</f>
        <v>12797</v>
      </c>
      <c r="U61" s="278">
        <f t="shared" si="18"/>
        <v>34622.5</v>
      </c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47">
        <f>'Mielies-Maize'!J59</f>
        <v>24969</v>
      </c>
      <c r="U62" s="278">
        <f t="shared" si="18"/>
        <v>23244.833333333332</v>
      </c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47">
        <f>'Mielies-Maize'!J60</f>
        <v>19427</v>
      </c>
      <c r="U63" s="278">
        <f t="shared" si="18"/>
        <v>14913.5</v>
      </c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47">
        <f>'Mielies-Maize'!J61</f>
        <v>32637</v>
      </c>
      <c r="U64" s="278">
        <f t="shared" ref="U64" si="19">AVERAGE(N64:S64)</f>
        <v>19065.166666666668</v>
      </c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47">
        <f>'Mielies-Maize'!J62</f>
        <v>35588</v>
      </c>
      <c r="U65" s="278">
        <f t="shared" ref="U65" si="20">AVERAGE(N65:S65)</f>
        <v>33748</v>
      </c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47"/>
      <c r="U66" s="278"/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47"/>
      <c r="U67" s="278"/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47"/>
      <c r="U68" s="278"/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47"/>
      <c r="U69" s="278"/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47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47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48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309">
        <f>AVERAGE(P73:T73)</f>
        <v>7355552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21">D73-D74</f>
        <v>4786117</v>
      </c>
      <c r="E75" s="88">
        <f t="shared" si="21"/>
        <v>4965334</v>
      </c>
      <c r="F75" s="88">
        <f t="shared" si="21"/>
        <v>4576787</v>
      </c>
      <c r="G75" s="88">
        <f t="shared" si="21"/>
        <v>3934236</v>
      </c>
      <c r="H75" s="88">
        <f t="shared" si="21"/>
        <v>4897569</v>
      </c>
      <c r="I75" s="88">
        <f t="shared" si="21"/>
        <v>5856931</v>
      </c>
      <c r="J75" s="88">
        <f t="shared" si="21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22">Q73-Q74</f>
        <v>7293000</v>
      </c>
      <c r="R75" s="301">
        <f t="shared" si="22"/>
        <v>7230000</v>
      </c>
      <c r="S75" s="301">
        <f t="shared" si="22"/>
        <v>7465260</v>
      </c>
      <c r="T75" s="301">
        <f>T73-T74</f>
        <v>6375000</v>
      </c>
      <c r="U75" s="309">
        <f>AVERAGE(P75:T75)</f>
        <v>6942952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23">L18</f>
        <v>449955</v>
      </c>
      <c r="M78" s="354">
        <f t="shared" si="23"/>
        <v>300642</v>
      </c>
      <c r="N78" s="354">
        <f t="shared" si="23"/>
        <v>122548</v>
      </c>
      <c r="O78" s="354">
        <f t="shared" si="23"/>
        <v>181045</v>
      </c>
      <c r="P78" s="354">
        <f t="shared" si="23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S79" si="24">SUM(G19:G62)</f>
        <v>3862943</v>
      </c>
      <c r="H79" s="356">
        <f t="shared" si="24"/>
        <v>4480629</v>
      </c>
      <c r="I79" s="356">
        <f t="shared" si="24"/>
        <v>5328942</v>
      </c>
      <c r="J79" s="356">
        <f t="shared" si="24"/>
        <v>5861623</v>
      </c>
      <c r="K79" s="356">
        <f t="shared" si="24"/>
        <v>4538679</v>
      </c>
      <c r="L79" s="356">
        <f t="shared" si="24"/>
        <v>3622244</v>
      </c>
      <c r="M79" s="356">
        <f t="shared" si="24"/>
        <v>6234595</v>
      </c>
      <c r="N79" s="356">
        <f t="shared" si="24"/>
        <v>5495238</v>
      </c>
      <c r="O79" s="356">
        <f t="shared" si="24"/>
        <v>5228088</v>
      </c>
      <c r="P79" s="356">
        <f t="shared" si="24"/>
        <v>6152378</v>
      </c>
      <c r="Q79" s="356">
        <f t="shared" si="24"/>
        <v>6867055</v>
      </c>
      <c r="R79" s="356">
        <f t="shared" si="24"/>
        <v>6965800</v>
      </c>
      <c r="S79" s="356">
        <f t="shared" si="24"/>
        <v>7047106</v>
      </c>
      <c r="T79" s="356">
        <f>SUM(T19:T62)</f>
        <v>5581910</v>
      </c>
      <c r="U79" s="356">
        <f>SUM(U19:U62)</f>
        <v>6292610.8333333312</v>
      </c>
    </row>
    <row r="80" spans="2:21" ht="15" thickBot="1" x14ac:dyDescent="0.35">
      <c r="B80" s="115" t="s">
        <v>74</v>
      </c>
      <c r="C80" s="227"/>
      <c r="D80" s="196">
        <f t="shared" ref="D80:J80" si="25">SUM(D78:D79)</f>
        <v>406692</v>
      </c>
      <c r="E80" s="223">
        <f t="shared" si="25"/>
        <v>297016</v>
      </c>
      <c r="F80" s="223">
        <f t="shared" si="25"/>
        <v>114500</v>
      </c>
      <c r="G80" s="223">
        <f t="shared" si="25"/>
        <v>4044943</v>
      </c>
      <c r="H80" s="223">
        <f t="shared" si="25"/>
        <v>4723674</v>
      </c>
      <c r="I80" s="223">
        <f t="shared" si="25"/>
        <v>5855911</v>
      </c>
      <c r="J80" s="223">
        <f t="shared" si="25"/>
        <v>6035284</v>
      </c>
      <c r="K80" s="223">
        <f t="shared" ref="K80:P80" si="26">SUM(K78:K79)</f>
        <v>4905799</v>
      </c>
      <c r="L80" s="223">
        <f t="shared" si="26"/>
        <v>4072199</v>
      </c>
      <c r="M80" s="223">
        <f t="shared" si="26"/>
        <v>6535237</v>
      </c>
      <c r="N80" s="196">
        <f t="shared" si="26"/>
        <v>5617786</v>
      </c>
      <c r="O80" s="196">
        <f t="shared" si="26"/>
        <v>5409133</v>
      </c>
      <c r="P80" s="196">
        <f t="shared" si="26"/>
        <v>6368869</v>
      </c>
      <c r="Q80" s="196">
        <f>SUM(Q78:Q79)</f>
        <v>7387326</v>
      </c>
      <c r="R80" s="239">
        <f>SUM(R78:R79)</f>
        <v>7238660</v>
      </c>
      <c r="S80" s="239">
        <f>SUM(S78:S79)</f>
        <v>7556400</v>
      </c>
      <c r="T80" s="239">
        <f>SUM(T78:T79)</f>
        <v>6291276</v>
      </c>
      <c r="U80" s="196">
        <f>SUM(U78:U79)</f>
        <v>6738267.2333333315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27">D80/D75</f>
        <v>8.4973267473402767E-2</v>
      </c>
      <c r="E82" s="293">
        <f t="shared" si="27"/>
        <v>5.981792966998796E-2</v>
      </c>
      <c r="F82" s="293">
        <f t="shared" si="27"/>
        <v>2.5017550521796186E-2</v>
      </c>
      <c r="G82" s="293">
        <f t="shared" si="27"/>
        <v>1.028139389706159</v>
      </c>
      <c r="H82" s="293">
        <f>H80/H75</f>
        <v>0.96449360897212477</v>
      </c>
      <c r="I82" s="293">
        <f t="shared" ref="I82:M82" si="28">I80/I75</f>
        <v>0.99982584735930813</v>
      </c>
      <c r="J82" s="293">
        <f t="shared" si="28"/>
        <v>0.98013640388229428</v>
      </c>
      <c r="K82" s="293">
        <f t="shared" si="28"/>
        <v>1.0099265477871697</v>
      </c>
      <c r="L82" s="293">
        <f>L80/L75</f>
        <v>0.99727257320974816</v>
      </c>
      <c r="M82" s="293">
        <f t="shared" si="28"/>
        <v>0.99744154456654455</v>
      </c>
      <c r="N82" s="293">
        <f t="shared" ref="N82:R82" si="29">N80/N75</f>
        <v>0.99960604982206402</v>
      </c>
      <c r="O82" s="293">
        <f t="shared" si="29"/>
        <v>1.0054150557620818</v>
      </c>
      <c r="P82" s="274">
        <f t="shared" si="29"/>
        <v>1.0027346296150517</v>
      </c>
      <c r="Q82" s="293">
        <f>Q80/Q75</f>
        <v>1.0129337721102427</v>
      </c>
      <c r="R82" s="319">
        <f t="shared" si="29"/>
        <v>1.0011977869986168</v>
      </c>
      <c r="S82" s="319">
        <f>S80/S75</f>
        <v>1.0122085500036166</v>
      </c>
      <c r="T82" s="319">
        <f>T80/T75</f>
        <v>0.9868668235294118</v>
      </c>
      <c r="U82" s="293">
        <f>U80/U75</f>
        <v>0.97051905779174785</v>
      </c>
    </row>
    <row r="83" spans="2:21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Q56" activePane="bottomRight" state="frozen"/>
      <selection pane="topRight" activeCell="D1" sqref="D1"/>
      <selection pane="bottomLeft" activeCell="A4" sqref="A4"/>
      <selection pane="bottomRight" activeCell="U68" sqref="U68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8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57"/>
    </row>
    <row r="13" spans="2:21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3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115</v>
      </c>
      <c r="U17" s="359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995479</v>
      </c>
      <c r="U21" s="278">
        <f t="shared" si="7"/>
        <v>442252.71428571426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1014254</v>
      </c>
      <c r="U23" s="278">
        <f t="shared" si="7"/>
        <v>630045.57142857148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853775</v>
      </c>
      <c r="U27" s="278">
        <f t="shared" si="7"/>
        <v>1055684.5714285714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541774</v>
      </c>
      <c r="U28" s="278">
        <f t="shared" si="7"/>
        <v>835419.71428571432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314495</v>
      </c>
      <c r="U31" s="278">
        <f t="shared" si="8"/>
        <v>999606.57142857148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98302</v>
      </c>
      <c r="U33" s="278">
        <f t="shared" si="8"/>
        <v>485662.14285714284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98103</v>
      </c>
      <c r="U34" s="278">
        <f t="shared" si="8"/>
        <v>400003.71428571426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95661</v>
      </c>
      <c r="U36" s="278">
        <f t="shared" si="8"/>
        <v>333225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62847</v>
      </c>
      <c r="U38" s="278">
        <f t="shared" ref="U38" si="9">AVERAGE(N38:T38)</f>
        <v>82913.28571428571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278">
        <f t="shared" ref="U39:U40" si="10">AVERAGE(N39:T39)</f>
        <v>79576.571428571435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75597</v>
      </c>
      <c r="U40" s="278">
        <f t="shared" si="10"/>
        <v>128632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56239</v>
      </c>
      <c r="U41" s="278">
        <f t="shared" ref="U41:U43" si="11">AVERAGE(N41:T41)</f>
        <v>37645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65668</v>
      </c>
      <c r="U42" s="278">
        <f t="shared" si="11"/>
        <v>42795.142857142855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278">
        <f t="shared" si="11"/>
        <v>36753.285714285717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66311</v>
      </c>
      <c r="U44" s="278">
        <f t="shared" ref="U44:U45" si="12">AVERAGE(N44:T44)</f>
        <v>83026.28571428571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42568</v>
      </c>
      <c r="U45" s="278">
        <f t="shared" si="12"/>
        <v>39608.142857142855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40599</v>
      </c>
      <c r="U46" s="278">
        <f t="shared" ref="U46" si="13">AVERAGE(N46:T46)</f>
        <v>24372.428571428572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34830</v>
      </c>
      <c r="U47" s="278">
        <f t="shared" ref="U47:U48" si="14">AVERAGE(N47:T47)</f>
        <v>21985.285714285714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33961</v>
      </c>
      <c r="U48" s="278">
        <f t="shared" si="14"/>
        <v>43992.142857142855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60616</v>
      </c>
      <c r="U49" s="278">
        <f t="shared" ref="U49" si="15">AVERAGE(N49:T49)</f>
        <v>47090.142857142855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42588</v>
      </c>
      <c r="U50" s="278">
        <f t="shared" ref="U50" si="16">AVERAGE(N50:T50)</f>
        <v>19900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38399</v>
      </c>
      <c r="U51" s="278">
        <f t="shared" ref="U51:U54" si="17">AVERAGE(N51:T51)</f>
        <v>17517.571428571428</v>
      </c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25190</v>
      </c>
      <c r="U52" s="278">
        <f t="shared" si="17"/>
        <v>13470.142857142857</v>
      </c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15558</v>
      </c>
      <c r="U53" s="278">
        <f t="shared" si="17"/>
        <v>36113.428571428572</v>
      </c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278">
        <f t="shared" si="17"/>
        <v>6170.7142857142853</v>
      </c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24008</v>
      </c>
      <c r="U55" s="278">
        <f t="shared" ref="U55" si="18">AVERAGE(N55:T55)</f>
        <v>13550.571428571429</v>
      </c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32087</v>
      </c>
      <c r="U56" s="278">
        <f t="shared" ref="U56:U57" si="19">AVERAGE(N56:T56)</f>
        <v>18429.857142857141</v>
      </c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26846</v>
      </c>
      <c r="U57" s="278">
        <f t="shared" si="19"/>
        <v>47212.142857142855</v>
      </c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51283</v>
      </c>
      <c r="U58" s="278">
        <f t="shared" ref="U58:U63" si="20">AVERAGE(N58:T58)</f>
        <v>42218.571428571428</v>
      </c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50384</v>
      </c>
      <c r="U59" s="278">
        <f t="shared" si="20"/>
        <v>30064.714285714286</v>
      </c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42274</v>
      </c>
      <c r="U60" s="278">
        <f t="shared" si="20"/>
        <v>29839.857142857141</v>
      </c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18878</v>
      </c>
      <c r="U61" s="278">
        <f t="shared" si="20"/>
        <v>50925</v>
      </c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36449</v>
      </c>
      <c r="U62" s="278">
        <f t="shared" si="20"/>
        <v>38483.571428571428</v>
      </c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33372</v>
      </c>
      <c r="U63" s="278">
        <f t="shared" si="20"/>
        <v>28142.285714285714</v>
      </c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77009</v>
      </c>
      <c r="U64" s="278">
        <f t="shared" ref="U64" si="21">AVERAGE(N64:T64)</f>
        <v>38673</v>
      </c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72269</v>
      </c>
      <c r="U65" s="278">
        <f t="shared" ref="U65" si="22">AVERAGE(N65:T65)</f>
        <v>56528.428571428572</v>
      </c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/>
      <c r="U66" s="278"/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12850000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620000</v>
      </c>
      <c r="T74" s="321">
        <f>'Table-SAGIS deliver vs CEC est'!D9</f>
        <v>450000</v>
      </c>
      <c r="U74" s="309">
        <f>AVERAGE(O74:S74)</f>
        <v>595400</v>
      </c>
    </row>
    <row r="75" spans="2:21" ht="14.25" customHeight="1" x14ac:dyDescent="0.3">
      <c r="B75" s="179" t="s">
        <v>70</v>
      </c>
      <c r="C75" s="152"/>
      <c r="D75" s="88">
        <f t="shared" ref="D75:I75" si="23">D73-D74</f>
        <v>12146224</v>
      </c>
      <c r="E75" s="88">
        <f t="shared" si="23"/>
        <v>11625444</v>
      </c>
      <c r="F75" s="88">
        <f t="shared" si="23"/>
        <v>11541475</v>
      </c>
      <c r="G75" s="88">
        <f t="shared" si="23"/>
        <v>9885924</v>
      </c>
      <c r="H75" s="88">
        <f>H73-H74</f>
        <v>11687128</v>
      </c>
      <c r="I75" s="88">
        <f t="shared" si="23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24">P73-P74</f>
        <v>14762810</v>
      </c>
      <c r="Q75" s="269">
        <f t="shared" si="24"/>
        <v>15691000</v>
      </c>
      <c r="R75" s="310">
        <f t="shared" si="24"/>
        <v>14903000</v>
      </c>
      <c r="S75" s="310">
        <f>S73-S74</f>
        <v>15775225</v>
      </c>
      <c r="T75" s="310">
        <f t="shared" si="24"/>
        <v>12400000</v>
      </c>
      <c r="U75" s="310">
        <f>U73-U74</f>
        <v>14379407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28" t="s">
        <v>55</v>
      </c>
    </row>
    <row r="78" spans="2:21" ht="14.4" x14ac:dyDescent="0.3">
      <c r="B78" s="16" t="s">
        <v>72</v>
      </c>
      <c r="C78" s="235"/>
      <c r="D78" s="218">
        <f t="shared" ref="D78:K78" si="25">D16</f>
        <v>669033</v>
      </c>
      <c r="E78" s="221">
        <f t="shared" si="25"/>
        <v>351719</v>
      </c>
      <c r="F78" s="221">
        <f t="shared" si="25"/>
        <v>135500</v>
      </c>
      <c r="G78" s="363">
        <f t="shared" si="25"/>
        <v>182240</v>
      </c>
      <c r="H78" s="363">
        <f t="shared" si="25"/>
        <v>753443</v>
      </c>
      <c r="I78" s="364">
        <f t="shared" si="25"/>
        <v>426034</v>
      </c>
      <c r="J78" s="363">
        <f t="shared" si="25"/>
        <v>478784</v>
      </c>
      <c r="K78" s="363">
        <f t="shared" si="25"/>
        <v>541956</v>
      </c>
      <c r="L78" s="363">
        <f t="shared" ref="L78:Q78" si="26">L18</f>
        <v>821008</v>
      </c>
      <c r="M78" s="363">
        <f t="shared" si="26"/>
        <v>804193</v>
      </c>
      <c r="N78" s="363">
        <f t="shared" si="26"/>
        <v>239917</v>
      </c>
      <c r="O78" s="363">
        <f t="shared" si="26"/>
        <v>266943</v>
      </c>
      <c r="P78" s="363">
        <f t="shared" si="26"/>
        <v>347732</v>
      </c>
      <c r="Q78" s="363">
        <f t="shared" si="26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65">
        <f>U18</f>
        <v>488241</v>
      </c>
    </row>
    <row r="79" spans="2:21" ht="15" thickBot="1" x14ac:dyDescent="0.35">
      <c r="B79" s="16" t="s">
        <v>73</v>
      </c>
      <c r="C79" s="366">
        <f t="shared" ref="C79:F79" si="27">SUM(C19:C57)</f>
        <v>1776372</v>
      </c>
      <c r="D79" s="366">
        <f t="shared" si="27"/>
        <v>11445000</v>
      </c>
      <c r="E79" s="366">
        <f t="shared" si="27"/>
        <v>11253000</v>
      </c>
      <c r="F79" s="366">
        <f t="shared" si="27"/>
        <v>11747000</v>
      </c>
      <c r="G79" s="366">
        <f t="shared" ref="G79:S79" si="28">SUM(G19:G62)</f>
        <v>9731000</v>
      </c>
      <c r="H79" s="366">
        <f t="shared" si="28"/>
        <v>11016607</v>
      </c>
      <c r="I79" s="366">
        <f t="shared" si="28"/>
        <v>10495155</v>
      </c>
      <c r="J79" s="366">
        <f t="shared" si="28"/>
        <v>13275986</v>
      </c>
      <c r="K79" s="366">
        <f t="shared" si="28"/>
        <v>9057930</v>
      </c>
      <c r="L79" s="366">
        <f t="shared" si="28"/>
        <v>6675981</v>
      </c>
      <c r="M79" s="366">
        <f t="shared" si="28"/>
        <v>15385208</v>
      </c>
      <c r="N79" s="366">
        <f t="shared" si="28"/>
        <v>11720705</v>
      </c>
      <c r="O79" s="366">
        <f t="shared" si="28"/>
        <v>10537705</v>
      </c>
      <c r="P79" s="366">
        <f t="shared" si="28"/>
        <v>14317510</v>
      </c>
      <c r="Q79" s="366">
        <f t="shared" si="28"/>
        <v>14865206</v>
      </c>
      <c r="R79" s="366">
        <f t="shared" si="28"/>
        <v>14507386</v>
      </c>
      <c r="S79" s="366">
        <f t="shared" si="28"/>
        <v>15126437</v>
      </c>
      <c r="T79" s="366">
        <f>SUM(T19:T62)</f>
        <v>11020168</v>
      </c>
      <c r="U79" s="366">
        <f>SUM(U19:U62)</f>
        <v>13156445.285714289</v>
      </c>
    </row>
    <row r="80" spans="2:21" ht="15" thickBot="1" x14ac:dyDescent="0.35">
      <c r="B80" s="115" t="s">
        <v>74</v>
      </c>
      <c r="C80" s="236"/>
      <c r="D80" s="164">
        <f t="shared" ref="D80:K80" si="29">D78+D79</f>
        <v>12114033</v>
      </c>
      <c r="E80" s="164">
        <f t="shared" si="29"/>
        <v>11604719</v>
      </c>
      <c r="F80" s="164">
        <f t="shared" si="29"/>
        <v>11882500</v>
      </c>
      <c r="G80" s="164">
        <f t="shared" si="29"/>
        <v>9913240</v>
      </c>
      <c r="H80" s="164">
        <f t="shared" si="29"/>
        <v>11770050</v>
      </c>
      <c r="I80" s="164">
        <f t="shared" si="29"/>
        <v>10921189</v>
      </c>
      <c r="J80" s="164">
        <f t="shared" si="29"/>
        <v>13754770</v>
      </c>
      <c r="K80" s="164">
        <f t="shared" si="29"/>
        <v>9599886</v>
      </c>
      <c r="L80" s="164">
        <f t="shared" ref="L80:Q80" si="30">L78+L79</f>
        <v>7496989</v>
      </c>
      <c r="M80" s="164">
        <f t="shared" si="30"/>
        <v>16189401</v>
      </c>
      <c r="N80" s="164">
        <f t="shared" si="30"/>
        <v>11960622</v>
      </c>
      <c r="O80" s="164">
        <f t="shared" si="30"/>
        <v>10804648</v>
      </c>
      <c r="P80" s="164">
        <f t="shared" si="30"/>
        <v>14665242</v>
      </c>
      <c r="Q80" s="164">
        <f t="shared" si="30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12127826</v>
      </c>
      <c r="U80" s="325">
        <f>U78+U79</f>
        <v>13644686.285714289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6"/>
    </row>
    <row r="82" spans="2:21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31">I80/I75</f>
        <v>0.96198291010253079</v>
      </c>
      <c r="J82" s="290">
        <f t="shared" si="31"/>
        <v>1.001778614658666</v>
      </c>
      <c r="K82" s="294">
        <f t="shared" si="31"/>
        <v>1.0123824277851656</v>
      </c>
      <c r="L82" s="294">
        <f t="shared" si="31"/>
        <v>1.006201360823237</v>
      </c>
      <c r="M82" s="294">
        <f t="shared" ref="M82:P82" si="32">M80/M75</f>
        <v>0.99694568631073344</v>
      </c>
      <c r="N82" s="294">
        <f t="shared" si="32"/>
        <v>1.0000520066889631</v>
      </c>
      <c r="O82" s="294">
        <f>O80/O75</f>
        <v>1.0036830469112865</v>
      </c>
      <c r="P82" s="290">
        <f t="shared" si="32"/>
        <v>0.9933909601220906</v>
      </c>
      <c r="Q82" s="290">
        <f>Q80/Q75</f>
        <v>1.0083814288445605</v>
      </c>
      <c r="R82" s="290">
        <f>R80/R75</f>
        <v>1.0012369321613097</v>
      </c>
      <c r="S82" s="290">
        <f>S80/S75</f>
        <v>1.0034681597251387</v>
      </c>
      <c r="T82" s="294">
        <f>T80/T75</f>
        <v>0.97805048387096771</v>
      </c>
      <c r="U82" s="327">
        <f>U80/U75</f>
        <v>0.94890465828766712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</row>
    <row r="85" spans="2:21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</row>
    <row r="86" spans="2:21" hidden="1" x14ac:dyDescent="0.2"/>
    <row r="87" spans="2:21" ht="13.2" hidden="1" x14ac:dyDescent="0.25">
      <c r="B87" s="2" t="s">
        <v>93</v>
      </c>
      <c r="D87" s="367">
        <f t="shared" ref="D87:J87" si="33">SUM(D48:D62)/D75</f>
        <v>3.3179035723365551E-2</v>
      </c>
      <c r="E87" s="367">
        <f t="shared" si="33"/>
        <v>1.8579935527623718E-2</v>
      </c>
      <c r="F87" s="367">
        <f t="shared" si="33"/>
        <v>1.2996605719806178E-2</v>
      </c>
      <c r="G87" s="367">
        <f t="shared" si="33"/>
        <v>2.4074633792450763E-2</v>
      </c>
      <c r="H87" s="367">
        <f t="shared" si="33"/>
        <v>3.5517793593088057E-2</v>
      </c>
      <c r="I87" s="367">
        <f t="shared" si="33"/>
        <v>3.2798196108462865E-2</v>
      </c>
      <c r="J87" s="367">
        <f t="shared" si="33"/>
        <v>3.3867893671165973E-2</v>
      </c>
      <c r="K87" s="89">
        <f>1-K82</f>
        <v>-1.2382427785165628E-2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topLeftCell="E1" zoomScale="98" zoomScaleNormal="85" workbookViewId="0">
      <selection activeCell="S20" sqref="S20"/>
    </sheetView>
  </sheetViews>
  <sheetFormatPr defaultRowHeight="13.2" x14ac:dyDescent="0.25"/>
  <cols>
    <col min="1" max="1" width="12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8"/>
    </row>
    <row r="3" spans="1:20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20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5438258</v>
      </c>
      <c r="S6" s="416">
        <f>AVERAGE(N6:R6)</f>
        <v>7445639.5999999996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5836550</v>
      </c>
      <c r="S7" s="438">
        <f>AVERAGE(N7:R7)</f>
        <v>7706032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0.99176720475785896</v>
      </c>
      <c r="S8" s="214">
        <f>AVERAGE(N8:R8)</f>
        <v>0.99662154932301927</v>
      </c>
      <c r="T8" s="344"/>
    </row>
    <row r="9" spans="1:20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</row>
    <row r="10" spans="1:20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</row>
    <row r="11" spans="1:20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5581910</v>
      </c>
      <c r="S13" s="438">
        <f>AVERAGE(N13:R13)</f>
        <v>6522849.7999999998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6291276</v>
      </c>
      <c r="S14" s="60">
        <f t="shared" ref="S14" si="0">AVERAGE(L14:Q14)</f>
        <v>6596362.333333333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0.9868668235294118</v>
      </c>
      <c r="S15" s="214">
        <f>AVERAGE(N15:R15)</f>
        <v>1.0031883124513881</v>
      </c>
      <c r="T15" s="344"/>
    </row>
    <row r="16" spans="1:20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</row>
    <row r="17" spans="1:20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</row>
    <row r="18" spans="1:20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11020168</v>
      </c>
      <c r="S20" s="57">
        <f>AVERAGE(N20:R20)</f>
        <v>13967341.4</v>
      </c>
    </row>
    <row r="21" spans="1:20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12127826</v>
      </c>
      <c r="S21" s="60">
        <f t="shared" ref="S21" si="1">AVERAGE(L21:Q21)</f>
        <v>14000732.5</v>
      </c>
    </row>
    <row r="22" spans="1:20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1.0034681597251387</v>
      </c>
      <c r="R22" s="64">
        <f>'Summary -Total maize'!T82</f>
        <v>0.97805048387096771</v>
      </c>
      <c r="S22" s="215">
        <f>AVERAGE(N22:R22)</f>
        <v>0.99690559294481351</v>
      </c>
      <c r="T22" s="344"/>
    </row>
    <row r="23" spans="1:20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</row>
    <row r="24" spans="1:20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4" workbookViewId="0">
      <selection activeCell="P12" sqref="P12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2025-03-26T11:31:56Z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