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AA2801F9-A06E-4194-8C55-F4E669BD2B4D}" xr6:coauthVersionLast="47" xr6:coauthVersionMax="47" xr10:uidLastSave="{00000000-0000-0000-0000-000000000000}"/>
  <bookViews>
    <workbookView xWindow="-108" yWindow="-108" windowWidth="23256" windowHeight="12456" tabRatio="889" firstSheet="6" activeTab="10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9" l="1"/>
  <c r="P61" i="9"/>
  <c r="P60" i="9"/>
  <c r="P59" i="9"/>
  <c r="P58" i="9"/>
  <c r="P14" i="9"/>
  <c r="P13" i="9"/>
  <c r="P12" i="9"/>
  <c r="P11" i="9"/>
  <c r="P10" i="9"/>
  <c r="P9" i="9"/>
  <c r="P5" i="9"/>
  <c r="P4" i="9"/>
  <c r="P85" i="9"/>
  <c r="P77" i="9"/>
  <c r="B4" i="8"/>
  <c r="P73" i="9"/>
  <c r="P57" i="9"/>
  <c r="P76" i="9"/>
  <c r="B15" i="8"/>
  <c r="P51" i="9"/>
  <c r="O54" i="9" l="1"/>
  <c r="O98" i="9"/>
  <c r="P92" i="9"/>
  <c r="M9" i="34"/>
  <c r="N9" i="34"/>
  <c r="S9" i="34"/>
  <c r="T9" i="34"/>
  <c r="U9" i="34"/>
  <c r="P53" i="9" l="1"/>
  <c r="V9" i="34"/>
  <c r="T10" i="9"/>
  <c r="T11" i="9"/>
  <c r="S8" i="9"/>
  <c r="S10" i="9"/>
  <c r="S9" i="9"/>
  <c r="C4" i="9"/>
  <c r="S11" i="9"/>
  <c r="T8" i="9"/>
  <c r="T9" i="9"/>
  <c r="P62" i="9"/>
  <c r="P95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7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7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5" i="9"/>
  <c r="N63" i="9"/>
  <c r="N27" i="9"/>
  <c r="N62" i="9"/>
  <c r="N47" i="9"/>
  <c r="N33" i="33" l="1"/>
  <c r="V13" i="33"/>
  <c r="M14" i="33"/>
  <c r="N97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7" i="9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7" i="9"/>
  <c r="D53" i="9"/>
  <c r="I97" i="9"/>
  <c r="J97" i="9"/>
  <c r="I53" i="9"/>
  <c r="G97" i="9"/>
  <c r="J53" i="9"/>
  <c r="G53" i="9"/>
  <c r="H53" i="9"/>
  <c r="U33" i="9" s="1"/>
  <c r="U34" i="9" s="1"/>
  <c r="B98" i="9"/>
  <c r="D97" i="9"/>
  <c r="F53" i="9"/>
  <c r="F97" i="9"/>
  <c r="U53" i="9" s="1"/>
  <c r="U54" i="9" s="1"/>
  <c r="H97" i="9"/>
  <c r="T53" i="9" s="1"/>
  <c r="T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7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8" i="9"/>
  <c r="K98" i="9"/>
  <c r="S65" i="9"/>
  <c r="S66" i="9" s="1"/>
  <c r="S68" i="9" s="1"/>
  <c r="I98" i="9"/>
  <c r="U36" i="9"/>
  <c r="C98" i="9"/>
  <c r="J98" i="9"/>
  <c r="G98" i="9"/>
  <c r="F98" i="9"/>
  <c r="U56" i="9"/>
  <c r="H98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<sst xmlns="http://schemas.openxmlformats.org/spreadsheetml/2006/main" count="741" uniqueCount="273">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</sst>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9" fontId="3" fillId="3" borderId="0" xfId="4" applyFont="1" applyFill="1" applyBorder="1"/>
    <xf numFmtId="9" fontId="21" fillId="0" borderId="26" xfId="4" applyFont="1" applyFill="1" applyBorder="1"/>
    <xf numFmtId="3" fontId="0" fillId="0" borderId="3" xfId="0" applyNumberForma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8.4031588562442958E-2"/>
                  <c:y val="9.455581337356492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8.0433938048492831E-2"/>
                  <c:y val="-0.103161863221203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4.9406269150276917E-3"/>
                  <c:y val="2.81767194559617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16"/>
              <c:layout>
                <c:manualLayout>
                  <c:x val="0.17070149270988694"/>
                  <c:y val="5.9220037108887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6-454B-B071-B55D7535F8D2}"/>
                </c:ext>
              </c:extLst>
            </c:dLbl>
            <c:dLbl>
              <c:idx val="20"/>
              <c:layout>
                <c:manualLayout>
                  <c:x val="0.11018580827176333"/>
                  <c:y val="6.869810355831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6.9422456554164236E-2"/>
                  <c:y val="0.1275697059606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28"/>
              <c:layout>
                <c:manualLayout>
                  <c:x val="-5.0199220692127171E-2"/>
                  <c:y val="-3.6093676696210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5"/>
              <c:layout>
                <c:manualLayout>
                  <c:x val="-2.5458508215107499E-2"/>
                  <c:y val="-7.5629497925662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96-454B-B071-B55D7535F8D2}"/>
                </c:ext>
              </c:extLst>
            </c:dLbl>
            <c:dLbl>
              <c:idx val="38"/>
              <c:layout>
                <c:manualLayout>
                  <c:x val="-2.8782129106108431E-2"/>
                  <c:y val="2.0125020604308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bestem.'!$P$57:$P$96</c:f>
              <c:numCache>
                <c:formatCode>_ * #\ ##0_ ;_ * \-#\ ##0_ ;_ * "-"??_ ;_ @_ </c:formatCode>
                <c:ptCount val="40"/>
                <c:pt idx="0">
                  <c:v>744</c:v>
                </c:pt>
                <c:pt idx="1">
                  <c:v>76839</c:v>
                </c:pt>
                <c:pt idx="2">
                  <c:v>88092</c:v>
                </c:pt>
                <c:pt idx="3">
                  <c:v>44144</c:v>
                </c:pt>
                <c:pt idx="4">
                  <c:v>39708</c:v>
                </c:pt>
                <c:pt idx="5">
                  <c:v>50255</c:v>
                </c:pt>
                <c:pt idx="16">
                  <c:v>47633</c:v>
                </c:pt>
                <c:pt idx="19">
                  <c:v>16504</c:v>
                </c:pt>
                <c:pt idx="20">
                  <c:v>1153</c:v>
                </c:pt>
                <c:pt idx="26">
                  <c:v>0</c:v>
                </c:pt>
                <c:pt idx="28">
                  <c:v>2688</c:v>
                </c:pt>
                <c:pt idx="30">
                  <c:v>0</c:v>
                </c:pt>
                <c:pt idx="33">
                  <c:v>221494</c:v>
                </c:pt>
                <c:pt idx="35">
                  <c:v>480</c:v>
                </c:pt>
                <c:pt idx="38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15885439430203382"/>
                  <c:y val="-4.2645330623994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34670</c:v>
                </c:pt>
                <c:pt idx="1">
                  <c:v>79508</c:v>
                </c:pt>
                <c:pt idx="2">
                  <c:v>83385</c:v>
                </c:pt>
                <c:pt idx="3">
                  <c:v>328068</c:v>
                </c:pt>
                <c:pt idx="4">
                  <c:v>90056</c:v>
                </c:pt>
                <c:pt idx="5">
                  <c:v>173344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8486439195098"/>
          <c:y val="8.6882453151618397E-2"/>
          <c:w val="0.83302508019830857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'Weekliks-Weekly'!$T$9:$T$50</c:f>
              <c:numCache>
                <c:formatCode>_ * #\ ##0_ ;_ * \-#\ ##0_ ;_ * "-"??_ ;_ @_ </c:formatCode>
                <c:ptCount val="42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42107</c:v>
                </c:pt>
                <c:pt idx="37">
                  <c:v>41440</c:v>
                </c:pt>
                <c:pt idx="38">
                  <c:v>43840</c:v>
                </c:pt>
                <c:pt idx="39">
                  <c:v>49726</c:v>
                </c:pt>
                <c:pt idx="40">
                  <c:v>38448</c:v>
                </c:pt>
                <c:pt idx="41">
                  <c:v>39847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'Weekliks-Weekly'!$M$9:$M$50</c:f>
              <c:numCache>
                <c:formatCode>#,##0</c:formatCode>
                <c:ptCount val="42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237811</c:v>
                </c:pt>
                <c:pt idx="19">
                  <c:v>245356</c:v>
                </c:pt>
                <c:pt idx="20">
                  <c:v>256433</c:v>
                </c:pt>
                <c:pt idx="21">
                  <c:v>278020</c:v>
                </c:pt>
                <c:pt idx="22">
                  <c:v>295338</c:v>
                </c:pt>
                <c:pt idx="23">
                  <c:v>320469</c:v>
                </c:pt>
                <c:pt idx="24">
                  <c:v>350773</c:v>
                </c:pt>
                <c:pt idx="25">
                  <c:v>399441</c:v>
                </c:pt>
                <c:pt idx="26">
                  <c:v>436660</c:v>
                </c:pt>
                <c:pt idx="27">
                  <c:v>476593</c:v>
                </c:pt>
                <c:pt idx="28">
                  <c:v>507812</c:v>
                </c:pt>
                <c:pt idx="29">
                  <c:v>535011</c:v>
                </c:pt>
                <c:pt idx="30">
                  <c:v>567987</c:v>
                </c:pt>
                <c:pt idx="31">
                  <c:v>599815</c:v>
                </c:pt>
                <c:pt idx="32">
                  <c:v>630813</c:v>
                </c:pt>
                <c:pt idx="33">
                  <c:v>655543</c:v>
                </c:pt>
                <c:pt idx="34">
                  <c:v>673446</c:v>
                </c:pt>
                <c:pt idx="35">
                  <c:v>681782</c:v>
                </c:pt>
                <c:pt idx="36">
                  <c:v>710441</c:v>
                </c:pt>
                <c:pt idx="37">
                  <c:v>737312</c:v>
                </c:pt>
                <c:pt idx="38">
                  <c:v>764681</c:v>
                </c:pt>
                <c:pt idx="39">
                  <c:v>800519</c:v>
                </c:pt>
                <c:pt idx="40">
                  <c:v>825752</c:v>
                </c:pt>
                <c:pt idx="41">
                  <c:v>855032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'Weekliks-Weekly'!$K$9:$K$50</c:f>
              <c:numCache>
                <c:formatCode>General</c:formatCode>
                <c:ptCount val="42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28659</c:v>
                </c:pt>
                <c:pt idx="37">
                  <c:v>26871</c:v>
                </c:pt>
                <c:pt idx="38">
                  <c:v>27369</c:v>
                </c:pt>
                <c:pt idx="39">
                  <c:v>35838</c:v>
                </c:pt>
                <c:pt idx="40">
                  <c:v>25233</c:v>
                </c:pt>
                <c:pt idx="41">
                  <c:v>29280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Weekly'!$V$9:$V$50</c:f>
              <c:numCache>
                <c:formatCode>_ * #\ ##0_ ;_ * \-#\ ##0_ ;_ * "-"??_ ;_ @_ </c:formatCode>
                <c:ptCount val="42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'Weekliks-Weekly'!$N$9:$N$50</c:f>
              <c:numCache>
                <c:formatCode>#,##0</c:formatCode>
                <c:ptCount val="42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361889</c:v>
                </c:pt>
                <c:pt idx="20">
                  <c:v>366377</c:v>
                </c:pt>
                <c:pt idx="21">
                  <c:v>379557</c:v>
                </c:pt>
                <c:pt idx="22">
                  <c:v>395290</c:v>
                </c:pt>
                <c:pt idx="23">
                  <c:v>413157</c:v>
                </c:pt>
                <c:pt idx="24">
                  <c:v>433104</c:v>
                </c:pt>
                <c:pt idx="25">
                  <c:v>451150</c:v>
                </c:pt>
                <c:pt idx="26">
                  <c:v>469248</c:v>
                </c:pt>
                <c:pt idx="27">
                  <c:v>488862</c:v>
                </c:pt>
                <c:pt idx="28">
                  <c:v>509065</c:v>
                </c:pt>
                <c:pt idx="29">
                  <c:v>527822</c:v>
                </c:pt>
                <c:pt idx="30">
                  <c:v>547038</c:v>
                </c:pt>
                <c:pt idx="31">
                  <c:v>560770</c:v>
                </c:pt>
                <c:pt idx="32">
                  <c:v>593246</c:v>
                </c:pt>
                <c:pt idx="33">
                  <c:v>606388</c:v>
                </c:pt>
                <c:pt idx="34">
                  <c:v>611812</c:v>
                </c:pt>
                <c:pt idx="35">
                  <c:v>616696</c:v>
                </c:pt>
                <c:pt idx="36">
                  <c:v>630144</c:v>
                </c:pt>
                <c:pt idx="37">
                  <c:v>644713</c:v>
                </c:pt>
                <c:pt idx="38">
                  <c:v>661184</c:v>
                </c:pt>
                <c:pt idx="39">
                  <c:v>675072</c:v>
                </c:pt>
                <c:pt idx="40">
                  <c:v>688287</c:v>
                </c:pt>
                <c:pt idx="41">
                  <c:v>698854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Weekly'!$V$9:$V$50</c:f>
              <c:numCache>
                <c:formatCode>_ * #\ ##0_ ;_ * \-#\ ##0_ ;_ * "-"??_ ;_ @_ </c:formatCode>
                <c:ptCount val="42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'Weekliks-Weekly'!$K$9:$K$50</c:f>
              <c:numCache>
                <c:formatCode>General</c:formatCode>
                <c:ptCount val="42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28659</c:v>
                </c:pt>
                <c:pt idx="37">
                  <c:v>26871</c:v>
                </c:pt>
                <c:pt idx="38">
                  <c:v>27369</c:v>
                </c:pt>
                <c:pt idx="39">
                  <c:v>35838</c:v>
                </c:pt>
                <c:pt idx="40">
                  <c:v>25233</c:v>
                </c:pt>
                <c:pt idx="41">
                  <c:v>29280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'Weekliks-Weekly'!$L$9:$L$50</c:f>
              <c:numCache>
                <c:formatCode>General</c:formatCode>
                <c:ptCount val="42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7140</c:v>
                </c:pt>
                <c:pt idx="20">
                  <c:v>4488</c:v>
                </c:pt>
                <c:pt idx="21">
                  <c:v>13180</c:v>
                </c:pt>
                <c:pt idx="22">
                  <c:v>15733</c:v>
                </c:pt>
                <c:pt idx="23">
                  <c:v>17867</c:v>
                </c:pt>
                <c:pt idx="24">
                  <c:v>19947</c:v>
                </c:pt>
                <c:pt idx="25">
                  <c:v>18046</c:v>
                </c:pt>
                <c:pt idx="26">
                  <c:v>18098</c:v>
                </c:pt>
                <c:pt idx="27">
                  <c:v>19614</c:v>
                </c:pt>
                <c:pt idx="28">
                  <c:v>20203</c:v>
                </c:pt>
                <c:pt idx="29">
                  <c:v>18757</c:v>
                </c:pt>
                <c:pt idx="30">
                  <c:v>19216</c:v>
                </c:pt>
                <c:pt idx="31">
                  <c:v>13732</c:v>
                </c:pt>
                <c:pt idx="32">
                  <c:v>32476</c:v>
                </c:pt>
                <c:pt idx="33">
                  <c:v>13142</c:v>
                </c:pt>
                <c:pt idx="34">
                  <c:v>5424</c:v>
                </c:pt>
                <c:pt idx="35">
                  <c:v>4884</c:v>
                </c:pt>
                <c:pt idx="36">
                  <c:v>13448</c:v>
                </c:pt>
                <c:pt idx="37">
                  <c:v>14569</c:v>
                </c:pt>
                <c:pt idx="38">
                  <c:v>16471</c:v>
                </c:pt>
                <c:pt idx="39">
                  <c:v>13888</c:v>
                </c:pt>
                <c:pt idx="40">
                  <c:v>13215</c:v>
                </c:pt>
                <c:pt idx="41">
                  <c:v>10567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'Weekliks-Weekly'!$T$9:$T$50</c:f>
              <c:numCache>
                <c:formatCode>_ * #\ ##0_ ;_ * \-#\ ##0_ ;_ * "-"??_ ;_ @_ </c:formatCode>
                <c:ptCount val="42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42107</c:v>
                </c:pt>
                <c:pt idx="37">
                  <c:v>41440</c:v>
                </c:pt>
                <c:pt idx="38">
                  <c:v>43840</c:v>
                </c:pt>
                <c:pt idx="39">
                  <c:v>49726</c:v>
                </c:pt>
                <c:pt idx="40">
                  <c:v>38448</c:v>
                </c:pt>
                <c:pt idx="41">
                  <c:v>39847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'Weekliks-Weekly'!$M$9:$M$50</c15:sqref>
                  </c15:fullRef>
                </c:ext>
              </c:extLst>
              <c:f>('Weekliks-Weekly'!$M$9,'Weekliks-Weekly'!$M$11:$M$50)</c:f>
              <c:numCache>
                <c:formatCode>#,##0</c:formatCode>
                <c:ptCount val="41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237811</c:v>
                </c:pt>
                <c:pt idx="18">
                  <c:v>245356</c:v>
                </c:pt>
                <c:pt idx="19">
                  <c:v>256433</c:v>
                </c:pt>
                <c:pt idx="20">
                  <c:v>278020</c:v>
                </c:pt>
                <c:pt idx="21">
                  <c:v>295338</c:v>
                </c:pt>
                <c:pt idx="22">
                  <c:v>320469</c:v>
                </c:pt>
                <c:pt idx="23">
                  <c:v>350773</c:v>
                </c:pt>
                <c:pt idx="24">
                  <c:v>399441</c:v>
                </c:pt>
                <c:pt idx="25">
                  <c:v>436660</c:v>
                </c:pt>
                <c:pt idx="26">
                  <c:v>476593</c:v>
                </c:pt>
                <c:pt idx="27">
                  <c:v>507812</c:v>
                </c:pt>
                <c:pt idx="28">
                  <c:v>535011</c:v>
                </c:pt>
                <c:pt idx="29">
                  <c:v>567987</c:v>
                </c:pt>
                <c:pt idx="30">
                  <c:v>599815</c:v>
                </c:pt>
                <c:pt idx="31">
                  <c:v>630813</c:v>
                </c:pt>
                <c:pt idx="32">
                  <c:v>655543</c:v>
                </c:pt>
                <c:pt idx="33">
                  <c:v>673446</c:v>
                </c:pt>
                <c:pt idx="34">
                  <c:v>681782</c:v>
                </c:pt>
                <c:pt idx="35">
                  <c:v>710441</c:v>
                </c:pt>
                <c:pt idx="36">
                  <c:v>737312</c:v>
                </c:pt>
                <c:pt idx="37">
                  <c:v>764681</c:v>
                </c:pt>
                <c:pt idx="38">
                  <c:v>800519</c:v>
                </c:pt>
                <c:pt idx="39">
                  <c:v>825752</c:v>
                </c:pt>
                <c:pt idx="40">
                  <c:v>855032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'Weekliks-Weekly'!$T$9:$T$50</c15:sqref>
                  </c15:fullRef>
                </c:ext>
              </c:extLst>
              <c:f>('Weekliks-Weekly'!$T$9,'Weekliks-Weekly'!$T$11:$T$50)</c:f>
              <c:numCache>
                <c:formatCode>_ * #\ ##0_ ;_ * \-#\ ##0_ ;_ * "-"??_ ;_ @_ </c:formatCode>
                <c:ptCount val="41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24215</c:v>
                </c:pt>
                <c:pt idx="18">
                  <c:v>14685</c:v>
                </c:pt>
                <c:pt idx="19">
                  <c:v>15565</c:v>
                </c:pt>
                <c:pt idx="20">
                  <c:v>34767</c:v>
                </c:pt>
                <c:pt idx="21">
                  <c:v>33051</c:v>
                </c:pt>
                <c:pt idx="22">
                  <c:v>42998</c:v>
                </c:pt>
                <c:pt idx="23">
                  <c:v>50251</c:v>
                </c:pt>
                <c:pt idx="24">
                  <c:v>66714</c:v>
                </c:pt>
                <c:pt idx="25">
                  <c:v>55317</c:v>
                </c:pt>
                <c:pt idx="26">
                  <c:v>59547</c:v>
                </c:pt>
                <c:pt idx="27">
                  <c:v>51422</c:v>
                </c:pt>
                <c:pt idx="28">
                  <c:v>45956</c:v>
                </c:pt>
                <c:pt idx="29">
                  <c:v>52192</c:v>
                </c:pt>
                <c:pt idx="30">
                  <c:v>45560</c:v>
                </c:pt>
                <c:pt idx="31">
                  <c:v>63474</c:v>
                </c:pt>
                <c:pt idx="32">
                  <c:v>37872</c:v>
                </c:pt>
                <c:pt idx="33">
                  <c:v>23327</c:v>
                </c:pt>
                <c:pt idx="34">
                  <c:v>13220</c:v>
                </c:pt>
                <c:pt idx="35">
                  <c:v>42107</c:v>
                </c:pt>
                <c:pt idx="36">
                  <c:v>41440</c:v>
                </c:pt>
                <c:pt idx="37">
                  <c:v>43840</c:v>
                </c:pt>
                <c:pt idx="38">
                  <c:v>49726</c:v>
                </c:pt>
                <c:pt idx="39">
                  <c:v>38448</c:v>
                </c:pt>
                <c:pt idx="40">
                  <c:v>39847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61690710991221"/>
          <c:y val="0.57398446622743582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05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0253" cy="605747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05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57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57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007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0072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zoomScale="155" zoomScaleNormal="155" workbookViewId="0">
      <pane xSplit="6" ySplit="12" topLeftCell="P13" activePane="bottomRight" state="frozen"/>
      <selection pane="topRight" activeCell="G1" sqref="G1"/>
      <selection pane="bottomLeft" activeCell="A13" sqref="A13"/>
      <selection pane="bottomRight" activeCell="Q3" sqref="Q3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9" width="11.33203125" customWidth="1"/>
    <col min="10" max="10" width="11.33203125" style="52" customWidth="1"/>
    <col min="11" max="16" width="11.33203125" customWidth="1"/>
    <col min="18" max="18" width="48.33203125" customWidth="1"/>
    <col min="19" max="19" width="14" bestFit="1" customWidth="1"/>
    <col min="20" max="20" width="13.33203125" customWidth="1"/>
    <col min="21" max="21" width="12.109375" customWidth="1"/>
  </cols>
  <sheetData>
    <row r="1" spans="1:21" x14ac:dyDescent="0.25">
      <c r="A1" s="1" t="s">
        <v>0</v>
      </c>
      <c r="B1" s="1"/>
      <c r="C1" s="1"/>
      <c r="D1" s="1"/>
      <c r="J1" s="161"/>
    </row>
    <row r="2" spans="1:21" x14ac:dyDescent="0.25">
      <c r="A2" s="1" t="s">
        <v>1</v>
      </c>
      <c r="B2" s="1"/>
      <c r="C2" s="1"/>
      <c r="D2" s="1"/>
      <c r="J2" s="161"/>
    </row>
    <row r="4" spans="1:21" ht="14.4" x14ac:dyDescent="0.3">
      <c r="A4" s="160">
        <f>'Weekliks-Weekly'!B9</f>
        <v>45779</v>
      </c>
      <c r="B4" s="161" t="s">
        <v>2</v>
      </c>
      <c r="C4" s="160">
        <f>P4</f>
        <v>46066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84">
        <f>'Weekliks-Weekly'!B50</f>
        <v>46066</v>
      </c>
    </row>
    <row r="5" spans="1:21" ht="14.4" x14ac:dyDescent="0.3">
      <c r="B5" s="163"/>
      <c r="C5" s="163"/>
      <c r="D5" s="163"/>
      <c r="H5" s="112"/>
      <c r="I5" s="110"/>
      <c r="J5" s="133"/>
      <c r="K5" s="110"/>
      <c r="L5" s="110"/>
      <c r="M5" s="110"/>
      <c r="N5" s="110"/>
      <c r="O5" s="110"/>
      <c r="P5" s="85">
        <f>52-42</f>
        <v>10</v>
      </c>
    </row>
    <row r="6" spans="1:21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5">
      <c r="A7" s="1" t="s">
        <v>5</v>
      </c>
      <c r="B7" s="1"/>
      <c r="C7" s="1"/>
      <c r="D7" s="1"/>
      <c r="H7" s="44"/>
      <c r="I7" s="44"/>
      <c r="J7" s="161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5">
      <c r="B8" s="163" t="s">
        <v>10</v>
      </c>
      <c r="C8" s="163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173344</v>
      </c>
      <c r="T8" s="19">
        <f>P61</f>
        <v>39708</v>
      </c>
      <c r="U8" s="26">
        <f>SUM(S8:T8)</f>
        <v>213052</v>
      </c>
    </row>
    <row r="9" spans="1:21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2004+3086+1568+1171+2173+1934+205+731+1517+1729+1050+687+1275+403+874+682+1527+175+138+419+236+199+99+66+68+98+60+55+632+1157+1825+1261+1869+1836+1349+512</f>
        <v>34670</v>
      </c>
      <c r="R9" s="25" t="s">
        <v>27</v>
      </c>
      <c r="S9" s="19">
        <f>P10</f>
        <v>79508</v>
      </c>
      <c r="T9" s="19">
        <f>P57</f>
        <v>744</v>
      </c>
      <c r="U9" s="26">
        <f>SUM(S9:T9)</f>
        <v>80252</v>
      </c>
    </row>
    <row r="10" spans="1:21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678+975+1384+1219+1311+1926+1024+4976+1133+1795+2359+4436+2326+2042+1753+4647+1239+1111+1114+413+4674+2375+1965+1839+1182+618+2310+1578+1174+4135+2608+2017+223+7575+163+1566+1404+2146+1393+178+524</f>
        <v>79508</v>
      </c>
      <c r="R10" s="25" t="s">
        <v>28</v>
      </c>
      <c r="S10" s="19">
        <f>P13</f>
        <v>90056</v>
      </c>
      <c r="T10" s="19">
        <f>P60</f>
        <v>44144</v>
      </c>
      <c r="U10" s="26">
        <f>SUM(S10:T10)</f>
        <v>134200</v>
      </c>
    </row>
    <row r="11" spans="1:21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1004+2511+10911+1878+1479+1145+181+397+1020+936+493+363+656+1191+11478+1902+21211+255+437+575+624+2362+11005+1667+767+590+770+354+836+684+504+547+108+37+205+107+823+540+510+322</f>
        <v>83385</v>
      </c>
      <c r="R11" s="25" t="s">
        <v>30</v>
      </c>
      <c r="S11" s="19">
        <f>P9</f>
        <v>34670</v>
      </c>
      <c r="T11" s="19">
        <f>P59</f>
        <v>88092</v>
      </c>
      <c r="U11" s="26">
        <f>SUM(S11:T11)</f>
        <v>122762</v>
      </c>
    </row>
    <row r="12" spans="1:21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15103+9686+11751+14636+10631+11314+4517+8698+11544+15772+16605+16691+13601+17227+17164+24532+16662+20447+16356+10015+10190+708+792+391+422+1465+210+2344+4093+3210+1633+7802+5772+2979+2478+627</f>
        <v>328068</v>
      </c>
      <c r="R12" s="27" t="s">
        <v>32</v>
      </c>
      <c r="S12" s="28">
        <f>SUM(S8:S11)</f>
        <v>377578</v>
      </c>
      <c r="T12" s="28">
        <f>SUM(T8:T11)</f>
        <v>172688</v>
      </c>
      <c r="U12" s="29">
        <f>SUM(S12:T12)</f>
        <v>550266</v>
      </c>
    </row>
    <row r="13" spans="1:21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3698+2481+3443+3618+4422+4994+504+333+4149+4923+5575+4315+4791+5272+3971+1816+4117+4534+4504+3685+2436+1269+1258+2489+1670+2789+968+70+108+233+24+707+705+185</f>
        <v>90056</v>
      </c>
      <c r="R13" s="1"/>
      <c r="S13" s="33"/>
      <c r="T13" s="33"/>
      <c r="U13" s="33"/>
    </row>
    <row r="14" spans="1:21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6793+6494+6781+4847+6855+7346+1905+2768+5367+5843+5746+6484+4550+5084+4693+3640+3912+3782+2720+2630+3525+3944+3294+3292+5108+5273+3123+3204+4293+3916+2626+1898+4293+5445+3824+5498+3113+2472+1576+2629+2070+688</f>
        <v>173344</v>
      </c>
      <c r="R14" s="1"/>
      <c r="S14" s="33"/>
      <c r="T14" s="33"/>
      <c r="U14" s="33"/>
    </row>
    <row r="15" spans="1:21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59" t="s">
        <v>39</v>
      </c>
      <c r="S18" s="73">
        <f>P35</f>
        <v>0</v>
      </c>
      <c r="T18" s="73">
        <f>P62+P63+P73+P89+P93+P95</f>
        <v>207008</v>
      </c>
      <c r="U18" s="26">
        <f>SUM(S18:T18)</f>
        <v>207008</v>
      </c>
    </row>
    <row r="19" spans="1:24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196" t="s">
        <v>47</v>
      </c>
      <c r="S25" s="20" t="s">
        <v>48</v>
      </c>
      <c r="T25" s="20" t="s">
        <v>49</v>
      </c>
      <c r="U25" s="21" t="s">
        <v>32</v>
      </c>
    </row>
    <row r="26" spans="1:24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197"/>
      <c r="S26" s="103">
        <f>P53/(52-S35)</f>
        <v>20357.904761904763</v>
      </c>
      <c r="T26" s="103">
        <f>P97/(52-S35)</f>
        <v>16639.380952380954</v>
      </c>
      <c r="U26" s="86">
        <f>H98/(52-S35)</f>
        <v>53492.238095238092</v>
      </c>
    </row>
    <row r="27" spans="1:24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1058611.0476190476</v>
      </c>
      <c r="T27" s="67">
        <f>T26*52</f>
        <v>865247.80952380958</v>
      </c>
      <c r="U27" s="68">
        <f>S27+T27</f>
        <v>1923858.8571428573</v>
      </c>
    </row>
    <row r="28" spans="1:24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1" t="s">
        <v>54</v>
      </c>
      <c r="S28" s="41"/>
      <c r="T28" s="41"/>
    </row>
    <row r="29" spans="1:24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4" t="s">
        <v>63</v>
      </c>
      <c r="S32" s="72">
        <v>2000000</v>
      </c>
      <c r="T32" s="72">
        <v>2650000</v>
      </c>
      <c r="U32" s="74">
        <v>2700000</v>
      </c>
      <c r="X32" s="161"/>
    </row>
    <row r="33" spans="1:21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59" t="s">
        <v>65</v>
      </c>
      <c r="S33" s="18">
        <f>P53</f>
        <v>855032</v>
      </c>
      <c r="T33" s="18">
        <f>P53</f>
        <v>855032</v>
      </c>
      <c r="U33" s="31">
        <f>H53</f>
        <v>769973</v>
      </c>
    </row>
    <row r="34" spans="1:21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1144968</v>
      </c>
      <c r="T34" s="18">
        <f>T32-T33</f>
        <v>1794968</v>
      </c>
      <c r="U34" s="31">
        <f>U32-U33</f>
        <v>1930027</v>
      </c>
    </row>
    <row r="35" spans="1:21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10</v>
      </c>
      <c r="T35" s="18">
        <f>$S$35</f>
        <v>10</v>
      </c>
      <c r="U35" s="31">
        <f>$S$35</f>
        <v>10</v>
      </c>
    </row>
    <row r="36" spans="1:21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114496.8</v>
      </c>
      <c r="T36" s="22">
        <f>T34/T35</f>
        <v>179496.8</v>
      </c>
      <c r="U36" s="23">
        <f>U34/U35</f>
        <v>193002.7</v>
      </c>
    </row>
    <row r="37" spans="1:21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4" t="s">
        <v>91</v>
      </c>
      <c r="S52" s="72">
        <v>1400000</v>
      </c>
      <c r="T52" s="72">
        <v>1600000</v>
      </c>
      <c r="U52" s="72">
        <v>1800000</v>
      </c>
    </row>
    <row r="53" spans="1:21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855032</v>
      </c>
      <c r="R53" s="159" t="s">
        <v>93</v>
      </c>
      <c r="S53" s="18">
        <f>H97</f>
        <v>1476701</v>
      </c>
      <c r="T53" s="18">
        <f>H97</f>
        <v>1476701</v>
      </c>
      <c r="U53" s="31">
        <f>F97</f>
        <v>210799</v>
      </c>
    </row>
    <row r="54" spans="1:21" ht="14.4" x14ac:dyDescent="0.3">
      <c r="E54" s="81"/>
      <c r="H54" s="165"/>
      <c r="J54" s="161"/>
      <c r="K54" s="135"/>
      <c r="L54" s="135"/>
      <c r="O54" s="194">
        <f>(O53-N53)/N53</f>
        <v>0.18305799738506864</v>
      </c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4.4" x14ac:dyDescent="0.3">
      <c r="A55" s="1" t="s">
        <v>94</v>
      </c>
      <c r="B55" s="1"/>
      <c r="C55" s="1"/>
      <c r="D55" s="1"/>
      <c r="H55" s="161"/>
      <c r="J55" s="161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10</v>
      </c>
      <c r="T55" s="18">
        <f>$S$35</f>
        <v>10</v>
      </c>
      <c r="U55" s="31">
        <f>$S$35</f>
        <v>10</v>
      </c>
    </row>
    <row r="56" spans="1:21" ht="13.8" thickBot="1" x14ac:dyDescent="0.3">
      <c r="B56" s="163" t="s">
        <v>10</v>
      </c>
      <c r="C56" s="163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-7670.1</v>
      </c>
      <c r="T56" s="22">
        <f>T54/T55</f>
        <v>12329.9</v>
      </c>
      <c r="U56" s="23">
        <f>U54/U55</f>
        <v>158920.1</v>
      </c>
    </row>
    <row r="57" spans="1:21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6+4+3+2+423+3+3+6+79+8+207</f>
        <v>744</v>
      </c>
      <c r="S57" s="42"/>
      <c r="T57" s="33"/>
      <c r="U57" s="42"/>
    </row>
    <row r="58" spans="1:21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4266+2951+2298+2248+2374+2220+633+768+1296+1565+1035+2051+2056+2513+1435+1169+2208+1388+1035+1154+2391+1168+1837+526+1627+1022+874+3514+2555+3267+3251+3235+2286+1315+1758+957+1297+3057+1384+1430+1046+379</f>
        <v>76839</v>
      </c>
      <c r="R58" s="65" t="s">
        <v>74</v>
      </c>
      <c r="S58" s="42"/>
      <c r="T58" s="33"/>
      <c r="U58" s="42"/>
    </row>
    <row r="59" spans="1:21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214+294+1895+2302+2589+2678+1504+762+3278+3373+1622+2900+2709+2906+2817+2231+2146+3702+1934+2091+2348+1543+1748+1935+1714+1974+2077+3095+1829+1565+2201+2372+1752+1895+2018+2213+2492+957+2010+2633+1758+2016</f>
        <v>88092</v>
      </c>
      <c r="R59" s="65" t="s">
        <v>77</v>
      </c>
    </row>
    <row r="60" spans="1:21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510+1794+1027+1427+1577+1676+30+1640+2433+1206+1152+943+139+176+1034+1123+1492+733+766+1426+1287+1054+908+1088+983+714+215+1862+535+1262+1046+885+1340+1977+1622+982+1557+1408+1010+75+30</f>
        <v>44144</v>
      </c>
    </row>
    <row r="61" spans="1:21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105+463+197+292+69+138+1165+408+336+544+407+1522+737+35+651+997+480+1570+1154+1875+490+2361+1578+1157+1006+1494+2252+1648+1177+1045+2093+1121+2628+323+1291+678+2293+1070+308+522+28</f>
        <v>39708</v>
      </c>
    </row>
    <row r="62" spans="1:21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4" t="s">
        <v>101</v>
      </c>
      <c r="S64" s="166">
        <f>S52+S32</f>
        <v>3400000</v>
      </c>
      <c r="T64" s="166">
        <f>T52+T32</f>
        <v>4250000</v>
      </c>
      <c r="U64" s="167">
        <f>U52+U32</f>
        <v>4500000</v>
      </c>
    </row>
    <row r="65" spans="1:23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59" t="s">
        <v>102</v>
      </c>
      <c r="S65" s="18">
        <f>H97+H53</f>
        <v>2246674</v>
      </c>
      <c r="T65" s="18">
        <f>S65</f>
        <v>2246674</v>
      </c>
      <c r="U65" s="31">
        <f>T65</f>
        <v>2246674</v>
      </c>
    </row>
    <row r="66" spans="1:23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10</v>
      </c>
      <c r="T67" s="18">
        <f>$S$35</f>
        <v>10</v>
      </c>
      <c r="U67" s="31">
        <f>$S$35</f>
        <v>10</v>
      </c>
    </row>
    <row r="68" spans="1:23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115332.6</v>
      </c>
      <c r="T68" s="22">
        <f>T66/T67</f>
        <v>200332.6</v>
      </c>
      <c r="U68" s="23">
        <f>U66/U67</f>
        <v>225332.6</v>
      </c>
    </row>
    <row r="69" spans="1:23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>
        <f>16504</f>
        <v>16504</v>
      </c>
      <c r="W76" s="43"/>
    </row>
    <row r="77" spans="1:23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f>357+796</f>
        <v>1153</v>
      </c>
      <c r="R77" s="17"/>
      <c r="W77" s="17"/>
    </row>
    <row r="78" spans="1:23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18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18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18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18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18" ht="14.4" x14ac:dyDescent="0.3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976+999+713</f>
        <v>2688</v>
      </c>
    </row>
    <row r="86" spans="1:18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18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18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18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18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5472+7713+8108+9226+7960+6732+2747+2699+6520+8265+9325+11707+11527+13908+15151+12217+11572+12882+12595+10566+4660+140+444+34+175+104+1+37+416+1363+141+10060+6552+4304+3883+2288</f>
        <v>221494</v>
      </c>
    </row>
    <row r="91" spans="1:18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18" ht="14.4" x14ac:dyDescent="0.3">
      <c r="A92" s="165" t="s">
        <v>272</v>
      </c>
      <c r="B92" s="168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0">
        <f>480</f>
        <v>480</v>
      </c>
    </row>
    <row r="93" spans="1:18" ht="14.4" x14ac:dyDescent="0.3">
      <c r="A93" s="165" t="s">
        <v>68</v>
      </c>
      <c r="B93" s="168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0"/>
    </row>
    <row r="94" spans="1:18" ht="14.4" x14ac:dyDescent="0.3">
      <c r="A94" s="165" t="s">
        <v>115</v>
      </c>
      <c r="B94" s="168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0"/>
    </row>
    <row r="95" spans="1:18" ht="14.4" x14ac:dyDescent="0.3">
      <c r="A95" s="165" t="s">
        <v>116</v>
      </c>
      <c r="B95" s="168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0">
        <f>41445+12675+22946+32054</f>
        <v>109120</v>
      </c>
    </row>
    <row r="96" spans="1:18" ht="14.4" x14ac:dyDescent="0.3">
      <c r="A96" s="165" t="s">
        <v>117</v>
      </c>
      <c r="B96" s="168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0"/>
    </row>
    <row r="97" spans="1:30" ht="14.4" x14ac:dyDescent="0.3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0">
        <f t="shared" ref="P97" si="3">SUM(P57:P96)</f>
        <v>698854</v>
      </c>
      <c r="R97" s="17"/>
      <c r="Z97" s="161"/>
      <c r="AA97" s="161"/>
      <c r="AB97" s="161"/>
      <c r="AC97" s="161"/>
      <c r="AD97" s="161"/>
    </row>
    <row r="98" spans="1:30" ht="14.4" x14ac:dyDescent="0.3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193">
        <f>(O97-N97)/N97</f>
        <v>-0.64451707513354084</v>
      </c>
      <c r="P98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257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173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174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8" t="s">
        <v>258</v>
      </c>
      <c r="B6" s="209"/>
      <c r="C6" s="209"/>
      <c r="D6" s="209"/>
      <c r="E6" s="209"/>
      <c r="F6" s="209"/>
      <c r="G6" s="210"/>
    </row>
    <row r="7" spans="1:7" ht="15.6" x14ac:dyDescent="0.3">
      <c r="A7" s="208" t="s">
        <v>259</v>
      </c>
      <c r="B7" s="209"/>
      <c r="C7" s="209"/>
      <c r="D7" s="209"/>
      <c r="E7" s="209"/>
      <c r="F7" s="209"/>
      <c r="G7" s="210"/>
    </row>
    <row r="8" spans="1:7" x14ac:dyDescent="0.25">
      <c r="A8" s="211" t="s">
        <v>178</v>
      </c>
      <c r="B8" s="212"/>
      <c r="C8" s="212"/>
      <c r="D8" s="212"/>
      <c r="E8" s="212"/>
      <c r="F8" s="212"/>
      <c r="G8" s="213"/>
    </row>
    <row r="9" spans="1:7" x14ac:dyDescent="0.25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5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266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8" t="s">
        <v>267</v>
      </c>
      <c r="B6" s="209"/>
      <c r="C6" s="209"/>
      <c r="D6" s="209"/>
      <c r="E6" s="209"/>
      <c r="F6" s="209"/>
      <c r="G6" s="209"/>
      <c r="H6" s="210"/>
    </row>
    <row r="7" spans="1:8" ht="15.6" x14ac:dyDescent="0.3">
      <c r="A7" s="208" t="s">
        <v>268</v>
      </c>
      <c r="B7" s="209"/>
      <c r="C7" s="209"/>
      <c r="D7" s="209"/>
      <c r="E7" s="209"/>
      <c r="F7" s="209"/>
      <c r="G7" s="209"/>
      <c r="H7" s="210"/>
    </row>
    <row r="8" spans="1:8" x14ac:dyDescent="0.25">
      <c r="A8" s="211" t="s">
        <v>178</v>
      </c>
      <c r="B8" s="212"/>
      <c r="C8" s="212"/>
      <c r="D8" s="212"/>
      <c r="E8" s="212"/>
      <c r="F8" s="212"/>
      <c r="G8" s="212"/>
      <c r="H8" s="213"/>
    </row>
    <row r="9" spans="1:8" x14ac:dyDescent="0.25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5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zoomScale="126" zoomScaleNormal="126" workbookViewId="0">
      <selection activeCell="B5" sqref="B5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122</v>
      </c>
      <c r="B4" s="75">
        <f>'Weekliks-Weekly'!B49</f>
        <v>46059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6" x14ac:dyDescent="0.3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10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6" x14ac:dyDescent="0.3">
      <c r="A10" s="60" t="s">
        <v>128</v>
      </c>
      <c r="B10" s="72">
        <f>0</f>
        <v>0</v>
      </c>
      <c r="E10" s="57"/>
      <c r="F10" s="57"/>
    </row>
    <row r="11" spans="1:22" ht="15.6" x14ac:dyDescent="0.3">
      <c r="A11" s="60" t="s">
        <v>129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130</v>
      </c>
      <c r="B15" s="72">
        <f>32924+25606+17162+34756</f>
        <v>110448</v>
      </c>
      <c r="D15" s="58" t="s">
        <v>124</v>
      </c>
      <c r="E15" s="59">
        <f>B22/(52-'Export destin -Uitvoer bestem.'!$P$5)</f>
        <v>2629.7142857142858</v>
      </c>
      <c r="F15" s="57"/>
    </row>
    <row r="16" spans="1:22" ht="15.6" x14ac:dyDescent="0.3">
      <c r="A16" s="60" t="s">
        <v>38</v>
      </c>
      <c r="B16" s="72">
        <v>0</v>
      </c>
      <c r="D16" s="60" t="s">
        <v>126</v>
      </c>
      <c r="E16" s="61">
        <f>'Export destin -Uitvoer bestem.'!$P$5</f>
        <v>10</v>
      </c>
      <c r="F16" s="57"/>
    </row>
    <row r="17" spans="1:12" ht="15.6" x14ac:dyDescent="0.3">
      <c r="A17" s="60" t="s">
        <v>131</v>
      </c>
      <c r="B17" s="72">
        <f>0</f>
        <v>0</v>
      </c>
      <c r="D17" s="60" t="s">
        <v>127</v>
      </c>
      <c r="E17" s="61">
        <f>(E15*E16)+B22</f>
        <v>136745.14285714287</v>
      </c>
      <c r="F17" s="57"/>
      <c r="L17" s="105"/>
    </row>
    <row r="18" spans="1:12" ht="15.6" x14ac:dyDescent="0.3">
      <c r="A18" s="60" t="s">
        <v>132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133</v>
      </c>
      <c r="B19" s="72">
        <v>0</v>
      </c>
      <c r="E19" s="57"/>
      <c r="F19" s="57"/>
      <c r="L19" s="105"/>
    </row>
    <row r="20" spans="1:12" ht="15.6" x14ac:dyDescent="0.3">
      <c r="A20" s="60" t="s">
        <v>134</v>
      </c>
      <c r="B20" s="72">
        <f>0</f>
        <v>0</v>
      </c>
      <c r="E20" s="57"/>
      <c r="F20" s="57"/>
    </row>
    <row r="21" spans="1:12" ht="15.6" x14ac:dyDescent="0.3">
      <c r="A21" s="60" t="s">
        <v>135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110448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110448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9" zoomScale="155" zoomScaleNormal="155" workbookViewId="0">
      <selection activeCell="K39" sqref="K3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136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137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8" t="s">
        <v>139</v>
      </c>
      <c r="D4" s="199"/>
      <c r="E4" s="200" t="s">
        <v>139</v>
      </c>
      <c r="F4" s="201"/>
      <c r="G4" s="198" t="s">
        <v>140</v>
      </c>
      <c r="H4" s="199"/>
      <c r="I4" s="200" t="s">
        <v>140</v>
      </c>
      <c r="J4" s="201"/>
      <c r="K4" s="204" t="s">
        <v>141</v>
      </c>
      <c r="L4" s="205"/>
      <c r="M4" s="206" t="s">
        <v>141</v>
      </c>
      <c r="N4" s="207"/>
      <c r="O4" s="198" t="s">
        <v>142</v>
      </c>
      <c r="P4" s="199"/>
      <c r="Q4" s="200" t="s">
        <v>142</v>
      </c>
      <c r="R4" s="201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8" t="s">
        <v>145</v>
      </c>
      <c r="D5" s="199"/>
      <c r="E5" s="200" t="s">
        <v>145</v>
      </c>
      <c r="F5" s="201"/>
      <c r="G5" s="198" t="s">
        <v>146</v>
      </c>
      <c r="H5" s="202"/>
      <c r="I5" s="200" t="s">
        <v>146</v>
      </c>
      <c r="J5" s="203"/>
      <c r="K5" s="204" t="s">
        <v>147</v>
      </c>
      <c r="L5" s="205"/>
      <c r="M5" s="206" t="s">
        <v>147</v>
      </c>
      <c r="N5" s="207"/>
      <c r="O5" s="198" t="s">
        <v>148</v>
      </c>
      <c r="P5" s="202"/>
      <c r="Q5" s="200" t="s">
        <v>148</v>
      </c>
      <c r="R5" s="203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1"/>
    </row>
    <row r="10" spans="1:23" ht="14.4" x14ac:dyDescent="0.3">
      <c r="A10" s="161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1"/>
    </row>
    <row r="12" spans="1:23" ht="14.4" x14ac:dyDescent="0.3">
      <c r="A12" s="161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1"/>
    </row>
    <row r="13" spans="1:23" ht="14.4" x14ac:dyDescent="0.3">
      <c r="A13" s="161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1"/>
    </row>
    <row r="14" spans="1:23" ht="14.4" x14ac:dyDescent="0.3">
      <c r="A14" s="161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1"/>
    </row>
    <row r="15" spans="1:23" ht="14.4" x14ac:dyDescent="0.3">
      <c r="A15" s="161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1"/>
    </row>
    <row r="16" spans="1:23" ht="14.4" x14ac:dyDescent="0.3">
      <c r="A16" s="161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1"/>
    </row>
    <row r="17" spans="1:24" ht="14.4" x14ac:dyDescent="0.3">
      <c r="A17" s="161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7"/>
      <c r="P30" s="188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5"/>
      <c r="P31" s="186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5"/>
      <c r="P32" s="186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5"/>
      <c r="P33" s="186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4.4" x14ac:dyDescent="0.3">
      <c r="A34" s="161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5"/>
      <c r="P34" s="186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4.4" x14ac:dyDescent="0.3">
      <c r="A35" s="161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5"/>
      <c r="P35" s="186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4.4" x14ac:dyDescent="0.3">
      <c r="A36" s="161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5"/>
      <c r="P36" s="186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4.4" x14ac:dyDescent="0.3">
      <c r="A37" s="161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5"/>
      <c r="P37" s="186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4.4" x14ac:dyDescent="0.3">
      <c r="A38" s="161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5"/>
      <c r="P38" s="186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4.4" x14ac:dyDescent="0.3">
      <c r="A39" s="161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5"/>
      <c r="P39" s="186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4.4" x14ac:dyDescent="0.3">
      <c r="A40" s="161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5"/>
      <c r="P40" s="186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4.4" x14ac:dyDescent="0.3">
      <c r="A41" s="161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5"/>
      <c r="P41" s="186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4.4" x14ac:dyDescent="0.3">
      <c r="A42" s="161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5"/>
      <c r="P42" s="186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4.4" x14ac:dyDescent="0.3">
      <c r="A43" s="161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5"/>
      <c r="P43" s="186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4.4" x14ac:dyDescent="0.3">
      <c r="A44" s="161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5"/>
      <c r="P44" s="186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4.4" x14ac:dyDescent="0.3">
      <c r="A45" s="161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5"/>
      <c r="P45" s="186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4.4" x14ac:dyDescent="0.3">
      <c r="A46" s="161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5"/>
      <c r="P46" s="186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4.4" x14ac:dyDescent="0.3">
      <c r="A47" s="161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5"/>
      <c r="P47" s="186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4.4" x14ac:dyDescent="0.3">
      <c r="A48" s="161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5"/>
      <c r="P48" s="186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4.4" x14ac:dyDescent="0.3">
      <c r="A49" s="161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5"/>
      <c r="P49" s="186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4.4" x14ac:dyDescent="0.3">
      <c r="A50" s="161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5"/>
      <c r="P50" s="186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4.4" x14ac:dyDescent="0.3">
      <c r="A51" s="161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5"/>
      <c r="P51" s="186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4.4" x14ac:dyDescent="0.3">
      <c r="A52" s="161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5"/>
      <c r="P52" s="186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4.4" x14ac:dyDescent="0.3">
      <c r="A53" s="161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5"/>
      <c r="P53" s="186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4.4" x14ac:dyDescent="0.3">
      <c r="A54" s="161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5"/>
      <c r="P54" s="186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4.4" x14ac:dyDescent="0.3">
      <c r="A55" s="161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5"/>
      <c r="P55" s="186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4.4" x14ac:dyDescent="0.3">
      <c r="A56" s="161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5"/>
      <c r="P56" s="186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4.4" x14ac:dyDescent="0.3">
      <c r="A57" s="161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5"/>
      <c r="P57" s="186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4.4" x14ac:dyDescent="0.3">
      <c r="A58" s="161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5"/>
      <c r="P58" s="186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4.4" x14ac:dyDescent="0.3">
      <c r="A59" s="161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5"/>
      <c r="P59" s="186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4.4" x14ac:dyDescent="0.3">
      <c r="A60" s="161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5"/>
      <c r="P60" s="186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abSelected="1" zoomScale="117" zoomScaleNormal="117" workbookViewId="0">
      <selection activeCell="L54" sqref="L54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161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162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8" t="s">
        <v>139</v>
      </c>
      <c r="D4" s="199"/>
      <c r="E4" s="200" t="s">
        <v>139</v>
      </c>
      <c r="F4" s="201"/>
      <c r="G4" s="198" t="s">
        <v>140</v>
      </c>
      <c r="H4" s="199"/>
      <c r="I4" s="200" t="s">
        <v>140</v>
      </c>
      <c r="J4" s="201"/>
      <c r="K4" s="204" t="s">
        <v>141</v>
      </c>
      <c r="L4" s="205"/>
      <c r="M4" s="206" t="s">
        <v>141</v>
      </c>
      <c r="N4" s="207"/>
      <c r="O4" s="198" t="s">
        <v>142</v>
      </c>
      <c r="P4" s="199"/>
      <c r="Q4" s="200" t="s">
        <v>142</v>
      </c>
      <c r="R4" s="201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8" t="s">
        <v>145</v>
      </c>
      <c r="D5" s="199"/>
      <c r="E5" s="200" t="s">
        <v>145</v>
      </c>
      <c r="F5" s="201"/>
      <c r="G5" s="198" t="s">
        <v>146</v>
      </c>
      <c r="H5" s="202"/>
      <c r="I5" s="200" t="s">
        <v>146</v>
      </c>
      <c r="J5" s="203"/>
      <c r="K5" s="204" t="s">
        <v>147</v>
      </c>
      <c r="L5" s="205"/>
      <c r="M5" s="206" t="s">
        <v>147</v>
      </c>
      <c r="N5" s="207"/>
      <c r="O5" s="198" t="s">
        <v>148</v>
      </c>
      <c r="P5" s="202"/>
      <c r="Q5" s="200" t="s">
        <v>148</v>
      </c>
      <c r="R5" s="203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95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1"/>
    </row>
    <row r="10" spans="1:23" ht="14.4" x14ac:dyDescent="0.3">
      <c r="A10" s="161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1"/>
    </row>
    <row r="12" spans="1:23" ht="14.4" x14ac:dyDescent="0.3">
      <c r="A12" s="161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1"/>
    </row>
    <row r="13" spans="1:23" ht="14.4" x14ac:dyDescent="0.3">
      <c r="A13" s="161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1"/>
    </row>
    <row r="14" spans="1:23" ht="14.4" x14ac:dyDescent="0.3">
      <c r="A14" s="161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1"/>
    </row>
    <row r="15" spans="1:23" ht="14.4" x14ac:dyDescent="0.3">
      <c r="A15" s="161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1"/>
    </row>
    <row r="16" spans="1:23" ht="14.4" x14ac:dyDescent="0.3">
      <c r="A16" s="161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1"/>
    </row>
    <row r="17" spans="1:24" ht="14.4" x14ac:dyDescent="0.3">
      <c r="A17" s="161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6">
        <f t="shared" si="12"/>
        <v>237811</v>
      </c>
      <c r="N27" s="155">
        <f t="shared" si="12"/>
        <v>354749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7140</v>
      </c>
      <c r="M28" s="156">
        <f t="shared" si="12"/>
        <v>245356</v>
      </c>
      <c r="N28" s="155">
        <f t="shared" si="12"/>
        <v>361889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14685</v>
      </c>
      <c r="U28" s="15">
        <f t="shared" si="3"/>
        <v>0</v>
      </c>
      <c r="V28" s="15">
        <f t="shared" si="7"/>
        <v>607245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4488</v>
      </c>
      <c r="M29" s="156">
        <f t="shared" si="12"/>
        <v>256433</v>
      </c>
      <c r="N29" s="155">
        <f t="shared" si="12"/>
        <v>366377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15565</v>
      </c>
      <c r="U29" s="15">
        <f t="shared" si="3"/>
        <v>0</v>
      </c>
      <c r="V29" s="15">
        <f t="shared" si="7"/>
        <v>622810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21587</v>
      </c>
      <c r="L30" s="91">
        <v>13180</v>
      </c>
      <c r="M30" s="156">
        <f t="shared" si="12"/>
        <v>278020</v>
      </c>
      <c r="N30" s="155">
        <f t="shared" si="12"/>
        <v>379557</v>
      </c>
      <c r="O30" s="187"/>
      <c r="P30" s="188"/>
      <c r="Q30" s="15"/>
      <c r="R30" s="15"/>
      <c r="S30" s="40">
        <f t="shared" si="13"/>
        <v>0</v>
      </c>
      <c r="T30" s="15">
        <f t="shared" si="6"/>
        <v>34767</v>
      </c>
      <c r="U30" s="36">
        <f t="shared" si="3"/>
        <v>0</v>
      </c>
      <c r="V30" s="15">
        <f t="shared" si="7"/>
        <v>657577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17318</v>
      </c>
      <c r="L31" s="91">
        <v>15733</v>
      </c>
      <c r="M31" s="156">
        <f t="shared" si="12"/>
        <v>295338</v>
      </c>
      <c r="N31" s="155">
        <f t="shared" si="12"/>
        <v>395290</v>
      </c>
      <c r="O31" s="185"/>
      <c r="P31" s="186"/>
      <c r="Q31" s="15"/>
      <c r="R31" s="15"/>
      <c r="S31" s="16">
        <f t="shared" si="13"/>
        <v>0</v>
      </c>
      <c r="T31" s="15">
        <f t="shared" si="6"/>
        <v>33051</v>
      </c>
      <c r="U31" s="15">
        <f t="shared" si="3"/>
        <v>0</v>
      </c>
      <c r="V31" s="36">
        <f t="shared" si="7"/>
        <v>690628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25131</v>
      </c>
      <c r="L32" s="91">
        <v>17867</v>
      </c>
      <c r="M32" s="156">
        <f t="shared" si="12"/>
        <v>320469</v>
      </c>
      <c r="N32" s="155">
        <f t="shared" si="12"/>
        <v>413157</v>
      </c>
      <c r="O32" s="185"/>
      <c r="P32" s="186"/>
      <c r="Q32" s="15"/>
      <c r="R32" s="15"/>
      <c r="S32" s="16">
        <f t="shared" si="13"/>
        <v>0</v>
      </c>
      <c r="T32" s="15">
        <f t="shared" si="6"/>
        <v>42998</v>
      </c>
      <c r="U32" s="15">
        <f t="shared" si="3"/>
        <v>0</v>
      </c>
      <c r="V32" s="36">
        <f t="shared" si="7"/>
        <v>733626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30304</v>
      </c>
      <c r="L33" s="91">
        <v>19947</v>
      </c>
      <c r="M33" s="156">
        <f t="shared" si="12"/>
        <v>350773</v>
      </c>
      <c r="N33" s="155">
        <f t="shared" si="12"/>
        <v>433104</v>
      </c>
      <c r="O33" s="185"/>
      <c r="P33" s="186"/>
      <c r="Q33" s="15"/>
      <c r="R33" s="15"/>
      <c r="S33" s="16">
        <f t="shared" si="13"/>
        <v>0</v>
      </c>
      <c r="T33" s="15">
        <f t="shared" si="6"/>
        <v>50251</v>
      </c>
      <c r="U33" s="15">
        <f t="shared" si="3"/>
        <v>0</v>
      </c>
      <c r="V33" s="36">
        <f t="shared" si="7"/>
        <v>783877</v>
      </c>
    </row>
    <row r="34" spans="1:22" ht="14.4" x14ac:dyDescent="0.3">
      <c r="A34" s="161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48668</v>
      </c>
      <c r="L34" s="91">
        <v>18046</v>
      </c>
      <c r="M34" s="156">
        <f t="shared" si="12"/>
        <v>399441</v>
      </c>
      <c r="N34" s="155">
        <f t="shared" si="12"/>
        <v>451150</v>
      </c>
      <c r="O34" s="185"/>
      <c r="P34" s="186"/>
      <c r="Q34" s="15"/>
      <c r="R34" s="15"/>
      <c r="S34" s="16">
        <f t="shared" si="13"/>
        <v>0</v>
      </c>
      <c r="T34" s="15">
        <f t="shared" si="6"/>
        <v>66714</v>
      </c>
      <c r="U34" s="15">
        <f t="shared" si="3"/>
        <v>0</v>
      </c>
      <c r="V34" s="36">
        <f t="shared" si="7"/>
        <v>850591</v>
      </c>
    </row>
    <row r="35" spans="1:22" ht="14.4" x14ac:dyDescent="0.3">
      <c r="A35" s="161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37219</v>
      </c>
      <c r="L35" s="91">
        <v>18098</v>
      </c>
      <c r="M35" s="156">
        <f t="shared" si="12"/>
        <v>436660</v>
      </c>
      <c r="N35" s="155">
        <f t="shared" si="12"/>
        <v>469248</v>
      </c>
      <c r="O35" s="185"/>
      <c r="P35" s="186"/>
      <c r="Q35" s="15"/>
      <c r="R35" s="15"/>
      <c r="S35" s="16">
        <f t="shared" si="13"/>
        <v>0</v>
      </c>
      <c r="T35" s="15">
        <f t="shared" si="6"/>
        <v>55317</v>
      </c>
      <c r="U35" s="15">
        <f t="shared" si="3"/>
        <v>0</v>
      </c>
      <c r="V35" s="36">
        <f t="shared" si="7"/>
        <v>905908</v>
      </c>
    </row>
    <row r="36" spans="1:22" ht="14.4" x14ac:dyDescent="0.3">
      <c r="A36" s="161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>
        <v>39933</v>
      </c>
      <c r="L36" s="91">
        <v>19614</v>
      </c>
      <c r="M36" s="156">
        <f t="shared" si="12"/>
        <v>476593</v>
      </c>
      <c r="N36" s="155">
        <f t="shared" si="12"/>
        <v>488862</v>
      </c>
      <c r="O36" s="185"/>
      <c r="P36" s="186"/>
      <c r="Q36" s="15"/>
      <c r="R36" s="15"/>
      <c r="S36" s="16">
        <f t="shared" si="13"/>
        <v>0</v>
      </c>
      <c r="T36" s="15">
        <f t="shared" si="6"/>
        <v>59547</v>
      </c>
      <c r="U36" s="15">
        <f t="shared" si="3"/>
        <v>0</v>
      </c>
      <c r="V36" s="36">
        <f t="shared" si="7"/>
        <v>965455</v>
      </c>
    </row>
    <row r="37" spans="1:22" ht="14.4" x14ac:dyDescent="0.3">
      <c r="A37" s="161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>
        <v>31219</v>
      </c>
      <c r="L37" s="91">
        <v>20203</v>
      </c>
      <c r="M37" s="156">
        <f t="shared" si="12"/>
        <v>507812</v>
      </c>
      <c r="N37" s="155">
        <f t="shared" si="12"/>
        <v>509065</v>
      </c>
      <c r="O37" s="185"/>
      <c r="P37" s="186"/>
      <c r="Q37" s="15"/>
      <c r="R37" s="15"/>
      <c r="S37" s="16">
        <f t="shared" si="13"/>
        <v>0</v>
      </c>
      <c r="T37" s="15">
        <f t="shared" si="6"/>
        <v>51422</v>
      </c>
      <c r="U37" s="15">
        <f t="shared" si="3"/>
        <v>0</v>
      </c>
      <c r="V37" s="36">
        <f t="shared" si="7"/>
        <v>1016877</v>
      </c>
    </row>
    <row r="38" spans="1:22" ht="14.4" x14ac:dyDescent="0.3">
      <c r="A38" s="161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>
        <v>27199</v>
      </c>
      <c r="L38" s="91">
        <v>18757</v>
      </c>
      <c r="M38" s="156">
        <f t="shared" si="12"/>
        <v>535011</v>
      </c>
      <c r="N38" s="155">
        <f t="shared" si="12"/>
        <v>527822</v>
      </c>
      <c r="O38" s="185"/>
      <c r="P38" s="186"/>
      <c r="Q38" s="15"/>
      <c r="R38" s="15"/>
      <c r="S38" s="16">
        <f t="shared" si="13"/>
        <v>0</v>
      </c>
      <c r="T38" s="15">
        <f t="shared" si="6"/>
        <v>45956</v>
      </c>
      <c r="U38" s="15">
        <f t="shared" si="3"/>
        <v>0</v>
      </c>
      <c r="V38" s="36">
        <f t="shared" si="7"/>
        <v>1062833</v>
      </c>
    </row>
    <row r="39" spans="1:22" ht="14.4" x14ac:dyDescent="0.3">
      <c r="A39" s="161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>
        <v>32976</v>
      </c>
      <c r="L39" s="91">
        <v>19216</v>
      </c>
      <c r="M39" s="156">
        <f t="shared" si="12"/>
        <v>567987</v>
      </c>
      <c r="N39" s="155">
        <f t="shared" si="12"/>
        <v>547038</v>
      </c>
      <c r="O39" s="185"/>
      <c r="P39" s="186"/>
      <c r="Q39" s="15"/>
      <c r="R39" s="15"/>
      <c r="S39" s="16">
        <f t="shared" si="13"/>
        <v>0</v>
      </c>
      <c r="T39" s="15">
        <f t="shared" si="6"/>
        <v>52192</v>
      </c>
      <c r="U39" s="15">
        <f t="shared" si="3"/>
        <v>0</v>
      </c>
      <c r="V39" s="36">
        <f t="shared" si="7"/>
        <v>1115025</v>
      </c>
    </row>
    <row r="40" spans="1:22" ht="14.4" x14ac:dyDescent="0.3">
      <c r="A40" s="161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>
        <v>31828</v>
      </c>
      <c r="L40" s="91">
        <v>13732</v>
      </c>
      <c r="M40" s="156">
        <f t="shared" si="12"/>
        <v>599815</v>
      </c>
      <c r="N40" s="155">
        <f t="shared" si="12"/>
        <v>560770</v>
      </c>
      <c r="O40" s="185"/>
      <c r="P40" s="186"/>
      <c r="Q40" s="15"/>
      <c r="R40" s="15"/>
      <c r="S40" s="16">
        <f t="shared" si="13"/>
        <v>0</v>
      </c>
      <c r="T40" s="15">
        <f t="shared" si="6"/>
        <v>45560</v>
      </c>
      <c r="U40" s="15">
        <f t="shared" si="3"/>
        <v>0</v>
      </c>
      <c r="V40" s="36">
        <f t="shared" si="7"/>
        <v>1160585</v>
      </c>
    </row>
    <row r="41" spans="1:22" ht="14.4" x14ac:dyDescent="0.3">
      <c r="A41" s="161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>
        <v>30998</v>
      </c>
      <c r="L41" s="91">
        <v>32476</v>
      </c>
      <c r="M41" s="156">
        <f t="shared" si="12"/>
        <v>630813</v>
      </c>
      <c r="N41" s="155">
        <f t="shared" si="12"/>
        <v>593246</v>
      </c>
      <c r="O41" s="185"/>
      <c r="P41" s="186"/>
      <c r="Q41" s="15"/>
      <c r="R41" s="15"/>
      <c r="S41" s="16">
        <f t="shared" si="13"/>
        <v>0</v>
      </c>
      <c r="T41" s="15">
        <f t="shared" si="6"/>
        <v>63474</v>
      </c>
      <c r="U41" s="15">
        <f t="shared" si="3"/>
        <v>0</v>
      </c>
      <c r="V41" s="36">
        <f t="shared" si="7"/>
        <v>1224059</v>
      </c>
    </row>
    <row r="42" spans="1:22" ht="14.4" x14ac:dyDescent="0.3">
      <c r="A42" s="161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>
        <v>24730</v>
      </c>
      <c r="L42" s="91">
        <v>13142</v>
      </c>
      <c r="M42" s="156">
        <f t="shared" ref="M42:N57" si="16">M41+K42</f>
        <v>655543</v>
      </c>
      <c r="N42" s="155">
        <f t="shared" si="16"/>
        <v>606388</v>
      </c>
      <c r="O42" s="185"/>
      <c r="P42" s="186"/>
      <c r="Q42" s="15"/>
      <c r="R42" s="15"/>
      <c r="S42" s="16">
        <f t="shared" si="13"/>
        <v>0</v>
      </c>
      <c r="T42" s="15">
        <f t="shared" si="6"/>
        <v>37872</v>
      </c>
      <c r="U42" s="15">
        <f t="shared" si="3"/>
        <v>0</v>
      </c>
      <c r="V42" s="36">
        <f t="shared" si="7"/>
        <v>1261931</v>
      </c>
    </row>
    <row r="43" spans="1:22" ht="14.4" x14ac:dyDescent="0.3">
      <c r="A43" s="161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>
        <v>17903</v>
      </c>
      <c r="L43" s="91">
        <v>5424</v>
      </c>
      <c r="M43" s="156">
        <f t="shared" si="16"/>
        <v>673446</v>
      </c>
      <c r="N43" s="155">
        <f t="shared" si="16"/>
        <v>611812</v>
      </c>
      <c r="O43" s="185"/>
      <c r="P43" s="186"/>
      <c r="Q43" s="15"/>
      <c r="R43" s="15"/>
      <c r="S43" s="16">
        <f t="shared" si="13"/>
        <v>0</v>
      </c>
      <c r="T43" s="15">
        <f t="shared" si="6"/>
        <v>23327</v>
      </c>
      <c r="U43" s="15">
        <f t="shared" si="3"/>
        <v>0</v>
      </c>
      <c r="V43" s="36">
        <f t="shared" si="7"/>
        <v>1285258</v>
      </c>
    </row>
    <row r="44" spans="1:22" ht="14.4" x14ac:dyDescent="0.3">
      <c r="A44" s="161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>
        <v>8336</v>
      </c>
      <c r="L44" s="91">
        <v>4884</v>
      </c>
      <c r="M44" s="156">
        <f t="shared" si="16"/>
        <v>681782</v>
      </c>
      <c r="N44" s="155">
        <f t="shared" si="16"/>
        <v>616696</v>
      </c>
      <c r="O44" s="185"/>
      <c r="P44" s="186"/>
      <c r="Q44" s="15"/>
      <c r="R44" s="15"/>
      <c r="S44" s="16">
        <f t="shared" si="13"/>
        <v>0</v>
      </c>
      <c r="T44" s="15">
        <f t="shared" si="6"/>
        <v>13220</v>
      </c>
      <c r="U44" s="15">
        <f t="shared" si="3"/>
        <v>0</v>
      </c>
      <c r="V44" s="36">
        <f t="shared" si="7"/>
        <v>1298478</v>
      </c>
    </row>
    <row r="45" spans="1:22" ht="14.4" x14ac:dyDescent="0.3">
      <c r="A45" s="161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>
        <v>28659</v>
      </c>
      <c r="L45" s="91">
        <v>13448</v>
      </c>
      <c r="M45" s="156">
        <f t="shared" si="16"/>
        <v>710441</v>
      </c>
      <c r="N45" s="155">
        <f t="shared" si="16"/>
        <v>630144</v>
      </c>
      <c r="O45" s="185"/>
      <c r="P45" s="186"/>
      <c r="Q45" s="15"/>
      <c r="R45" s="15"/>
      <c r="S45" s="16">
        <f t="shared" si="13"/>
        <v>0</v>
      </c>
      <c r="T45" s="15">
        <f t="shared" si="6"/>
        <v>42107</v>
      </c>
      <c r="U45" s="15">
        <f t="shared" si="3"/>
        <v>0</v>
      </c>
      <c r="V45" s="36">
        <f t="shared" si="7"/>
        <v>1340585</v>
      </c>
    </row>
    <row r="46" spans="1:22" ht="14.4" x14ac:dyDescent="0.3">
      <c r="A46" s="161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>
        <v>26871</v>
      </c>
      <c r="L46" s="91">
        <v>14569</v>
      </c>
      <c r="M46" s="156">
        <f t="shared" si="16"/>
        <v>737312</v>
      </c>
      <c r="N46" s="155">
        <f t="shared" si="16"/>
        <v>644713</v>
      </c>
      <c r="O46" s="185"/>
      <c r="P46" s="186"/>
      <c r="Q46" s="15"/>
      <c r="R46" s="15"/>
      <c r="S46" s="16">
        <f t="shared" si="13"/>
        <v>0</v>
      </c>
      <c r="T46" s="15">
        <f t="shared" si="6"/>
        <v>41440</v>
      </c>
      <c r="U46" s="15">
        <f t="shared" si="3"/>
        <v>0</v>
      </c>
      <c r="V46" s="36">
        <f t="shared" si="7"/>
        <v>1382025</v>
      </c>
    </row>
    <row r="47" spans="1:22" ht="14.4" x14ac:dyDescent="0.3">
      <c r="A47" s="161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>
        <v>27369</v>
      </c>
      <c r="L47" s="91">
        <v>16471</v>
      </c>
      <c r="M47" s="156">
        <f t="shared" si="16"/>
        <v>764681</v>
      </c>
      <c r="N47" s="155">
        <f t="shared" si="16"/>
        <v>661184</v>
      </c>
      <c r="O47" s="185"/>
      <c r="P47" s="186"/>
      <c r="Q47" s="15"/>
      <c r="R47" s="15"/>
      <c r="S47" s="16">
        <f t="shared" si="13"/>
        <v>0</v>
      </c>
      <c r="T47" s="15">
        <f t="shared" si="6"/>
        <v>43840</v>
      </c>
      <c r="U47" s="15">
        <f t="shared" si="3"/>
        <v>0</v>
      </c>
      <c r="V47" s="36">
        <f t="shared" si="7"/>
        <v>1425865</v>
      </c>
    </row>
    <row r="48" spans="1:22" ht="14.4" x14ac:dyDescent="0.3">
      <c r="A48" s="161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>
        <v>35838</v>
      </c>
      <c r="L48" s="91">
        <v>13888</v>
      </c>
      <c r="M48" s="156">
        <f t="shared" si="16"/>
        <v>800519</v>
      </c>
      <c r="N48" s="155">
        <f t="shared" si="16"/>
        <v>675072</v>
      </c>
      <c r="O48" s="185"/>
      <c r="P48" s="186"/>
      <c r="Q48" s="15"/>
      <c r="R48" s="15"/>
      <c r="S48" s="16">
        <f t="shared" si="13"/>
        <v>0</v>
      </c>
      <c r="T48" s="15">
        <f t="shared" si="6"/>
        <v>49726</v>
      </c>
      <c r="U48" s="15">
        <f t="shared" si="3"/>
        <v>0</v>
      </c>
      <c r="V48" s="36">
        <f t="shared" si="7"/>
        <v>1475591</v>
      </c>
    </row>
    <row r="49" spans="1:22" ht="14.4" x14ac:dyDescent="0.3">
      <c r="A49" s="161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>
        <v>25233</v>
      </c>
      <c r="L49" s="91">
        <v>13215</v>
      </c>
      <c r="M49" s="156">
        <f t="shared" si="16"/>
        <v>825752</v>
      </c>
      <c r="N49" s="155">
        <f t="shared" si="16"/>
        <v>688287</v>
      </c>
      <c r="O49" s="185"/>
      <c r="P49" s="186"/>
      <c r="Q49" s="15"/>
      <c r="R49" s="15"/>
      <c r="S49" s="16">
        <f t="shared" si="13"/>
        <v>0</v>
      </c>
      <c r="T49" s="15">
        <f t="shared" si="6"/>
        <v>38448</v>
      </c>
      <c r="U49" s="15">
        <f t="shared" si="3"/>
        <v>0</v>
      </c>
      <c r="V49" s="36">
        <f t="shared" si="7"/>
        <v>1514039</v>
      </c>
    </row>
    <row r="50" spans="1:22" ht="14.4" x14ac:dyDescent="0.3">
      <c r="A50" s="161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91">
        <v>29280</v>
      </c>
      <c r="L50" s="91">
        <v>10567</v>
      </c>
      <c r="M50" s="156">
        <f t="shared" si="16"/>
        <v>855032</v>
      </c>
      <c r="N50" s="155">
        <f t="shared" si="16"/>
        <v>698854</v>
      </c>
      <c r="O50" s="185"/>
      <c r="P50" s="186"/>
      <c r="Q50" s="15"/>
      <c r="R50" s="15"/>
      <c r="S50" s="16">
        <f t="shared" si="13"/>
        <v>0</v>
      </c>
      <c r="T50" s="15">
        <f t="shared" si="6"/>
        <v>39847</v>
      </c>
      <c r="U50" s="15">
        <f t="shared" si="3"/>
        <v>0</v>
      </c>
      <c r="V50" s="36">
        <f t="shared" si="7"/>
        <v>1553886</v>
      </c>
    </row>
    <row r="51" spans="1:22" ht="14.4" x14ac:dyDescent="0.3">
      <c r="A51" s="161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91"/>
      <c r="L51" s="91"/>
      <c r="M51" s="156">
        <f t="shared" si="16"/>
        <v>855032</v>
      </c>
      <c r="N51" s="155">
        <f t="shared" si="16"/>
        <v>698854</v>
      </c>
      <c r="O51" s="185"/>
      <c r="P51" s="186"/>
      <c r="Q51" s="15"/>
      <c r="R51" s="15"/>
      <c r="S51" s="16">
        <f t="shared" si="13"/>
        <v>0</v>
      </c>
      <c r="T51" s="15">
        <f t="shared" si="6"/>
        <v>0</v>
      </c>
      <c r="U51" s="15">
        <f t="shared" si="3"/>
        <v>0</v>
      </c>
      <c r="V51" s="36">
        <f t="shared" si="7"/>
        <v>1553886</v>
      </c>
    </row>
    <row r="52" spans="1:22" ht="14.4" x14ac:dyDescent="0.3">
      <c r="A52" s="161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91"/>
      <c r="L52" s="73"/>
      <c r="M52" s="156">
        <f t="shared" si="16"/>
        <v>855032</v>
      </c>
      <c r="N52" s="155">
        <f t="shared" si="16"/>
        <v>698854</v>
      </c>
      <c r="O52" s="185"/>
      <c r="P52" s="186"/>
      <c r="Q52" s="15"/>
      <c r="R52" s="15"/>
      <c r="S52" s="16">
        <f t="shared" si="13"/>
        <v>0</v>
      </c>
      <c r="T52" s="15">
        <f t="shared" si="6"/>
        <v>0</v>
      </c>
      <c r="U52" s="15">
        <f t="shared" si="3"/>
        <v>0</v>
      </c>
      <c r="V52" s="36">
        <f t="shared" si="7"/>
        <v>1553886</v>
      </c>
    </row>
    <row r="53" spans="1:22" ht="14.4" x14ac:dyDescent="0.3">
      <c r="A53" s="161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/>
      <c r="L53" s="73"/>
      <c r="M53" s="156">
        <f t="shared" si="16"/>
        <v>855032</v>
      </c>
      <c r="N53" s="155">
        <f t="shared" si="16"/>
        <v>698854</v>
      </c>
      <c r="O53" s="185"/>
      <c r="P53" s="186"/>
      <c r="Q53" s="15"/>
      <c r="R53" s="15"/>
      <c r="S53" s="16">
        <f t="shared" si="13"/>
        <v>0</v>
      </c>
      <c r="T53" s="15">
        <f t="shared" si="6"/>
        <v>0</v>
      </c>
      <c r="U53" s="15">
        <f t="shared" si="3"/>
        <v>0</v>
      </c>
      <c r="V53" s="36">
        <f t="shared" si="7"/>
        <v>1553886</v>
      </c>
    </row>
    <row r="54" spans="1:22" ht="14.4" x14ac:dyDescent="0.3">
      <c r="A54" s="161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/>
      <c r="L54" s="73"/>
      <c r="M54" s="156">
        <f t="shared" si="16"/>
        <v>855032</v>
      </c>
      <c r="N54" s="155">
        <f t="shared" si="16"/>
        <v>698854</v>
      </c>
      <c r="O54" s="185"/>
      <c r="P54" s="186"/>
      <c r="Q54" s="15"/>
      <c r="R54" s="15"/>
      <c r="S54" s="16">
        <f t="shared" si="13"/>
        <v>0</v>
      </c>
      <c r="T54" s="15">
        <f t="shared" si="6"/>
        <v>0</v>
      </c>
      <c r="U54" s="15">
        <f t="shared" si="3"/>
        <v>0</v>
      </c>
      <c r="V54" s="36">
        <f t="shared" si="7"/>
        <v>1553886</v>
      </c>
    </row>
    <row r="55" spans="1:22" ht="14.4" x14ac:dyDescent="0.3">
      <c r="A55" s="161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/>
      <c r="L55" s="73"/>
      <c r="M55" s="156">
        <f t="shared" si="16"/>
        <v>855032</v>
      </c>
      <c r="N55" s="155">
        <f t="shared" si="16"/>
        <v>698854</v>
      </c>
      <c r="O55" s="185"/>
      <c r="P55" s="186"/>
      <c r="Q55" s="15"/>
      <c r="R55" s="15"/>
      <c r="S55" s="16">
        <f t="shared" si="13"/>
        <v>0</v>
      </c>
      <c r="T55" s="15">
        <f t="shared" si="6"/>
        <v>0</v>
      </c>
      <c r="U55" s="15">
        <f t="shared" si="3"/>
        <v>0</v>
      </c>
      <c r="V55" s="36">
        <f t="shared" si="7"/>
        <v>1553886</v>
      </c>
    </row>
    <row r="56" spans="1:22" ht="14.4" x14ac:dyDescent="0.3">
      <c r="A56" s="161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/>
      <c r="L56" s="73"/>
      <c r="M56" s="156">
        <f t="shared" si="16"/>
        <v>855032</v>
      </c>
      <c r="N56" s="155">
        <f t="shared" si="16"/>
        <v>698854</v>
      </c>
      <c r="O56" s="185"/>
      <c r="P56" s="186"/>
      <c r="Q56" s="15"/>
      <c r="R56" s="15"/>
      <c r="S56" s="16">
        <f t="shared" si="13"/>
        <v>0</v>
      </c>
      <c r="T56" s="15">
        <f t="shared" si="6"/>
        <v>0</v>
      </c>
      <c r="U56" s="15">
        <f t="shared" si="3"/>
        <v>0</v>
      </c>
      <c r="V56" s="36">
        <f t="shared" si="7"/>
        <v>1553886</v>
      </c>
    </row>
    <row r="57" spans="1:22" ht="14.4" x14ac:dyDescent="0.3">
      <c r="A57" s="161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/>
      <c r="L57" s="73"/>
      <c r="M57" s="156">
        <f t="shared" si="16"/>
        <v>855032</v>
      </c>
      <c r="N57" s="155">
        <f t="shared" si="16"/>
        <v>698854</v>
      </c>
      <c r="O57" s="185"/>
      <c r="P57" s="186"/>
      <c r="Q57" s="15"/>
      <c r="R57" s="15"/>
      <c r="S57" s="16">
        <f t="shared" si="13"/>
        <v>0</v>
      </c>
      <c r="T57" s="15">
        <f>K57+L57</f>
        <v>0</v>
      </c>
      <c r="U57" s="15">
        <f t="shared" si="3"/>
        <v>0</v>
      </c>
      <c r="V57" s="36">
        <f t="shared" si="7"/>
        <v>1553886</v>
      </c>
    </row>
    <row r="58" spans="1:22" ht="14.4" x14ac:dyDescent="0.3">
      <c r="A58" s="161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/>
      <c r="L58" s="73"/>
      <c r="M58" s="156">
        <f t="shared" ref="M58:N60" si="19">M57+K58</f>
        <v>855032</v>
      </c>
      <c r="N58" s="155">
        <f t="shared" si="19"/>
        <v>698854</v>
      </c>
      <c r="O58" s="185"/>
      <c r="P58" s="186"/>
      <c r="Q58" s="15"/>
      <c r="R58" s="15"/>
      <c r="S58" s="16">
        <f t="shared" si="13"/>
        <v>0</v>
      </c>
      <c r="T58" s="15">
        <f t="shared" si="6"/>
        <v>0</v>
      </c>
      <c r="U58" s="15">
        <f t="shared" si="3"/>
        <v>0</v>
      </c>
      <c r="V58" s="36">
        <f t="shared" si="7"/>
        <v>1553886</v>
      </c>
    </row>
    <row r="59" spans="1:22" ht="14.4" x14ac:dyDescent="0.3">
      <c r="A59" s="161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/>
      <c r="L59" s="149"/>
      <c r="M59" s="156">
        <f t="shared" si="19"/>
        <v>855032</v>
      </c>
      <c r="N59" s="155">
        <f t="shared" si="19"/>
        <v>698854</v>
      </c>
      <c r="O59" s="185"/>
      <c r="P59" s="186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1553886</v>
      </c>
    </row>
    <row r="60" spans="1:22" ht="14.4" x14ac:dyDescent="0.3">
      <c r="A60" s="161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/>
      <c r="L60" s="73"/>
      <c r="M60" s="156">
        <f t="shared" si="19"/>
        <v>855032</v>
      </c>
      <c r="N60" s="155">
        <f t="shared" si="19"/>
        <v>698854</v>
      </c>
      <c r="O60" s="185"/>
      <c r="P60" s="186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1553886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855032</v>
      </c>
      <c r="N61" s="158">
        <f>N60+L61</f>
        <v>698854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1553886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G2" sqref="G2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171</v>
      </c>
    </row>
    <row r="2" spans="1:2" s="54" customFormat="1" ht="15.6" x14ac:dyDescent="0.3">
      <c r="A2" s="53" t="s">
        <v>172</v>
      </c>
    </row>
    <row r="3" spans="1:2" s="54" customFormat="1" ht="15" x14ac:dyDescent="0.25"/>
    <row r="4" spans="1:2" s="54" customFormat="1" ht="15" x14ac:dyDescent="0.25">
      <c r="A4" s="98" t="s">
        <v>173</v>
      </c>
      <c r="B4" s="75" t="e">
        <f>#REF!</f>
        <v>#REF!</v>
      </c>
    </row>
    <row r="5" spans="1:2" s="54" customFormat="1" ht="15" x14ac:dyDescent="0.25">
      <c r="A5" s="98" t="s">
        <v>174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175</v>
      </c>
    </row>
    <row r="2" spans="1:8" s="54" customFormat="1" ht="15.6" x14ac:dyDescent="0.3">
      <c r="A2" s="53" t="s">
        <v>172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176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177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240</v>
      </c>
    </row>
    <row r="2" spans="1:11" s="54" customFormat="1" ht="15.6" x14ac:dyDescent="0.3">
      <c r="A2" s="53" t="s">
        <v>241</v>
      </c>
    </row>
    <row r="3" spans="1:11" s="54" customFormat="1" ht="15" x14ac:dyDescent="0.25"/>
    <row r="4" spans="1:11" s="54" customFormat="1" ht="15" x14ac:dyDescent="0.25">
      <c r="A4" s="98" t="s">
        <v>173</v>
      </c>
      <c r="B4" s="75" t="e">
        <f>#REF!</f>
        <v>#REF!</v>
      </c>
    </row>
    <row r="5" spans="1:11" s="54" customFormat="1" ht="15" x14ac:dyDescent="0.25">
      <c r="A5" s="98" t="s">
        <v>174</v>
      </c>
      <c r="B5" s="55" t="e">
        <f>B4</f>
        <v>#REF!</v>
      </c>
    </row>
    <row r="7" spans="1:11" ht="15.6" x14ac:dyDescent="0.3">
      <c r="A7" s="208" t="s">
        <v>242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15.6" x14ac:dyDescent="0.3">
      <c r="A8" s="208" t="s">
        <v>243</v>
      </c>
      <c r="B8" s="209"/>
      <c r="C8" s="209"/>
      <c r="D8" s="209"/>
      <c r="E8" s="209"/>
      <c r="F8" s="209"/>
      <c r="G8" s="209"/>
      <c r="H8" s="209"/>
      <c r="I8" s="209"/>
      <c r="J8" s="209"/>
      <c r="K8" s="210"/>
    </row>
    <row r="9" spans="1:11" x14ac:dyDescent="0.25">
      <c r="A9" s="211" t="s">
        <v>178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x14ac:dyDescent="0.25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252</v>
      </c>
    </row>
    <row r="2" spans="1:8" s="54" customFormat="1" ht="15.6" x14ac:dyDescent="0.3">
      <c r="A2" s="53" t="s">
        <v>253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254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255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Props1.xml><?xml version="1.0" encoding="utf-8"?>
<ds:datastoreItem xmlns:ds="http://schemas.openxmlformats.org/officeDocument/2006/customXml" ds:itemID="{B65430EF-E3F2-4D82-A5D4-48270761C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F86B06-DDBB-4ADD-9177-1B1E90CA4B19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65f53dc4-d250-4e55-bddf-148ce7e458c8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2025-11-03T07:16:25Z</cp:lastPrinted>
  <dcterms:created xsi:type="dcterms:W3CDTF">2005-05-06T06:48:19Z</dcterms:created>
  <dcterms:modified xsi:type="dcterms:W3CDTF">2026-02-23T07:03:40Z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