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50E8012A-FDED-48D5-A711-7B46324B041E}" xr6:coauthVersionLast="47" xr6:coauthVersionMax="47" xr10:uidLastSave="{00000000-0000-0000-0000-000000000000}"/>
  <bookViews>
    <workbookView xWindow="-108" yWindow="-108" windowWidth="23256" windowHeight="12456" tabRatio="863" activeTab="13" xr2:uid="{00000000-000D-0000-FFFF-FFFF00000000}"/>
  </bookViews>
  <sheets>
    <sheet name="Invoere 4jr vgl" sheetId="15" r:id="rId1"/>
    <sheet name="Invoere 2024_25" sheetId="9" r:id="rId2"/>
    <sheet name="Uitvoere 2025_26" sheetId="10" r:id="rId3"/>
    <sheet name="In en uitvoere 2019_20" sheetId="6" state="hidden" r:id="rId4"/>
    <sheet name="Data 2017_18" sheetId="17" state="hidden" r:id="rId5"/>
    <sheet name="Data 2018_19" sheetId="20" state="hidden" r:id="rId6"/>
    <sheet name="Data 2019_20" sheetId="19" state="hidden" r:id="rId7"/>
    <sheet name="Data 2020_21" sheetId="21" state="hidden" r:id="rId8"/>
    <sheet name="Data 2021_22" sheetId="22" state="hidden" r:id="rId9"/>
    <sheet name="Data 2022_23" sheetId="23" r:id="rId10"/>
    <sheet name="Data 2023_24" sheetId="24" r:id="rId11"/>
    <sheet name="Data 2024_25" sheetId="25" r:id="rId12"/>
    <sheet name="Data 2025_26" sheetId="26" r:id="rId13"/>
    <sheet name="Land-Country data" sheetId="3" r:id="rId14"/>
    <sheet name="Import per harbour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7" i="3" l="1"/>
  <c r="Y60" i="3"/>
  <c r="Y59" i="3"/>
  <c r="Y58" i="3"/>
  <c r="Y30" i="3"/>
  <c r="Y44" i="3"/>
  <c r="Y23" i="3"/>
  <c r="C52" i="3" s="1"/>
  <c r="D4" i="25"/>
  <c r="Y43" i="3"/>
  <c r="Y36" i="3"/>
  <c r="X67" i="3"/>
  <c r="X65" i="3"/>
  <c r="X60" i="3"/>
  <c r="X59" i="3"/>
  <c r="X58" i="3"/>
  <c r="X69" i="3" s="1"/>
  <c r="X57" i="3"/>
  <c r="X56" i="3"/>
  <c r="X54" i="3"/>
  <c r="X46" i="3"/>
  <c r="X44" i="3"/>
  <c r="X43" i="3"/>
  <c r="X42" i="3"/>
  <c r="X36" i="3"/>
  <c r="X35" i="3"/>
  <c r="X33" i="3"/>
  <c r="X32" i="3"/>
  <c r="X31" i="3"/>
  <c r="X30" i="3"/>
  <c r="X47" i="3" s="1"/>
  <c r="D4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B11" i="26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G10" i="26"/>
  <c r="H10" i="26" s="1"/>
  <c r="F10" i="26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F22" i="26" s="1"/>
  <c r="F23" i="26" s="1"/>
  <c r="F24" i="26" s="1"/>
  <c r="F25" i="26" s="1"/>
  <c r="F26" i="26" s="1"/>
  <c r="F27" i="26" s="1"/>
  <c r="F28" i="26" s="1"/>
  <c r="F29" i="26" s="1"/>
  <c r="F30" i="26" s="1"/>
  <c r="F31" i="26" s="1"/>
  <c r="F32" i="26" s="1"/>
  <c r="F33" i="26" s="1"/>
  <c r="F34" i="26" s="1"/>
  <c r="F35" i="26" s="1"/>
  <c r="F36" i="26" s="1"/>
  <c r="F37" i="26" s="1"/>
  <c r="F38" i="26" s="1"/>
  <c r="F39" i="26" s="1"/>
  <c r="F40" i="26" s="1"/>
  <c r="F41" i="26" s="1"/>
  <c r="F42" i="26" s="1"/>
  <c r="F43" i="26" s="1"/>
  <c r="F44" i="26" s="1"/>
  <c r="F45" i="26" s="1"/>
  <c r="F46" i="26" s="1"/>
  <c r="F47" i="26" s="1"/>
  <c r="F48" i="26" s="1"/>
  <c r="F49" i="26" s="1"/>
  <c r="F50" i="26" s="1"/>
  <c r="F51" i="26" s="1"/>
  <c r="F52" i="26" s="1"/>
  <c r="F53" i="26" s="1"/>
  <c r="F54" i="26" s="1"/>
  <c r="F55" i="26" s="1"/>
  <c r="F56" i="26" s="1"/>
  <c r="F57" i="26" s="1"/>
  <c r="F58" i="26" s="1"/>
  <c r="F59" i="26" s="1"/>
  <c r="F60" i="26" s="1"/>
  <c r="F61" i="26" s="1"/>
  <c r="D10" i="26"/>
  <c r="D11" i="26" s="1"/>
  <c r="D12" i="26" s="1"/>
  <c r="D13" i="26" s="1"/>
  <c r="D14" i="26" s="1"/>
  <c r="D15" i="26" s="1"/>
  <c r="D16" i="26" s="1"/>
  <c r="D17" i="26" s="1"/>
  <c r="D18" i="26" s="1"/>
  <c r="D19" i="26" s="1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D30" i="26" s="1"/>
  <c r="D31" i="26" s="1"/>
  <c r="D32" i="26" s="1"/>
  <c r="D33" i="26" s="1"/>
  <c r="D34" i="26" s="1"/>
  <c r="D35" i="26" s="1"/>
  <c r="D36" i="26" s="1"/>
  <c r="D37" i="26" s="1"/>
  <c r="D38" i="26" s="1"/>
  <c r="D39" i="26" s="1"/>
  <c r="D40" i="26" s="1"/>
  <c r="D41" i="26" s="1"/>
  <c r="D42" i="26" s="1"/>
  <c r="D43" i="26" s="1"/>
  <c r="D44" i="26" s="1"/>
  <c r="D45" i="26" s="1"/>
  <c r="D46" i="26" s="1"/>
  <c r="D47" i="26" s="1"/>
  <c r="D48" i="26" s="1"/>
  <c r="D49" i="26" s="1"/>
  <c r="D50" i="26" s="1"/>
  <c r="D51" i="26" s="1"/>
  <c r="D52" i="26" s="1"/>
  <c r="D53" i="26" s="1"/>
  <c r="D54" i="26" s="1"/>
  <c r="D55" i="26" s="1"/>
  <c r="D56" i="26" s="1"/>
  <c r="D57" i="26" s="1"/>
  <c r="D58" i="26" s="1"/>
  <c r="D59" i="26" s="1"/>
  <c r="D60" i="26" s="1"/>
  <c r="D61" i="26" s="1"/>
  <c r="F10" i="25"/>
  <c r="G10" i="25"/>
  <c r="H10" i="25" s="1"/>
  <c r="H11" i="25" s="1"/>
  <c r="H12" i="25" s="1"/>
  <c r="F11" i="25"/>
  <c r="F12" i="25" s="1"/>
  <c r="F13" i="25" s="1"/>
  <c r="F14" i="25" s="1"/>
  <c r="F15" i="25" s="1"/>
  <c r="F16" i="25" s="1"/>
  <c r="F17" i="25" s="1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F28" i="25" s="1"/>
  <c r="F29" i="25" s="1"/>
  <c r="F30" i="25" s="1"/>
  <c r="F31" i="25" s="1"/>
  <c r="F32" i="25" s="1"/>
  <c r="F33" i="25" s="1"/>
  <c r="F34" i="25" s="1"/>
  <c r="F35" i="25" s="1"/>
  <c r="F36" i="25" s="1"/>
  <c r="F37" i="25" s="1"/>
  <c r="F38" i="25" s="1"/>
  <c r="F39" i="25" s="1"/>
  <c r="F40" i="25" s="1"/>
  <c r="F41" i="25" s="1"/>
  <c r="F42" i="25" s="1"/>
  <c r="F43" i="25" s="1"/>
  <c r="F44" i="25" s="1"/>
  <c r="F45" i="25" s="1"/>
  <c r="F46" i="25" s="1"/>
  <c r="F47" i="25" s="1"/>
  <c r="F48" i="25" s="1"/>
  <c r="F49" i="25" s="1"/>
  <c r="F50" i="25" s="1"/>
  <c r="F51" i="25" s="1"/>
  <c r="F52" i="25" s="1"/>
  <c r="F53" i="25" s="1"/>
  <c r="F54" i="25" s="1"/>
  <c r="F55" i="25" s="1"/>
  <c r="F56" i="25" s="1"/>
  <c r="F57" i="25" s="1"/>
  <c r="F58" i="25" s="1"/>
  <c r="F59" i="25" s="1"/>
  <c r="F60" i="25" s="1"/>
  <c r="F61" i="25" s="1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B61" i="25"/>
  <c r="D24" i="3" l="1"/>
  <c r="H11" i="26"/>
  <c r="H12" i="26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H43" i="26" s="1"/>
  <c r="H44" i="26" s="1"/>
  <c r="H45" i="26" s="1"/>
  <c r="H46" i="26" s="1"/>
  <c r="H47" i="26" s="1"/>
  <c r="H48" i="26" s="1"/>
  <c r="H49" i="26" s="1"/>
  <c r="H50" i="26" s="1"/>
  <c r="H51" i="26" s="1"/>
  <c r="H52" i="26" s="1"/>
  <c r="H53" i="26" s="1"/>
  <c r="H54" i="26" s="1"/>
  <c r="H55" i="26" s="1"/>
  <c r="H56" i="26" s="1"/>
  <c r="H57" i="26" s="1"/>
  <c r="H58" i="26" s="1"/>
  <c r="H59" i="26" s="1"/>
  <c r="H60" i="26" s="1"/>
  <c r="H61" i="26" s="1"/>
  <c r="B59" i="26"/>
  <c r="B60" i="26" s="1"/>
  <c r="B61" i="26" s="1"/>
  <c r="H13" i="25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H38" i="25" s="1"/>
  <c r="H39" i="25" s="1"/>
  <c r="H40" i="25" s="1"/>
  <c r="H41" i="25" s="1"/>
  <c r="H42" i="25" s="1"/>
  <c r="H43" i="25" s="1"/>
  <c r="H44" i="25" s="1"/>
  <c r="H45" i="25" s="1"/>
  <c r="H46" i="25" s="1"/>
  <c r="H47" i="25" s="1"/>
  <c r="H48" i="25" s="1"/>
  <c r="H49" i="25" s="1"/>
  <c r="H50" i="25" s="1"/>
  <c r="H51" i="25" s="1"/>
  <c r="H52" i="25" s="1"/>
  <c r="H53" i="25" s="1"/>
  <c r="H54" i="25" s="1"/>
  <c r="H55" i="25" s="1"/>
  <c r="H56" i="25" s="1"/>
  <c r="H57" i="25" s="1"/>
  <c r="H58" i="25" s="1"/>
  <c r="H59" i="25" s="1"/>
  <c r="H60" i="25" s="1"/>
  <c r="H61" i="25" s="1"/>
  <c r="B25" i="25" l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23" i="25"/>
  <c r="B24" i="25" s="1"/>
  <c r="B19" i="25"/>
  <c r="B20" i="25" s="1"/>
  <c r="B21" i="25" s="1"/>
  <c r="B22" i="25" s="1"/>
  <c r="Y69" i="3" l="1"/>
  <c r="B18" i="25"/>
  <c r="B16" i="25"/>
  <c r="B17" i="25" s="1"/>
  <c r="B15" i="25"/>
  <c r="B13" i="25"/>
  <c r="B14" i="25"/>
  <c r="B12" i="25"/>
  <c r="B11" i="25"/>
  <c r="Y54" i="3"/>
  <c r="E22" i="3"/>
  <c r="D10" i="25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D49" i="25" s="1"/>
  <c r="D50" i="25" s="1"/>
  <c r="D51" i="25" s="1"/>
  <c r="D52" i="25" s="1"/>
  <c r="D53" i="25" s="1"/>
  <c r="D54" i="25" s="1"/>
  <c r="D55" i="25" s="1"/>
  <c r="D56" i="25" s="1"/>
  <c r="D57" i="25" s="1"/>
  <c r="D58" i="25" s="1"/>
  <c r="D59" i="25" s="1"/>
  <c r="D60" i="25" s="1"/>
  <c r="D61" i="25" s="1"/>
  <c r="D4" i="24"/>
  <c r="W67" i="3"/>
  <c r="W59" i="3"/>
  <c r="W58" i="3"/>
  <c r="W57" i="3"/>
  <c r="W44" i="3"/>
  <c r="W43" i="3"/>
  <c r="W42" i="3"/>
  <c r="W36" i="3"/>
  <c r="W33" i="3"/>
  <c r="G61" i="24"/>
  <c r="B61" i="24"/>
  <c r="Y47" i="3" l="1"/>
  <c r="W60" i="3"/>
  <c r="W55" i="3"/>
  <c r="W35" i="3"/>
  <c r="W28" i="3"/>
  <c r="W69" i="3" l="1"/>
  <c r="W30" i="3"/>
  <c r="W31" i="3" l="1"/>
  <c r="B23" i="24"/>
  <c r="E21" i="3"/>
  <c r="E20" i="3"/>
  <c r="V67" i="3"/>
  <c r="V60" i="3"/>
  <c r="V59" i="3"/>
  <c r="V58" i="3"/>
  <c r="V57" i="3"/>
  <c r="V56" i="3"/>
  <c r="V45" i="3"/>
  <c r="V44" i="3"/>
  <c r="V43" i="3"/>
  <c r="V42" i="3"/>
  <c r="V38" i="3"/>
  <c r="V36" i="3"/>
  <c r="V35" i="3"/>
  <c r="V33" i="3"/>
  <c r="V32" i="3"/>
  <c r="V30" i="3"/>
  <c r="W54" i="3"/>
  <c r="D4" i="23"/>
  <c r="H55" i="23"/>
  <c r="H56" i="23" s="1"/>
  <c r="H57" i="23" s="1"/>
  <c r="H58" i="23" s="1"/>
  <c r="H59" i="23" s="1"/>
  <c r="H60" i="23" s="1"/>
  <c r="H61" i="23" s="1"/>
  <c r="G61" i="23"/>
  <c r="B61" i="23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B11" i="24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G10" i="24"/>
  <c r="H10" i="24" s="1"/>
  <c r="F10" i="24"/>
  <c r="F11" i="24" s="1"/>
  <c r="F12" i="24" s="1"/>
  <c r="F13" i="24" s="1"/>
  <c r="F14" i="24" s="1"/>
  <c r="F15" i="24" s="1"/>
  <c r="F16" i="24" s="1"/>
  <c r="F17" i="24" s="1"/>
  <c r="F18" i="24" s="1"/>
  <c r="F19" i="24" s="1"/>
  <c r="F20" i="24" s="1"/>
  <c r="F21" i="24" s="1"/>
  <c r="F22" i="24" s="1"/>
  <c r="F23" i="24" s="1"/>
  <c r="F24" i="24" s="1"/>
  <c r="F25" i="24" s="1"/>
  <c r="F26" i="24" s="1"/>
  <c r="F27" i="24" s="1"/>
  <c r="F28" i="24" s="1"/>
  <c r="F29" i="24" s="1"/>
  <c r="F30" i="24" s="1"/>
  <c r="F31" i="24" s="1"/>
  <c r="F32" i="24" s="1"/>
  <c r="F33" i="24" s="1"/>
  <c r="F34" i="24" s="1"/>
  <c r="F35" i="24" s="1"/>
  <c r="F36" i="24" s="1"/>
  <c r="F37" i="24" s="1"/>
  <c r="F38" i="24" s="1"/>
  <c r="F39" i="24" s="1"/>
  <c r="F40" i="24" s="1"/>
  <c r="F41" i="24" s="1"/>
  <c r="F42" i="24" s="1"/>
  <c r="F43" i="24" s="1"/>
  <c r="F44" i="24" s="1"/>
  <c r="F45" i="24" s="1"/>
  <c r="F46" i="24" s="1"/>
  <c r="F47" i="24" s="1"/>
  <c r="F48" i="24" s="1"/>
  <c r="F49" i="24" s="1"/>
  <c r="F50" i="24" s="1"/>
  <c r="F51" i="24" s="1"/>
  <c r="F52" i="24" s="1"/>
  <c r="F53" i="24" s="1"/>
  <c r="F54" i="24" s="1"/>
  <c r="F55" i="24" s="1"/>
  <c r="F56" i="24" s="1"/>
  <c r="F57" i="24" s="1"/>
  <c r="F58" i="24" s="1"/>
  <c r="F59" i="24" s="1"/>
  <c r="F60" i="24" s="1"/>
  <c r="F61" i="24" s="1"/>
  <c r="D10" i="24"/>
  <c r="D11" i="24" s="1"/>
  <c r="D12" i="24" s="1"/>
  <c r="D13" i="24" s="1"/>
  <c r="D14" i="24" s="1"/>
  <c r="D15" i="24" s="1"/>
  <c r="D16" i="24" s="1"/>
  <c r="D17" i="24" s="1"/>
  <c r="D18" i="24" s="1"/>
  <c r="D19" i="24" s="1"/>
  <c r="D20" i="24" s="1"/>
  <c r="D21" i="24" s="1"/>
  <c r="D22" i="24" s="1"/>
  <c r="D23" i="24" s="1"/>
  <c r="D24" i="24" s="1"/>
  <c r="D25" i="24" s="1"/>
  <c r="D26" i="24" s="1"/>
  <c r="D27" i="24" s="1"/>
  <c r="D28" i="24" s="1"/>
  <c r="D29" i="24" s="1"/>
  <c r="D30" i="24" s="1"/>
  <c r="D31" i="24" s="1"/>
  <c r="D32" i="24" s="1"/>
  <c r="D33" i="24" s="1"/>
  <c r="D34" i="24" s="1"/>
  <c r="D35" i="24" s="1"/>
  <c r="D36" i="24" s="1"/>
  <c r="D37" i="24" s="1"/>
  <c r="D38" i="24" s="1"/>
  <c r="D39" i="24" s="1"/>
  <c r="D40" i="24" s="1"/>
  <c r="D41" i="24" s="1"/>
  <c r="D42" i="24" s="1"/>
  <c r="D43" i="24" s="1"/>
  <c r="D44" i="24" s="1"/>
  <c r="D45" i="24" s="1"/>
  <c r="D46" i="24" s="1"/>
  <c r="D47" i="24" s="1"/>
  <c r="D48" i="24" s="1"/>
  <c r="D49" i="24" s="1"/>
  <c r="D50" i="24" s="1"/>
  <c r="D51" i="24" s="1"/>
  <c r="D52" i="24" s="1"/>
  <c r="D53" i="24" s="1"/>
  <c r="D54" i="24" s="1"/>
  <c r="D55" i="24" s="1"/>
  <c r="D56" i="24" s="1"/>
  <c r="D57" i="24" s="1"/>
  <c r="D58" i="24" s="1"/>
  <c r="D59" i="24" s="1"/>
  <c r="D60" i="24" s="1"/>
  <c r="D61" i="24" s="1"/>
  <c r="G60" i="23"/>
  <c r="G59" i="23"/>
  <c r="G58" i="23"/>
  <c r="B59" i="23"/>
  <c r="B60" i="23" s="1"/>
  <c r="B58" i="23"/>
  <c r="G56" i="23"/>
  <c r="G57" i="23"/>
  <c r="W47" i="3" l="1"/>
  <c r="H11" i="24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G55" i="23"/>
  <c r="G54" i="23" l="1"/>
  <c r="G53" i="23" l="1"/>
  <c r="G52" i="23"/>
  <c r="G51" i="23"/>
  <c r="G50" i="23"/>
  <c r="G49" i="23" l="1"/>
  <c r="G48" i="23"/>
  <c r="G47" i="23"/>
  <c r="G46" i="23"/>
  <c r="G45" i="23"/>
  <c r="G44" i="23"/>
  <c r="G43" i="23"/>
  <c r="G40" i="23"/>
  <c r="G41" i="23"/>
  <c r="G42" i="23"/>
  <c r="G39" i="23" l="1"/>
  <c r="G38" i="23"/>
  <c r="G37" i="23"/>
  <c r="G36" i="23"/>
  <c r="G35" i="23"/>
  <c r="G34" i="23"/>
  <c r="G33" i="23"/>
  <c r="G32" i="23"/>
  <c r="G31" i="23"/>
  <c r="G25" i="23"/>
  <c r="G26" i="23"/>
  <c r="G27" i="23"/>
  <c r="G28" i="23"/>
  <c r="G29" i="23"/>
  <c r="G30" i="23"/>
  <c r="G24" i="23"/>
  <c r="G23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10" i="23"/>
  <c r="H10" i="23" s="1"/>
  <c r="H11" i="23" l="1"/>
  <c r="H20" i="2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20" i="19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27" i="20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20" i="20"/>
  <c r="H21" i="20" s="1"/>
  <c r="H22" i="20" s="1"/>
  <c r="H23" i="20" s="1"/>
  <c r="H24" i="20" s="1"/>
  <c r="H25" i="20" s="1"/>
  <c r="H26" i="20" s="1"/>
  <c r="H16" i="17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H61" i="17" s="1"/>
  <c r="H12" i="22"/>
  <c r="H13" i="22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V54" i="3"/>
  <c r="B11" i="23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F10" i="23"/>
  <c r="F11" i="23" s="1"/>
  <c r="F12" i="23" s="1"/>
  <c r="F13" i="23" s="1"/>
  <c r="F14" i="23" s="1"/>
  <c r="F15" i="23" s="1"/>
  <c r="F16" i="23" s="1"/>
  <c r="F17" i="23" s="1"/>
  <c r="F18" i="23" s="1"/>
  <c r="F19" i="23" s="1"/>
  <c r="F20" i="23" s="1"/>
  <c r="F21" i="23" s="1"/>
  <c r="F22" i="23" s="1"/>
  <c r="F23" i="23" s="1"/>
  <c r="F24" i="23" s="1"/>
  <c r="F25" i="23" s="1"/>
  <c r="F26" i="23" s="1"/>
  <c r="F27" i="23" s="1"/>
  <c r="F28" i="23" s="1"/>
  <c r="F29" i="23" s="1"/>
  <c r="F30" i="23" s="1"/>
  <c r="F31" i="23" s="1"/>
  <c r="F32" i="23" s="1"/>
  <c r="F33" i="23" s="1"/>
  <c r="F34" i="23" s="1"/>
  <c r="F35" i="23" s="1"/>
  <c r="F36" i="23" s="1"/>
  <c r="F37" i="23" s="1"/>
  <c r="F38" i="23" s="1"/>
  <c r="F39" i="23" s="1"/>
  <c r="F40" i="23" s="1"/>
  <c r="F41" i="23" s="1"/>
  <c r="F42" i="23" s="1"/>
  <c r="F43" i="23" s="1"/>
  <c r="F44" i="23" s="1"/>
  <c r="F45" i="23" s="1"/>
  <c r="F46" i="23" s="1"/>
  <c r="F47" i="23" s="1"/>
  <c r="F48" i="23" s="1"/>
  <c r="F49" i="23" s="1"/>
  <c r="F50" i="23" s="1"/>
  <c r="F51" i="23" s="1"/>
  <c r="F52" i="23" s="1"/>
  <c r="F53" i="23" s="1"/>
  <c r="F54" i="23" s="1"/>
  <c r="F55" i="23" s="1"/>
  <c r="F56" i="23" s="1"/>
  <c r="F57" i="23" s="1"/>
  <c r="F58" i="23" s="1"/>
  <c r="F59" i="23" s="1"/>
  <c r="F60" i="23" s="1"/>
  <c r="F61" i="23" s="1"/>
  <c r="D10" i="23"/>
  <c r="D11" i="23" s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D36" i="23" s="1"/>
  <c r="D37" i="23" s="1"/>
  <c r="D38" i="23" s="1"/>
  <c r="D39" i="23" s="1"/>
  <c r="D40" i="23" s="1"/>
  <c r="D41" i="23" s="1"/>
  <c r="D42" i="23" s="1"/>
  <c r="D43" i="23" s="1"/>
  <c r="D44" i="23" s="1"/>
  <c r="D45" i="23" s="1"/>
  <c r="D46" i="23" s="1"/>
  <c r="D47" i="23" s="1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B57" i="22"/>
  <c r="D4" i="22"/>
  <c r="U67" i="3"/>
  <c r="U60" i="3"/>
  <c r="U59" i="3"/>
  <c r="U58" i="3"/>
  <c r="U57" i="3"/>
  <c r="U43" i="3"/>
  <c r="U36" i="3"/>
  <c r="U35" i="3"/>
  <c r="B56" i="22"/>
  <c r="B55" i="22"/>
  <c r="B54" i="22"/>
  <c r="B53" i="22"/>
  <c r="U44" i="3"/>
  <c r="B52" i="22"/>
  <c r="U38" i="3"/>
  <c r="B51" i="22"/>
  <c r="B50" i="22"/>
  <c r="B49" i="22"/>
  <c r="B48" i="22"/>
  <c r="B47" i="22"/>
  <c r="U30" i="3"/>
  <c r="B46" i="22"/>
  <c r="B45" i="22"/>
  <c r="B44" i="22"/>
  <c r="B42" i="22"/>
  <c r="B43" i="22" s="1"/>
  <c r="B41" i="22"/>
  <c r="B40" i="22"/>
  <c r="U56" i="3"/>
  <c r="B39" i="22"/>
  <c r="B38" i="22"/>
  <c r="B37" i="22"/>
  <c r="B36" i="22"/>
  <c r="B35" i="22"/>
  <c r="B34" i="22"/>
  <c r="B33" i="22"/>
  <c r="B32" i="22"/>
  <c r="B31" i="22"/>
  <c r="B30" i="22"/>
  <c r="B29" i="22"/>
  <c r="U42" i="3"/>
  <c r="B28" i="22"/>
  <c r="B27" i="22"/>
  <c r="B26" i="22"/>
  <c r="B24" i="22"/>
  <c r="B25" i="22"/>
  <c r="B20" i="22"/>
  <c r="B21" i="22"/>
  <c r="B22" i="22"/>
  <c r="B23" i="22"/>
  <c r="B19" i="22"/>
  <c r="B18" i="22"/>
  <c r="B17" i="22"/>
  <c r="B15" i="22"/>
  <c r="B16" i="22"/>
  <c r="B14" i="22"/>
  <c r="B13" i="22"/>
  <c r="B12" i="22"/>
  <c r="B11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H11" i="22" s="1"/>
  <c r="G10" i="22"/>
  <c r="H10" i="22"/>
  <c r="F10" i="22"/>
  <c r="F11" i="22"/>
  <c r="F12" i="22" s="1"/>
  <c r="F13" i="22" s="1"/>
  <c r="F14" i="22" s="1"/>
  <c r="F15" i="22" s="1"/>
  <c r="F16" i="22" s="1"/>
  <c r="F17" i="22" s="1"/>
  <c r="F18" i="22" s="1"/>
  <c r="F19" i="22" s="1"/>
  <c r="F20" i="22" s="1"/>
  <c r="F21" i="22" s="1"/>
  <c r="F22" i="22" s="1"/>
  <c r="F23" i="22" s="1"/>
  <c r="F24" i="22" s="1"/>
  <c r="F25" i="22" s="1"/>
  <c r="F26" i="22" s="1"/>
  <c r="F27" i="22" s="1"/>
  <c r="F28" i="22" s="1"/>
  <c r="F29" i="22" s="1"/>
  <c r="F30" i="22" s="1"/>
  <c r="F31" i="22" s="1"/>
  <c r="F32" i="22" s="1"/>
  <c r="F33" i="22" s="1"/>
  <c r="F34" i="22" s="1"/>
  <c r="F35" i="22" s="1"/>
  <c r="F36" i="22" s="1"/>
  <c r="F37" i="22" s="1"/>
  <c r="F38" i="22" s="1"/>
  <c r="F39" i="22" s="1"/>
  <c r="F40" i="22" s="1"/>
  <c r="F41" i="22" s="1"/>
  <c r="F42" i="22" s="1"/>
  <c r="F43" i="22" s="1"/>
  <c r="F44" i="22" s="1"/>
  <c r="F45" i="22" s="1"/>
  <c r="F46" i="22" s="1"/>
  <c r="F47" i="22" s="1"/>
  <c r="F48" i="22" s="1"/>
  <c r="F49" i="22" s="1"/>
  <c r="F50" i="22" s="1"/>
  <c r="F51" i="22" s="1"/>
  <c r="F52" i="22" s="1"/>
  <c r="F53" i="22" s="1"/>
  <c r="F54" i="22" s="1"/>
  <c r="F55" i="22" s="1"/>
  <c r="F56" i="22" s="1"/>
  <c r="F57" i="22" s="1"/>
  <c r="F58" i="22" s="1"/>
  <c r="F59" i="22" s="1"/>
  <c r="F60" i="22" s="1"/>
  <c r="F61" i="22" s="1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4" i="21"/>
  <c r="T60" i="3"/>
  <c r="T58" i="3"/>
  <c r="T57" i="3"/>
  <c r="T56" i="3"/>
  <c r="T43" i="3"/>
  <c r="T42" i="3"/>
  <c r="T36" i="3"/>
  <c r="T33" i="3"/>
  <c r="T31" i="3"/>
  <c r="B61" i="21"/>
  <c r="B60" i="21"/>
  <c r="B59" i="21"/>
  <c r="B58" i="21"/>
  <c r="T67" i="3"/>
  <c r="T59" i="3"/>
  <c r="B57" i="21"/>
  <c r="T30" i="3"/>
  <c r="B56" i="21"/>
  <c r="B55" i="21"/>
  <c r="B54" i="21"/>
  <c r="B53" i="21"/>
  <c r="B52" i="21"/>
  <c r="B51" i="21"/>
  <c r="B50" i="21"/>
  <c r="B49" i="21"/>
  <c r="B47" i="21"/>
  <c r="B48" i="21"/>
  <c r="T44" i="3"/>
  <c r="T32" i="3"/>
  <c r="B43" i="21"/>
  <c r="B44" i="21"/>
  <c r="B45" i="21"/>
  <c r="B46" i="21"/>
  <c r="T45" i="3"/>
  <c r="T65" i="3"/>
  <c r="T37" i="3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H10" i="21"/>
  <c r="H11" i="21"/>
  <c r="H12" i="21"/>
  <c r="H13" i="21"/>
  <c r="H14" i="21"/>
  <c r="H15" i="21"/>
  <c r="H16" i="21"/>
  <c r="H17" i="21"/>
  <c r="H18" i="21"/>
  <c r="H1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4" i="19"/>
  <c r="S60" i="3"/>
  <c r="S58" i="3"/>
  <c r="S57" i="3"/>
  <c r="S56" i="3"/>
  <c r="S44" i="3"/>
  <c r="S43" i="3"/>
  <c r="S33" i="3"/>
  <c r="S32" i="3"/>
  <c r="S31" i="3"/>
  <c r="S30" i="3"/>
  <c r="S37" i="3"/>
  <c r="S67" i="3"/>
  <c r="S40" i="3"/>
  <c r="D4" i="20"/>
  <c r="S42" i="3"/>
  <c r="S45" i="3"/>
  <c r="S59" i="3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G10" i="20"/>
  <c r="H10" i="20"/>
  <c r="H11" i="20"/>
  <c r="H12" i="20"/>
  <c r="H13" i="20"/>
  <c r="H14" i="20"/>
  <c r="H15" i="20"/>
  <c r="H16" i="20"/>
  <c r="H17" i="20"/>
  <c r="H18" i="20"/>
  <c r="H19" i="20"/>
  <c r="F10" i="20"/>
  <c r="F11" i="20"/>
  <c r="F12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R67" i="3"/>
  <c r="R60" i="3"/>
  <c r="R57" i="3"/>
  <c r="R44" i="3"/>
  <c r="R43" i="3"/>
  <c r="R33" i="3"/>
  <c r="R32" i="3"/>
  <c r="R30" i="3"/>
  <c r="R58" i="3"/>
  <c r="R31" i="3"/>
  <c r="R45" i="3"/>
  <c r="R42" i="3"/>
  <c r="R37" i="3"/>
  <c r="R59" i="3"/>
  <c r="R65" i="3"/>
  <c r="R35" i="3"/>
  <c r="R56" i="3"/>
  <c r="D4" i="17"/>
  <c r="G10" i="19"/>
  <c r="H10" i="19"/>
  <c r="H11" i="19"/>
  <c r="H12" i="19"/>
  <c r="H13" i="19"/>
  <c r="H14" i="19"/>
  <c r="H15" i="19"/>
  <c r="H16" i="19"/>
  <c r="H17" i="19"/>
  <c r="H18" i="19"/>
  <c r="H1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Q58" i="3"/>
  <c r="Q57" i="3"/>
  <c r="Q33" i="3"/>
  <c r="Q67" i="3"/>
  <c r="Q60" i="3"/>
  <c r="Q45" i="3"/>
  <c r="Q44" i="3"/>
  <c r="Q35" i="3"/>
  <c r="Q32" i="3"/>
  <c r="Q31" i="3"/>
  <c r="Q30" i="3"/>
  <c r="Q56" i="3"/>
  <c r="Q42" i="3"/>
  <c r="Q43" i="3"/>
  <c r="Q37" i="3"/>
  <c r="Q46" i="3"/>
  <c r="Q59" i="3"/>
  <c r="G19" i="17"/>
  <c r="P60" i="3"/>
  <c r="P57" i="3"/>
  <c r="P37" i="3"/>
  <c r="P46" i="3"/>
  <c r="P58" i="3"/>
  <c r="P42" i="3"/>
  <c r="P45" i="3"/>
  <c r="P36" i="3"/>
  <c r="P33" i="3"/>
  <c r="P32" i="3"/>
  <c r="P30" i="3"/>
  <c r="P59" i="3"/>
  <c r="P56" i="3"/>
  <c r="P44" i="3"/>
  <c r="P67" i="3"/>
  <c r="P31" i="3"/>
  <c r="P35" i="3"/>
  <c r="P65" i="3"/>
  <c r="O59" i="3"/>
  <c r="O37" i="3"/>
  <c r="O33" i="3"/>
  <c r="O32" i="3"/>
  <c r="O30" i="3"/>
  <c r="O60" i="3"/>
  <c r="O57" i="3"/>
  <c r="O56" i="3"/>
  <c r="O58" i="3"/>
  <c r="O44" i="3"/>
  <c r="O43" i="3"/>
  <c r="O36" i="3"/>
  <c r="O31" i="3"/>
  <c r="O35" i="3"/>
  <c r="O67" i="3"/>
  <c r="O65" i="3"/>
  <c r="G14" i="17"/>
  <c r="G15" i="17"/>
  <c r="G12" i="17"/>
  <c r="G11" i="17"/>
  <c r="G10" i="17"/>
  <c r="H10" i="17"/>
  <c r="H11" i="17"/>
  <c r="H12" i="17"/>
  <c r="H13" i="17"/>
  <c r="H14" i="17"/>
  <c r="H15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8" i="17"/>
  <c r="G17" i="17"/>
  <c r="G16" i="17"/>
  <c r="G13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N67" i="3"/>
  <c r="N65" i="3"/>
  <c r="N60" i="3"/>
  <c r="N59" i="3"/>
  <c r="N58" i="3"/>
  <c r="N57" i="3"/>
  <c r="N56" i="3"/>
  <c r="N37" i="3"/>
  <c r="N33" i="3"/>
  <c r="N32" i="3"/>
  <c r="N31" i="3"/>
  <c r="N30" i="3"/>
  <c r="N64" i="3"/>
  <c r="N36" i="3"/>
  <c r="N35" i="3"/>
  <c r="N44" i="3"/>
  <c r="N43" i="3"/>
  <c r="N42" i="3"/>
  <c r="M59" i="3"/>
  <c r="M60" i="3"/>
  <c r="M58" i="3"/>
  <c r="M57" i="3"/>
  <c r="M56" i="3"/>
  <c r="M32" i="3"/>
  <c r="M37" i="3"/>
  <c r="M33" i="3"/>
  <c r="M30" i="3"/>
  <c r="M31" i="3"/>
  <c r="M36" i="3"/>
  <c r="M42" i="3"/>
  <c r="M43" i="3"/>
  <c r="L60" i="3"/>
  <c r="L59" i="3"/>
  <c r="L58" i="3"/>
  <c r="L57" i="3"/>
  <c r="L56" i="3"/>
  <c r="L38" i="3"/>
  <c r="L34" i="3"/>
  <c r="L33" i="3"/>
  <c r="L37" i="3"/>
  <c r="L32" i="3"/>
  <c r="L27" i="3"/>
  <c r="L31" i="3"/>
  <c r="L29" i="3"/>
  <c r="L36" i="3"/>
  <c r="L30" i="3"/>
  <c r="L35" i="3"/>
  <c r="K67" i="3"/>
  <c r="K59" i="3"/>
  <c r="K60" i="3"/>
  <c r="K58" i="3"/>
  <c r="K56" i="3"/>
  <c r="K46" i="3"/>
  <c r="K35" i="3"/>
  <c r="K34" i="3"/>
  <c r="K33" i="3"/>
  <c r="K38" i="3"/>
  <c r="K57" i="3"/>
  <c r="K37" i="3"/>
  <c r="K30" i="3"/>
  <c r="K36" i="3"/>
  <c r="K31" i="3"/>
  <c r="K65" i="3"/>
  <c r="K32" i="3"/>
  <c r="K43" i="3"/>
  <c r="J56" i="3"/>
  <c r="J57" i="3"/>
  <c r="J65" i="3"/>
  <c r="J60" i="3"/>
  <c r="J36" i="3"/>
  <c r="J32" i="3"/>
  <c r="J58" i="3"/>
  <c r="J59" i="3"/>
  <c r="J30" i="3"/>
  <c r="J35" i="3"/>
  <c r="J67" i="3"/>
  <c r="J38" i="3"/>
  <c r="J31" i="3"/>
  <c r="J34" i="3"/>
  <c r="I30" i="3"/>
  <c r="I36" i="3"/>
  <c r="I32" i="3"/>
  <c r="I38" i="3"/>
  <c r="I43" i="3"/>
  <c r="I37" i="3"/>
  <c r="I31" i="3"/>
  <c r="I58" i="3"/>
  <c r="I56" i="3"/>
  <c r="I57" i="3"/>
  <c r="I59" i="3"/>
  <c r="I60" i="3"/>
  <c r="H58" i="3"/>
  <c r="H56" i="3"/>
  <c r="H59" i="3"/>
  <c r="H60" i="3"/>
  <c r="H32" i="3"/>
  <c r="H38" i="3"/>
  <c r="H57" i="3"/>
  <c r="H37" i="3"/>
  <c r="H33" i="3"/>
  <c r="H31" i="3"/>
  <c r="H30" i="3"/>
  <c r="H36" i="3"/>
  <c r="H65" i="3"/>
  <c r="H35" i="3"/>
  <c r="H67" i="3"/>
  <c r="G56" i="3"/>
  <c r="G61" i="3"/>
  <c r="G35" i="3"/>
  <c r="G31" i="3"/>
  <c r="G58" i="3"/>
  <c r="G57" i="3"/>
  <c r="G60" i="3"/>
  <c r="G30" i="3"/>
  <c r="G67" i="3"/>
  <c r="G32" i="3"/>
  <c r="G59" i="3"/>
  <c r="G65" i="3"/>
  <c r="F60" i="3"/>
  <c r="F57" i="3"/>
  <c r="F30" i="3"/>
  <c r="F31" i="3"/>
  <c r="F56" i="3"/>
  <c r="F59" i="3"/>
  <c r="F35" i="3"/>
  <c r="F32" i="3"/>
  <c r="F65" i="3"/>
  <c r="F67" i="3"/>
  <c r="F58" i="3"/>
  <c r="F63" i="3"/>
  <c r="E60" i="3"/>
  <c r="E59" i="3"/>
  <c r="E67" i="3"/>
  <c r="E58" i="3"/>
  <c r="E57" i="3"/>
  <c r="E31" i="3"/>
  <c r="E32" i="3"/>
  <c r="E35" i="3"/>
  <c r="E37" i="3"/>
  <c r="E36" i="3"/>
  <c r="E30" i="3"/>
  <c r="E41" i="3"/>
  <c r="D35" i="3"/>
  <c r="D30" i="3"/>
  <c r="D57" i="3"/>
  <c r="D59" i="3"/>
  <c r="D60" i="3"/>
  <c r="D32" i="3"/>
  <c r="D36" i="3"/>
  <c r="D31" i="3"/>
  <c r="D67" i="3"/>
  <c r="C59" i="3"/>
  <c r="D58" i="3"/>
  <c r="D68" i="3"/>
  <c r="C60" i="3"/>
  <c r="C58" i="3"/>
  <c r="C57" i="3"/>
  <c r="C35" i="3"/>
  <c r="C36" i="3"/>
  <c r="C30" i="3"/>
  <c r="C47" i="3" s="1"/>
  <c r="C67" i="3"/>
  <c r="B67" i="3"/>
  <c r="B59" i="3"/>
  <c r="B60" i="3"/>
  <c r="B47" i="3"/>
  <c r="B56" i="3"/>
  <c r="B58" i="3"/>
  <c r="O47" i="3" l="1"/>
  <c r="N69" i="3"/>
  <c r="K47" i="3"/>
  <c r="B69" i="3"/>
  <c r="S47" i="3"/>
  <c r="H47" i="3"/>
  <c r="M69" i="3"/>
  <c r="T69" i="3"/>
  <c r="L69" i="3"/>
  <c r="T47" i="3"/>
  <c r="E47" i="3"/>
  <c r="F47" i="3"/>
  <c r="H69" i="3"/>
  <c r="O69" i="3"/>
  <c r="P47" i="3"/>
  <c r="Q69" i="3"/>
  <c r="R47" i="3"/>
  <c r="S69" i="3"/>
  <c r="N47" i="3"/>
  <c r="G47" i="3"/>
  <c r="J47" i="3"/>
  <c r="J69" i="3"/>
  <c r="M47" i="3"/>
  <c r="R69" i="3"/>
  <c r="K69" i="3"/>
  <c r="L47" i="3"/>
  <c r="D47" i="3"/>
  <c r="F69" i="3"/>
  <c r="G69" i="3"/>
  <c r="I69" i="3"/>
  <c r="I47" i="3"/>
  <c r="P69" i="3"/>
  <c r="D69" i="3"/>
  <c r="C69" i="3"/>
  <c r="E69" i="3"/>
  <c r="Q47" i="3"/>
  <c r="V69" i="3"/>
  <c r="V47" i="3"/>
  <c r="B57" i="23"/>
  <c r="U47" i="3"/>
  <c r="U69" i="3"/>
  <c r="H12" i="23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H38" i="23" s="1"/>
  <c r="H39" i="23" s="1"/>
  <c r="H40" i="23" s="1"/>
  <c r="H41" i="23" s="1"/>
  <c r="H42" i="23" s="1"/>
  <c r="H43" i="23" s="1"/>
  <c r="H44" i="23" s="1"/>
  <c r="H45" i="23" s="1"/>
  <c r="H46" i="23" s="1"/>
  <c r="H47" i="23" s="1"/>
  <c r="H48" i="23" s="1"/>
  <c r="H49" i="23" s="1"/>
  <c r="H50" i="23" s="1"/>
  <c r="H51" i="23" s="1"/>
  <c r="H52" i="23" s="1"/>
  <c r="H53" i="23" s="1"/>
  <c r="H54" i="23" s="1"/>
</calcChain>
</file>

<file path=xl/sharedStrings.xml><?xml version="1.0" encoding="utf-8"?>
<sst xmlns="http://schemas.openxmlformats.org/spreadsheetml/2006/main" count="358" uniqueCount="125">
  <si>
    <t xml:space="preserve"> </t>
  </si>
  <si>
    <t>ton</t>
  </si>
  <si>
    <t>Net</t>
  </si>
  <si>
    <t>Totaal Invoere/Total Imports</t>
  </si>
  <si>
    <t>USA</t>
  </si>
  <si>
    <t>Argentina</t>
  </si>
  <si>
    <t>Australia</t>
  </si>
  <si>
    <t>UK</t>
  </si>
  <si>
    <t>Germany</t>
  </si>
  <si>
    <t>Totaal Uitvoere/Total Exports</t>
  </si>
  <si>
    <t>Botswana</t>
  </si>
  <si>
    <t>Lesotho</t>
  </si>
  <si>
    <t>Zambia</t>
  </si>
  <si>
    <t>Zimbabwe</t>
  </si>
  <si>
    <t>Namibia</t>
  </si>
  <si>
    <t>Week einde</t>
  </si>
  <si>
    <t>2003/2004</t>
  </si>
  <si>
    <t>* 2003</t>
  </si>
  <si>
    <t>France</t>
  </si>
  <si>
    <t>2004/2005</t>
  </si>
  <si>
    <t>Week</t>
  </si>
  <si>
    <t>Canada</t>
  </si>
  <si>
    <t>2005/2006</t>
  </si>
  <si>
    <t>Ukraine</t>
  </si>
  <si>
    <t xml:space="preserve">  2004/2005</t>
  </si>
  <si>
    <t xml:space="preserve">  2005/2006</t>
  </si>
  <si>
    <t>Vanaf/From 4 Okt/Oct 2003 - 1 Okt/Oct 2004</t>
  </si>
  <si>
    <t>Vanaf/From 1 Okt/Oct 2005 - 30 Sept 2005</t>
  </si>
  <si>
    <t xml:space="preserve">Import from        </t>
  </si>
  <si>
    <t>Invoer vanaf</t>
  </si>
  <si>
    <t xml:space="preserve">  2003/2004  </t>
  </si>
  <si>
    <t>Opdateer/Updated</t>
  </si>
  <si>
    <t xml:space="preserve">Totaal/Total </t>
  </si>
  <si>
    <t xml:space="preserve">Destination </t>
  </si>
  <si>
    <t>KORING INVOERE EN UITVOERE PER LAND</t>
  </si>
  <si>
    <t>WHEAT IMPORTS AND EXPORTS PER COUNTRY</t>
  </si>
  <si>
    <t>Week ending</t>
  </si>
  <si>
    <t>Datum/Date</t>
  </si>
  <si>
    <t>In - uit/In-Out</t>
  </si>
  <si>
    <t>Progressief/Progressive</t>
  </si>
  <si>
    <t>2006/2007</t>
  </si>
  <si>
    <t>Malawi</t>
  </si>
  <si>
    <t>Mosambiek</t>
  </si>
  <si>
    <t>2007/2008</t>
  </si>
  <si>
    <t>Angola</t>
  </si>
  <si>
    <t xml:space="preserve">* 2003 -        </t>
  </si>
  <si>
    <t xml:space="preserve">Vanaf/From 1 Okt/Oct 2006 - 28 Sept 2007 </t>
  </si>
  <si>
    <t>Vanaf/From 1 Okt/Oct 2005 - 28 Sept 2006</t>
  </si>
  <si>
    <t xml:space="preserve">  2006/2007</t>
  </si>
  <si>
    <t xml:space="preserve">  2007/2008</t>
  </si>
  <si>
    <t>2008/2009</t>
  </si>
  <si>
    <t xml:space="preserve">  2008/2009</t>
  </si>
  <si>
    <t>Vanaf/From 1 Okt/Oct 2007 - 28 Sept 2008</t>
  </si>
  <si>
    <t>Guinea</t>
  </si>
  <si>
    <t>Brazil</t>
  </si>
  <si>
    <t>2009/2010</t>
  </si>
  <si>
    <t>Vanaf/From 3 Okt/Oct 2008 - 2 Okt/Oct 2009</t>
  </si>
  <si>
    <t xml:space="preserve">  2009/2010</t>
  </si>
  <si>
    <t>Vanaf/From 3 Okt/Oct 2009 -</t>
  </si>
  <si>
    <t>Lithuania</t>
  </si>
  <si>
    <t>2010/2011</t>
  </si>
  <si>
    <t>Vanaf/From 8 Okt/Oct 2010 -</t>
  </si>
  <si>
    <t>Uruguay</t>
  </si>
  <si>
    <t>2011/2012</t>
  </si>
  <si>
    <t>Vanaf/From 7 Okt/Oct 2011 -</t>
  </si>
  <si>
    <t>Russia</t>
  </si>
  <si>
    <t>Romania</t>
  </si>
  <si>
    <t>Vanaf/From 9 Aug - 3 Okt/Oct 2003</t>
  </si>
  <si>
    <t>2012/2013</t>
  </si>
  <si>
    <t>Vanaf/From 5 Okt/Oct 2012 -</t>
  </si>
  <si>
    <t>2013/14</t>
  </si>
  <si>
    <t>2013/2014</t>
  </si>
  <si>
    <t>Vanaf/From 28 Sep/Sep 2013 -              29-Nov-13</t>
  </si>
  <si>
    <t>Finland</t>
  </si>
  <si>
    <t>Latvia</t>
  </si>
  <si>
    <t>2014/2015</t>
  </si>
  <si>
    <t>Poland</t>
  </si>
  <si>
    <t>Mauritius</t>
  </si>
  <si>
    <t xml:space="preserve">Bestemming Opdateer/Updated tot </t>
  </si>
  <si>
    <t>2015/2016</t>
  </si>
  <si>
    <t>Vanaf/From 27 Sep/Sep 2015 -              03-10-14</t>
  </si>
  <si>
    <t>2016/2017</t>
  </si>
  <si>
    <t>Opgedateer tot / Updated till:</t>
  </si>
  <si>
    <t>Czech Republic</t>
  </si>
  <si>
    <t>2017/2018</t>
  </si>
  <si>
    <t>Uitvoere/ Exports</t>
  </si>
  <si>
    <t>Invoere/Imports</t>
  </si>
  <si>
    <t>2018/2019</t>
  </si>
  <si>
    <t>SAGIS: WEEKLIKSE INVOERE EN UITVOERE - KORING 2018/19</t>
  </si>
  <si>
    <t>SAGIS: WEEKLY IMPORTS AND EXPORTS - WHEAT 2018/19</t>
  </si>
  <si>
    <t>Vanaf/From 26 Sep/Sep 2016 -              02-10-15</t>
  </si>
  <si>
    <t>2019/2020</t>
  </si>
  <si>
    <t>Eswatini</t>
  </si>
  <si>
    <t>SAGIS: WEEKLIKSE INVOERE EN UITVOERE - KORING 2019/20</t>
  </si>
  <si>
    <t>SAGIS: WEEKLY IMPORTS AND EXPORTS - WHEAT 2019/20</t>
  </si>
  <si>
    <t>2020/2021</t>
  </si>
  <si>
    <t>SAGIS: WEEKLIKSE INVOERE EN UITVOERE - KORING 2020/21</t>
  </si>
  <si>
    <t>SAGIS: WEEKLY IMPORTS AND EXPORTS - WHEAT 2020/21</t>
  </si>
  <si>
    <t>SAGIS: WEEKLIKSE INVOERE EN UITVOERE - KORING 2021/22</t>
  </si>
  <si>
    <t>SAGIS: WEEKLY IMPORTS AND EXPORTS - WHEAT 2021/22</t>
  </si>
  <si>
    <t>2021/2022</t>
  </si>
  <si>
    <t>Vanaf/From 07 Okt/Oct 2022 -</t>
  </si>
  <si>
    <t>2022/2023</t>
  </si>
  <si>
    <t>2023/2024</t>
  </si>
  <si>
    <t>Vanaf/From 06 Okt/Oct 2023 -</t>
  </si>
  <si>
    <t>SAGIS: WEEKLIKSE INVOERE EN UITVOERE - KORING 2023/24</t>
  </si>
  <si>
    <t>SAGIS: WEEKLY IMPORTS AND EXPORTS - WHEAT 2023/24</t>
  </si>
  <si>
    <t>Estonia</t>
  </si>
  <si>
    <t>Congo</t>
  </si>
  <si>
    <t xml:space="preserve">* Includes: Imports for RSA and other Countries </t>
  </si>
  <si>
    <t xml:space="preserve">* Sluit in: Invoere vir RSA en ander lande </t>
  </si>
  <si>
    <t>SAGIS: WEEKLY IMPORTS AND EXPORTS - WHEAT 2024/25</t>
  </si>
  <si>
    <t>SAGIS: WEEKLIKSE INVOERE EN UITVOERE - KORING 2024/25</t>
  </si>
  <si>
    <t>2024/2025</t>
  </si>
  <si>
    <t>Cape Town</t>
  </si>
  <si>
    <t>Durban</t>
  </si>
  <si>
    <t>*Week Total/Totaal</t>
  </si>
  <si>
    <t>*Progressive Total/Totaal</t>
  </si>
  <si>
    <t>*Total</t>
  </si>
  <si>
    <t>Vanaf/From 27 Sep 2024/Oct 2025</t>
  </si>
  <si>
    <t>2025/2026</t>
  </si>
  <si>
    <t>WHEAT: WEEKLY IMPORT PER HARBOUR - 2025/26 SEASON</t>
  </si>
  <si>
    <t>KORING: WEEKLIKSE INVOER PER HAWE - 2025/26 SEISOEN</t>
  </si>
  <si>
    <t>27 Sep - 03 Oct/Okt 2025</t>
  </si>
  <si>
    <t>04 Oct/Okt - 10 Oct/Okt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</si>
</sst>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* #,##0.00_ ;_ * \-#,##0.00_ ;_ * &quot;-&quot;??_ ;_ @_ "/>
    <numFmt numFmtId="165" formatCode="_ * #,##0_ ;_ * \-#,##0_ ;_ * &quot;-&quot;??_ ;_ @_ "/>
    <numFmt numFmtId="166" formatCode="dd/mm/yyyy;@"/>
    <numFmt numFmtId="167" formatCode="[$-436]dd\ mmmm\ yyyy;@"/>
    <numFmt numFmtId="168" formatCode="yyyy\-mm\-dd;@"/>
    <numFmt numFmtId="169" formatCode="&quot;R&quot;#,##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1"/>
      <name val="Aptos"/>
      <family val="2"/>
    </font>
    <font>
      <b/>
      <sz val="12"/>
      <color rgb="FF000000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2" borderId="40" applyNumberFormat="0" applyAlignment="0" applyProtection="0"/>
    <xf numFmtId="0" fontId="8" fillId="0" borderId="0"/>
    <xf numFmtId="0" fontId="9" fillId="0" borderId="0"/>
  </cellStyleXfs>
  <cellXfs count="130">
    <xf numFmtId="0" fontId="0" fillId="0" borderId="0" xfId="0"/>
    <xf numFmtId="165" fontId="0" fillId="0" borderId="1" xfId="1" applyNumberFormat="1" applyFont="1" applyBorder="1"/>
    <xf numFmtId="165" fontId="3" fillId="0" borderId="1" xfId="1" applyNumberFormat="1" applyFont="1" applyBorder="1"/>
    <xf numFmtId="165" fontId="3" fillId="0" borderId="0" xfId="1" applyNumberFormat="1" applyFont="1" applyBorder="1"/>
    <xf numFmtId="0" fontId="2" fillId="0" borderId="0" xfId="0" applyFont="1"/>
    <xf numFmtId="165" fontId="0" fillId="0" borderId="0" xfId="1" applyNumberFormat="1" applyFont="1" applyBorder="1"/>
    <xf numFmtId="165" fontId="3" fillId="0" borderId="2" xfId="1" applyNumberFormat="1" applyFont="1" applyBorder="1"/>
    <xf numFmtId="49" fontId="0" fillId="0" borderId="0" xfId="0" applyNumberForma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0" fillId="0" borderId="1" xfId="1" applyNumberFormat="1" applyFont="1" applyFill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2" fillId="0" borderId="4" xfId="0" applyFont="1" applyBorder="1"/>
    <xf numFmtId="165" fontId="0" fillId="0" borderId="5" xfId="1" applyNumberFormat="1" applyFont="1" applyFill="1" applyBorder="1"/>
    <xf numFmtId="165" fontId="0" fillId="0" borderId="6" xfId="0" applyNumberFormat="1" applyBorder="1"/>
    <xf numFmtId="165" fontId="0" fillId="0" borderId="6" xfId="1" applyNumberFormat="1" applyFont="1" applyFill="1" applyBorder="1"/>
    <xf numFmtId="165" fontId="0" fillId="0" borderId="0" xfId="1" applyNumberFormat="1" applyFont="1" applyFill="1"/>
    <xf numFmtId="165" fontId="2" fillId="0" borderId="0" xfId="1" applyNumberFormat="1" applyFont="1" applyFill="1"/>
    <xf numFmtId="165" fontId="0" fillId="0" borderId="0" xfId="0" applyNumberFormat="1"/>
    <xf numFmtId="165" fontId="0" fillId="0" borderId="0" xfId="1" applyNumberFormat="1" applyFont="1" applyFill="1" applyBorder="1"/>
    <xf numFmtId="165" fontId="2" fillId="0" borderId="0" xfId="1" applyNumberFormat="1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165" fontId="0" fillId="0" borderId="12" xfId="1" applyNumberFormat="1" applyFont="1" applyFill="1" applyBorder="1"/>
    <xf numFmtId="165" fontId="0" fillId="0" borderId="13" xfId="1" applyNumberFormat="1" applyFont="1" applyFill="1" applyBorder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4" xfId="1" applyNumberFormat="1" applyFont="1" applyFill="1" applyBorder="1"/>
    <xf numFmtId="165" fontId="0" fillId="0" borderId="15" xfId="1" applyNumberFormat="1" applyFont="1" applyFill="1" applyBorder="1"/>
    <xf numFmtId="165" fontId="0" fillId="0" borderId="16" xfId="1" applyNumberFormat="1" applyFont="1" applyFill="1" applyBorder="1"/>
    <xf numFmtId="0" fontId="2" fillId="0" borderId="17" xfId="0" applyFont="1" applyBorder="1"/>
    <xf numFmtId="0" fontId="0" fillId="0" borderId="18" xfId="0" applyBorder="1"/>
    <xf numFmtId="165" fontId="0" fillId="0" borderId="19" xfId="1" applyNumberFormat="1" applyFont="1" applyFill="1" applyBorder="1"/>
    <xf numFmtId="165" fontId="0" fillId="0" borderId="18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2" fillId="0" borderId="22" xfId="1" applyNumberFormat="1" applyFont="1" applyFill="1" applyBorder="1"/>
    <xf numFmtId="165" fontId="2" fillId="0" borderId="4" xfId="1" applyNumberFormat="1" applyFont="1" applyFill="1" applyBorder="1"/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5" fontId="2" fillId="0" borderId="25" xfId="1" applyNumberFormat="1" applyFont="1" applyFill="1" applyBorder="1"/>
    <xf numFmtId="165" fontId="2" fillId="0" borderId="26" xfId="1" applyNumberFormat="1" applyFont="1" applyFill="1" applyBorder="1"/>
    <xf numFmtId="165" fontId="2" fillId="0" borderId="27" xfId="1" applyNumberFormat="1" applyFont="1" applyFill="1" applyBorder="1"/>
    <xf numFmtId="165" fontId="0" fillId="0" borderId="11" xfId="1" applyNumberFormat="1" applyFont="1" applyFill="1" applyBorder="1" applyAlignment="1">
      <alignment horizontal="right"/>
    </xf>
    <xf numFmtId="165" fontId="0" fillId="0" borderId="11" xfId="0" applyNumberFormat="1" applyBorder="1"/>
    <xf numFmtId="165" fontId="0" fillId="0" borderId="13" xfId="0" applyNumberFormat="1" applyBorder="1"/>
    <xf numFmtId="165" fontId="0" fillId="0" borderId="15" xfId="0" applyNumberFormat="1" applyBorder="1"/>
    <xf numFmtId="0" fontId="4" fillId="0" borderId="2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3" fillId="0" borderId="28" xfId="1" applyNumberFormat="1" applyFont="1" applyBorder="1"/>
    <xf numFmtId="165" fontId="0" fillId="0" borderId="28" xfId="1" applyNumberFormat="1" applyFont="1" applyBorder="1"/>
    <xf numFmtId="0" fontId="5" fillId="0" borderId="0" xfId="0" applyFont="1" applyAlignment="1">
      <alignment horizontal="left"/>
    </xf>
    <xf numFmtId="165" fontId="2" fillId="0" borderId="29" xfId="1" applyNumberFormat="1" applyFont="1" applyFill="1" applyBorder="1"/>
    <xf numFmtId="15" fontId="5" fillId="0" borderId="0" xfId="0" applyNumberFormat="1" applyFont="1" applyAlignment="1">
      <alignment horizontal="left"/>
    </xf>
    <xf numFmtId="1" fontId="0" fillId="0" borderId="11" xfId="0" applyNumberForma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/>
    <xf numFmtId="165" fontId="0" fillId="0" borderId="16" xfId="1" applyNumberFormat="1" applyFont="1" applyFill="1" applyBorder="1" applyAlignment="1">
      <alignment horizontal="right"/>
    </xf>
    <xf numFmtId="0" fontId="2" fillId="0" borderId="11" xfId="0" applyFont="1" applyBorder="1"/>
    <xf numFmtId="165" fontId="5" fillId="0" borderId="13" xfId="0" applyNumberFormat="1" applyFont="1" applyBorder="1"/>
    <xf numFmtId="165" fontId="5" fillId="0" borderId="11" xfId="0" applyNumberFormat="1" applyFont="1" applyBorder="1"/>
    <xf numFmtId="165" fontId="5" fillId="0" borderId="15" xfId="0" applyNumberFormat="1" applyFont="1" applyBorder="1"/>
    <xf numFmtId="165" fontId="5" fillId="0" borderId="6" xfId="0" applyNumberFormat="1" applyFont="1" applyBorder="1"/>
    <xf numFmtId="165" fontId="0" fillId="0" borderId="30" xfId="1" applyNumberFormat="1" applyFont="1" applyFill="1" applyBorder="1"/>
    <xf numFmtId="165" fontId="0" fillId="0" borderId="31" xfId="1" applyNumberFormat="1" applyFont="1" applyFill="1" applyBorder="1"/>
    <xf numFmtId="165" fontId="0" fillId="0" borderId="32" xfId="1" applyNumberFormat="1" applyFont="1" applyFill="1" applyBorder="1"/>
    <xf numFmtId="0" fontId="2" fillId="0" borderId="2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0" fillId="0" borderId="33" xfId="0" applyBorder="1"/>
    <xf numFmtId="165" fontId="0" fillId="0" borderId="8" xfId="1" applyNumberFormat="1" applyFont="1" applyFill="1" applyBorder="1"/>
    <xf numFmtId="165" fontId="0" fillId="0" borderId="9" xfId="1" applyNumberFormat="1" applyFont="1" applyFill="1" applyBorder="1"/>
    <xf numFmtId="165" fontId="0" fillId="0" borderId="17" xfId="1" applyNumberFormat="1" applyFont="1" applyFill="1" applyBorder="1"/>
    <xf numFmtId="165" fontId="0" fillId="0" borderId="36" xfId="1" applyNumberFormat="1" applyFont="1" applyFill="1" applyBorder="1"/>
    <xf numFmtId="164" fontId="0" fillId="0" borderId="0" xfId="1" applyFont="1" applyBorder="1"/>
    <xf numFmtId="165" fontId="3" fillId="0" borderId="37" xfId="1" applyNumberFormat="1" applyFont="1" applyBorder="1"/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38" xfId="0" applyFont="1" applyBorder="1"/>
    <xf numFmtId="0" fontId="2" fillId="0" borderId="29" xfId="0" applyFont="1" applyBorder="1"/>
    <xf numFmtId="0" fontId="2" fillId="0" borderId="3" xfId="0" applyFont="1" applyBorder="1"/>
    <xf numFmtId="0" fontId="0" fillId="0" borderId="34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167" fontId="5" fillId="0" borderId="0" xfId="0" applyNumberFormat="1" applyFont="1"/>
    <xf numFmtId="15" fontId="11" fillId="0" borderId="3" xfId="2" applyNumberFormat="1" applyFont="1" applyFill="1" applyBorder="1" applyAlignment="1">
      <alignment horizontal="center"/>
    </xf>
    <xf numFmtId="15" fontId="11" fillId="0" borderId="1" xfId="2" applyNumberFormat="1" applyFont="1" applyFill="1" applyBorder="1" applyAlignment="1">
      <alignment horizontal="center"/>
    </xf>
    <xf numFmtId="168" fontId="5" fillId="0" borderId="0" xfId="0" applyNumberFormat="1" applyFont="1" applyAlignment="1">
      <alignment horizontal="left"/>
    </xf>
    <xf numFmtId="15" fontId="11" fillId="0" borderId="28" xfId="2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4" xfId="0" applyBorder="1" applyAlignment="1">
      <alignment horizontal="left"/>
    </xf>
    <xf numFmtId="169" fontId="0" fillId="0" borderId="0" xfId="0" applyNumberFormat="1"/>
    <xf numFmtId="165" fontId="3" fillId="0" borderId="33" xfId="1" applyNumberFormat="1" applyFont="1" applyBorder="1"/>
    <xf numFmtId="0" fontId="1" fillId="0" borderId="0" xfId="0" applyFont="1"/>
    <xf numFmtId="0" fontId="0" fillId="0" borderId="16" xfId="0" applyBorder="1"/>
    <xf numFmtId="0" fontId="12" fillId="0" borderId="0" xfId="0" applyFont="1"/>
    <xf numFmtId="0" fontId="14" fillId="0" borderId="41" xfId="0" applyFont="1" applyBorder="1" applyAlignment="1">
      <alignment horizontal="center"/>
    </xf>
    <xf numFmtId="3" fontId="15" fillId="0" borderId="41" xfId="0" applyNumberFormat="1" applyFont="1" applyBorder="1" applyAlignment="1">
      <alignment horizontal="right"/>
    </xf>
    <xf numFmtId="3" fontId="14" fillId="0" borderId="41" xfId="0" applyNumberFormat="1" applyFont="1" applyBorder="1" applyAlignment="1">
      <alignment horizontal="right"/>
    </xf>
    <xf numFmtId="165" fontId="3" fillId="0" borderId="37" xfId="1" applyNumberFormat="1" applyFont="1" applyFill="1" applyBorder="1"/>
    <xf numFmtId="165" fontId="3" fillId="0" borderId="0" xfId="1" applyNumberFormat="1" applyFont="1" applyFill="1" applyBorder="1"/>
    <xf numFmtId="165" fontId="3" fillId="0" borderId="2" xfId="1" applyNumberFormat="1" applyFont="1" applyFill="1" applyBorder="1"/>
    <xf numFmtId="165" fontId="3" fillId="0" borderId="1" xfId="1" applyNumberFormat="1" applyFont="1" applyFill="1" applyBorder="1"/>
    <xf numFmtId="0" fontId="14" fillId="0" borderId="41" xfId="0" applyFont="1" applyBorder="1" applyAlignment="1">
      <alignment horizontal="right"/>
    </xf>
    <xf numFmtId="0" fontId="15" fillId="0" borderId="4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8" fontId="2" fillId="0" borderId="22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6" fontId="2" fillId="0" borderId="29" xfId="0" applyNumberFormat="1" applyFont="1" applyBorder="1" applyAlignment="1">
      <alignment horizontal="center"/>
    </xf>
    <xf numFmtId="166" fontId="2" fillId="0" borderId="39" xfId="0" applyNumberFormat="1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4" fillId="0" borderId="42" xfId="0" applyFont="1" applyBorder="1" applyAlignment="1">
      <alignment horizontal="left"/>
    </xf>
    <xf numFmtId="0" fontId="14" fillId="0" borderId="43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1" defaultTableStyle="TableStyleMedium9" defaultPivotStyle="PivotStyleLight16">
    <tableStyle name="Invisible" pivot="0" table="0" count="0" xr9:uid="{F44A14F3-935A-4DF4-BC9C-09C0434657B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8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1.xml"/><Relationship Id="rId15" Type="http://schemas.openxmlformats.org/officeDocument/2006/relationships/worksheet" Target="worksheets/sheet1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6.xml"/><Relationship Id="rId19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South African Wheat Imports /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Suid-Afrikaanse Koring Invoere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840839978925704E-2"/>
          <c:y val="0.16437312284318492"/>
          <c:w val="0.84311618355633133"/>
          <c:h val="0.72161167537351301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'Land-Country data'!$M$26</c:f>
              <c:strCache>
                <c:ptCount val="1"/>
                <c:pt idx="0">
                  <c:v>2013/2014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data'!$M$27:$M$46</c:f>
            </c:numRef>
          </c:val>
          <c:extLst>
            <c:ext xmlns:c16="http://schemas.microsoft.com/office/drawing/2014/chart" uri="{C3380CC4-5D6E-409C-BE32-E72D297353CC}">
              <c16:uniqueId val="{00000000-C33B-4C8F-BB9C-A6234299080C}"/>
            </c:ext>
          </c:extLst>
        </c:ser>
        <c:ser>
          <c:idx val="11"/>
          <c:order val="1"/>
          <c:tx>
            <c:strRef>
              <c:f>'Land-Country data'!$N$26</c:f>
              <c:strCache>
                <c:ptCount val="1"/>
                <c:pt idx="0">
                  <c:v>2014/2015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data'!$N$27:$N$46</c:f>
            </c:numRef>
          </c:val>
          <c:extLst>
            <c:ext xmlns:c16="http://schemas.microsoft.com/office/drawing/2014/chart" uri="{C3380CC4-5D6E-409C-BE32-E72D297353CC}">
              <c16:uniqueId val="{00000001-C33B-4C8F-BB9C-A6234299080C}"/>
            </c:ext>
          </c:extLst>
        </c:ser>
        <c:ser>
          <c:idx val="0"/>
          <c:order val="2"/>
          <c:tx>
            <c:strRef>
              <c:f>'Land-Country data'!$O$26</c:f>
              <c:strCache>
                <c:ptCount val="1"/>
                <c:pt idx="0">
                  <c:v>2015/2016</c:v>
                </c:pt>
              </c:strCache>
            </c:strRef>
          </c:tx>
          <c:invertIfNegative val="0"/>
          <c:val>
            <c:numRef>
              <c:f>'Land-Country data'!$O$27:$O$46</c:f>
            </c:numRef>
          </c:val>
          <c:extLst>
            <c:ext xmlns:c16="http://schemas.microsoft.com/office/drawing/2014/chart" uri="{C3380CC4-5D6E-409C-BE32-E72D297353CC}">
              <c16:uniqueId val="{00000006-6993-499F-9A58-4A9597120973}"/>
            </c:ext>
          </c:extLst>
        </c:ser>
        <c:ser>
          <c:idx val="1"/>
          <c:order val="3"/>
          <c:tx>
            <c:strRef>
              <c:f>'Land-Country data'!$P$26</c:f>
              <c:strCache>
                <c:ptCount val="1"/>
                <c:pt idx="0">
                  <c:v>2016/2017</c:v>
                </c:pt>
              </c:strCache>
            </c:strRef>
          </c:tx>
          <c:invertIfNegative val="0"/>
          <c:val>
            <c:numRef>
              <c:f>'Land-Country data'!$P$27:$P$46</c:f>
            </c:numRef>
          </c:val>
          <c:extLst>
            <c:ext xmlns:c16="http://schemas.microsoft.com/office/drawing/2014/chart" uri="{C3380CC4-5D6E-409C-BE32-E72D297353CC}">
              <c16:uniqueId val="{00000007-6993-499F-9A58-4A9597120973}"/>
            </c:ext>
          </c:extLst>
        </c:ser>
        <c:ser>
          <c:idx val="2"/>
          <c:order val="4"/>
          <c:tx>
            <c:strRef>
              <c:f>'Land-Country data'!$Q$26</c:f>
              <c:strCache>
                <c:ptCount val="1"/>
                <c:pt idx="0">
                  <c:v>2017/2018</c:v>
                </c:pt>
              </c:strCache>
            </c:strRef>
          </c:tx>
          <c:invertIfNegative val="0"/>
          <c:val>
            <c:numRef>
              <c:f>'Land-Country data'!$Q$27:$Q$46</c:f>
            </c:numRef>
          </c:val>
          <c:extLst>
            <c:ext xmlns:c16="http://schemas.microsoft.com/office/drawing/2014/chart" uri="{C3380CC4-5D6E-409C-BE32-E72D297353CC}">
              <c16:uniqueId val="{00000008-6993-499F-9A58-4A9597120973}"/>
            </c:ext>
          </c:extLst>
        </c:ser>
        <c:ser>
          <c:idx val="3"/>
          <c:order val="5"/>
          <c:tx>
            <c:strRef>
              <c:f>'Land-Country data'!$R$26</c:f>
              <c:strCache>
                <c:ptCount val="1"/>
                <c:pt idx="0">
                  <c:v>2018/2019</c:v>
                </c:pt>
              </c:strCache>
            </c:strRef>
          </c:tx>
          <c:invertIfNegative val="0"/>
          <c:val>
            <c:numRef>
              <c:f>'Land-Country data'!$R$27:$R$46</c:f>
            </c:numRef>
          </c:val>
          <c:extLst>
            <c:ext xmlns:c16="http://schemas.microsoft.com/office/drawing/2014/chart" uri="{C3380CC4-5D6E-409C-BE32-E72D297353CC}">
              <c16:uniqueId val="{00000009-6993-499F-9A58-4A9597120973}"/>
            </c:ext>
          </c:extLst>
        </c:ser>
        <c:ser>
          <c:idx val="4"/>
          <c:order val="6"/>
          <c:tx>
            <c:strRef>
              <c:f>'Land-Country data'!$S$26</c:f>
              <c:strCache>
                <c:ptCount val="1"/>
                <c:pt idx="0">
                  <c:v>2019/2020</c:v>
                </c:pt>
              </c:strCache>
            </c:strRef>
          </c:tx>
          <c:invertIfNegative val="0"/>
          <c:val>
            <c:numRef>
              <c:f>'Land-Country data'!$S$27:$S$46</c:f>
            </c:numRef>
          </c:val>
          <c:extLst>
            <c:ext xmlns:c16="http://schemas.microsoft.com/office/drawing/2014/chart" uri="{C3380CC4-5D6E-409C-BE32-E72D297353CC}">
              <c16:uniqueId val="{0000000A-6993-499F-9A58-4A9597120973}"/>
            </c:ext>
          </c:extLst>
        </c:ser>
        <c:ser>
          <c:idx val="5"/>
          <c:order val="7"/>
          <c:tx>
            <c:strRef>
              <c:f>'Land-Country data'!$T$26</c:f>
              <c:strCache>
                <c:ptCount val="1"/>
                <c:pt idx="0">
                  <c:v>2020/2021</c:v>
                </c:pt>
              </c:strCache>
            </c:strRef>
          </c:tx>
          <c:invertIfNegative val="0"/>
          <c:val>
            <c:numRef>
              <c:f>'Land-Country data'!$T$27:$T$46</c:f>
            </c:numRef>
          </c:val>
          <c:extLst>
            <c:ext xmlns:c16="http://schemas.microsoft.com/office/drawing/2014/chart" uri="{C3380CC4-5D6E-409C-BE32-E72D297353CC}">
              <c16:uniqueId val="{0000000B-6993-499F-9A58-4A9597120973}"/>
            </c:ext>
          </c:extLst>
        </c:ser>
        <c:ser>
          <c:idx val="6"/>
          <c:order val="8"/>
          <c:tx>
            <c:strRef>
              <c:f>'Land-Country data'!$U$26</c:f>
              <c:strCache>
                <c:ptCount val="1"/>
                <c:pt idx="0">
                  <c:v>2021/2022</c:v>
                </c:pt>
              </c:strCache>
            </c:strRef>
          </c:tx>
          <c:invertIfNegative val="0"/>
          <c:val>
            <c:numRef>
              <c:f>'Land-Country data'!$U$27:$U$46</c:f>
            </c:numRef>
          </c:val>
          <c:extLst>
            <c:ext xmlns:c16="http://schemas.microsoft.com/office/drawing/2014/chart" uri="{C3380CC4-5D6E-409C-BE32-E72D297353CC}">
              <c16:uniqueId val="{0000000C-6993-499F-9A58-4A9597120973}"/>
            </c:ext>
          </c:extLst>
        </c:ser>
        <c:ser>
          <c:idx val="8"/>
          <c:order val="9"/>
          <c:tx>
            <c:strRef>
              <c:f>'Land-Country data'!$V$26</c:f>
              <c:strCache>
                <c:ptCount val="1"/>
                <c:pt idx="0">
                  <c:v>2022/2023</c:v>
                </c:pt>
              </c:strCache>
            </c:strRef>
          </c:tx>
          <c:invertIfNegative val="0"/>
          <c:val>
            <c:numRef>
              <c:f>'Land-Country data'!$V$27:$V$46</c:f>
              <c:numCache>
                <c:formatCode>_ * #\ ##0_ ;_ * \-#\ ##0_ ;_ * "-"??_ ;_ @_ </c:formatCode>
                <c:ptCount val="20"/>
                <c:pt idx="3">
                  <c:v>18547</c:v>
                </c:pt>
                <c:pt idx="5">
                  <c:v>117449</c:v>
                </c:pt>
                <c:pt idx="6">
                  <c:v>264681</c:v>
                </c:pt>
                <c:pt idx="8">
                  <c:v>33719</c:v>
                </c:pt>
                <c:pt idx="9">
                  <c:v>262098</c:v>
                </c:pt>
                <c:pt idx="11">
                  <c:v>135833</c:v>
                </c:pt>
                <c:pt idx="15">
                  <c:v>76832</c:v>
                </c:pt>
                <c:pt idx="16">
                  <c:v>232901</c:v>
                </c:pt>
                <c:pt idx="17">
                  <c:v>516446</c:v>
                </c:pt>
                <c:pt idx="18">
                  <c:v>26056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93-499F-9A58-4A9597120973}"/>
            </c:ext>
          </c:extLst>
        </c:ser>
        <c:ser>
          <c:idx val="9"/>
          <c:order val="10"/>
          <c:tx>
            <c:strRef>
              <c:f>'Land-Country data'!$W$26</c:f>
              <c:strCache>
                <c:ptCount val="1"/>
                <c:pt idx="0">
                  <c:v>2023/2024</c:v>
                </c:pt>
              </c:strCache>
            </c:strRef>
          </c:tx>
          <c:invertIfNegative val="0"/>
          <c:val>
            <c:numRef>
              <c:f>'Land-Country data'!$W$27:$W$46</c:f>
              <c:numCache>
                <c:formatCode>_ * #\ ##0_ ;_ * \-#\ ##0_ ;_ * "-"??_ ;_ @_ </c:formatCode>
                <c:ptCount val="20"/>
                <c:pt idx="1">
                  <c:v>32441</c:v>
                </c:pt>
                <c:pt idx="3">
                  <c:v>24057</c:v>
                </c:pt>
                <c:pt idx="4">
                  <c:v>4300</c:v>
                </c:pt>
                <c:pt idx="6">
                  <c:v>542734</c:v>
                </c:pt>
                <c:pt idx="8">
                  <c:v>3899</c:v>
                </c:pt>
                <c:pt idx="9">
                  <c:v>392936</c:v>
                </c:pt>
                <c:pt idx="15">
                  <c:v>137608</c:v>
                </c:pt>
                <c:pt idx="16">
                  <c:v>384475</c:v>
                </c:pt>
                <c:pt idx="17">
                  <c:v>374147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B-4B02-8F70-162053863DBE}"/>
            </c:ext>
          </c:extLst>
        </c:ser>
        <c:ser>
          <c:idx val="10"/>
          <c:order val="11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invertIfNegative val="0"/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18011</c:v>
                </c:pt>
                <c:pt idx="9">
                  <c:v>10632</c:v>
                </c:pt>
                <c:pt idx="16">
                  <c:v>8800</c:v>
                </c:pt>
                <c:pt idx="17">
                  <c:v>55262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4-40D4-B838-A8440ACB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61393423"/>
        <c:axId val="1"/>
      </c:barChart>
      <c:catAx>
        <c:axId val="4613934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61393423"/>
        <c:crosses val="autoZero"/>
        <c:crossBetween val="between"/>
        <c:majorUnit val="50000"/>
      </c:valAx>
      <c:spPr>
        <a:solidFill>
          <a:schemeClr val="bg1"/>
        </a:solidFill>
        <a:ln w="25400">
          <a:solidFill>
            <a:schemeClr val="tx1"/>
          </a:solidFill>
        </a:ln>
      </c:spPr>
    </c:plotArea>
    <c:legend>
      <c:legendPos val="r"/>
      <c:overlay val="0"/>
      <c:txPr>
        <a:bodyPr/>
        <a:lstStyle/>
        <a:p>
          <a:pPr>
            <a:defRPr sz="7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Koringinvoere/Wheat imports - 2025/2026 (ton) </a:t>
            </a:r>
          </a:p>
        </c:rich>
      </c:tx>
      <c:layout>
        <c:manualLayout>
          <c:xMode val="edge"/>
          <c:yMode val="edge"/>
          <c:x val="0.21499666910568219"/>
          <c:y val="2.0924657145129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65225870681629"/>
          <c:y val="0.15749781277340336"/>
          <c:w val="0.48779670616812498"/>
          <c:h val="0.76133548410615337"/>
        </c:manualLayout>
      </c:layout>
      <c:pieChart>
        <c:varyColors val="1"/>
        <c:ser>
          <c:idx val="0"/>
          <c:order val="0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C5-49BE-A3ED-AF1DC41511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C5-49BE-A3ED-AF1DC41511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C5-49BE-A3ED-AF1DC41511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C5-49BE-A3ED-AF1DC41511A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AC5-49BE-A3ED-AF1DC41511A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AC5-49BE-A3ED-AF1DC41511A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AC5-49BE-A3ED-AF1DC41511A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AC5-49BE-A3ED-AF1DC41511A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AC5-49BE-A3ED-AF1DC41511A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AC5-49BE-A3ED-AF1DC41511A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9AC5-49BE-A3ED-AF1DC41511A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9AC5-49BE-A3ED-AF1DC41511A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AC5-49BE-A3ED-AF1DC41511A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AC5-49BE-A3ED-AF1DC41511A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AC5-49BE-A3ED-AF1DC41511A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AC5-49BE-A3ED-AF1DC41511A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AC5-49BE-A3ED-AF1DC41511A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AC5-49BE-A3ED-AF1DC41511A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AC5-49BE-A3ED-AF1DC41511A3}"/>
              </c:ext>
            </c:extLst>
          </c:dPt>
          <c:dLbls>
            <c:dLbl>
              <c:idx val="0"/>
              <c:layout>
                <c:manualLayout>
                  <c:x val="-0.10651197393429269"/>
                  <c:y val="9.1250625984214771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5-49BE-A3ED-AF1DC41511A3}"/>
                </c:ext>
              </c:extLst>
            </c:dLbl>
            <c:dLbl>
              <c:idx val="1"/>
              <c:layout>
                <c:manualLayout>
                  <c:x val="-0.11201020906869399"/>
                  <c:y val="-3.177530638684852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5-49BE-A3ED-AF1DC41511A3}"/>
                </c:ext>
              </c:extLst>
            </c:dLbl>
            <c:dLbl>
              <c:idx val="2"/>
              <c:layout>
                <c:manualLayout>
                  <c:x val="8.9906992953681625E-2"/>
                  <c:y val="-1.805738385265944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C5-49BE-A3ED-AF1DC41511A3}"/>
                </c:ext>
              </c:extLst>
            </c:dLbl>
            <c:dLbl>
              <c:idx val="3"/>
              <c:layout>
                <c:manualLayout>
                  <c:x val="-4.6511989115932253E-2"/>
                  <c:y val="8.036052785068528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C5-49BE-A3ED-AF1DC41511A3}"/>
                </c:ext>
              </c:extLst>
            </c:dLbl>
            <c:dLbl>
              <c:idx val="4"/>
              <c:layout>
                <c:manualLayout>
                  <c:x val="0.10154416403058826"/>
                  <c:y val="5.0723097112860861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19239828031205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AC5-49BE-A3ED-AF1DC41511A3}"/>
                </c:ext>
              </c:extLst>
            </c:dLbl>
            <c:dLbl>
              <c:idx val="5"/>
              <c:layout>
                <c:manualLayout>
                  <c:x val="3.499146032774824E-2"/>
                  <c:y val="1.890492855059784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C5-49BE-A3ED-AF1DC41511A3}"/>
                </c:ext>
              </c:extLst>
            </c:dLbl>
            <c:dLbl>
              <c:idx val="6"/>
              <c:layout>
                <c:manualLayout>
                  <c:x val="6.320786901972035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29364654660882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AC5-49BE-A3ED-AF1DC41511A3}"/>
                </c:ext>
              </c:extLst>
            </c:dLbl>
            <c:dLbl>
              <c:idx val="7"/>
              <c:layout>
                <c:manualLayout>
                  <c:x val="0.12878000251100399"/>
                  <c:y val="2.507122202944970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5-49BE-A3ED-AF1DC41511A3}"/>
                </c:ext>
              </c:extLst>
            </c:dLbl>
            <c:dLbl>
              <c:idx val="8"/>
              <c:layout>
                <c:manualLayout>
                  <c:x val="-2.1829913085113527E-2"/>
                  <c:y val="2.00328083989501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5-49BE-A3ED-AF1DC41511A3}"/>
                </c:ext>
              </c:extLst>
            </c:dLbl>
            <c:dLbl>
              <c:idx val="9"/>
              <c:layout>
                <c:manualLayout>
                  <c:x val="-3.5419130699948814E-2"/>
                  <c:y val="2.2770487022455526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C5-49BE-A3ED-AF1DC41511A3}"/>
                </c:ext>
              </c:extLst>
            </c:dLbl>
            <c:dLbl>
              <c:idx val="10"/>
              <c:layout>
                <c:manualLayout>
                  <c:x val="-1.795849357544366E-2"/>
                  <c:y val="8.5080281790256377E-5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C5-49BE-A3ED-AF1DC41511A3}"/>
                </c:ext>
              </c:extLst>
            </c:dLbl>
            <c:dLbl>
              <c:idx val="12"/>
              <c:layout>
                <c:manualLayout>
                  <c:x val="-0.11586206896551725"/>
                  <c:y val="5.660377022113978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C5-49BE-A3ED-AF1DC41511A3}"/>
                </c:ext>
              </c:extLst>
            </c:dLbl>
            <c:dLbl>
              <c:idx val="13"/>
              <c:layout>
                <c:manualLayout>
                  <c:x val="-4.275862068965517E-2"/>
                  <c:y val="-1.81132064707647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C5-49BE-A3ED-AF1DC41511A3}"/>
                </c:ext>
              </c:extLst>
            </c:dLbl>
            <c:dLbl>
              <c:idx val="14"/>
              <c:layout>
                <c:manualLayout>
                  <c:x val="-3.1196458724637825E-2"/>
                  <c:y val="2.279282886249388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C5-49BE-A3ED-AF1DC41511A3}"/>
                </c:ext>
              </c:extLst>
            </c:dLbl>
            <c:dLbl>
              <c:idx val="15"/>
              <c:layout>
                <c:manualLayout>
                  <c:x val="3.7005084776187372E-2"/>
                  <c:y val="1.981463254593175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174560704183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AC5-49BE-A3ED-AF1DC41511A3}"/>
                </c:ext>
              </c:extLst>
            </c:dLbl>
            <c:dLbl>
              <c:idx val="16"/>
              <c:layout>
                <c:manualLayout>
                  <c:x val="-0.12230206207538863"/>
                  <c:y val="-8.3721930592009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6393897364771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9AC5-49BE-A3ED-AF1DC41511A3}"/>
                </c:ext>
              </c:extLst>
            </c:dLbl>
            <c:dLbl>
              <c:idx val="17"/>
              <c:layout>
                <c:manualLayout>
                  <c:x val="0.13842764926909165"/>
                  <c:y val="-2.51812664041994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92702611202727"/>
                      <c:h val="0.115959595959595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AC5-49BE-A3ED-AF1DC41511A3}"/>
                </c:ext>
              </c:extLst>
            </c:dLbl>
            <c:dLbl>
              <c:idx val="18"/>
              <c:layout>
                <c:manualLayout>
                  <c:x val="3.8727524204702581E-2"/>
                  <c:y val="-1.82336182336182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C5-49BE-A3ED-AF1DC41511A3}"/>
                </c:ext>
              </c:extLst>
            </c:dLbl>
            <c:dLbl>
              <c:idx val="19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4326595097942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44C-42E2-AFF5-1C9B35FA765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18011</c:v>
                </c:pt>
                <c:pt idx="9">
                  <c:v>10632</c:v>
                </c:pt>
                <c:pt idx="16">
                  <c:v>8800</c:v>
                </c:pt>
                <c:pt idx="17">
                  <c:v>55262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AC5-49BE-A3ED-AF1DC4151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Koringuitvoere/Wheat exports - 2025_26 (ton)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layout>
        <c:manualLayout>
          <c:xMode val="edge"/>
          <c:yMode val="edge"/>
          <c:x val="0.25106205850329844"/>
          <c:y val="9.0566145295186522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'Land-Country data'!$Y$54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EE-423F-84E0-38494F3DE7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EE-423F-84E0-38494F3DE7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EE-423F-84E0-38494F3DE7D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EE-423F-84E0-38494F3DE7D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EE-423F-84E0-38494F3DE7D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EE-423F-84E0-38494F3DE7D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EE-423F-84E0-38494F3DE7D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EE-423F-84E0-38494F3DE7D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EE-423F-84E0-38494F3DE7D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EE-423F-84E0-38494F3DE7D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EE-423F-84E0-38494F3DE7D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3EE-423F-84E0-38494F3DE7D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3EE-423F-84E0-38494F3DE7DA}"/>
              </c:ext>
            </c:extLst>
          </c:dPt>
          <c:dLbls>
            <c:dLbl>
              <c:idx val="0"/>
              <c:layout>
                <c:manualLayout>
                  <c:x val="0.10068965517241379"/>
                  <c:y val="-4.0754714559220646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E-423F-84E0-38494F3DE7DA}"/>
                </c:ext>
              </c:extLst>
            </c:dLbl>
            <c:dLbl>
              <c:idx val="1"/>
              <c:layout>
                <c:manualLayout>
                  <c:x val="0.04"/>
                  <c:y val="-9.056603235382366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E-423F-84E0-38494F3DE7DA}"/>
                </c:ext>
              </c:extLst>
            </c:dLbl>
            <c:dLbl>
              <c:idx val="2"/>
              <c:layout>
                <c:manualLayout>
                  <c:x val="7.1197156306486403E-2"/>
                  <c:y val="-2.5732951286066098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E-423F-84E0-38494F3DE7DA}"/>
                </c:ext>
              </c:extLst>
            </c:dLbl>
            <c:dLbl>
              <c:idx val="3"/>
              <c:layout>
                <c:manualLayout>
                  <c:x val="-0.12898069696235151"/>
                  <c:y val="8.570969628768603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EE-423F-84E0-38494F3DE7DA}"/>
                </c:ext>
              </c:extLst>
            </c:dLbl>
            <c:dLbl>
              <c:idx val="4"/>
              <c:layout>
                <c:manualLayout>
                  <c:x val="-2.64527297282077E-2"/>
                  <c:y val="-0.14044652576902034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EE-423F-84E0-38494F3DE7DA}"/>
                </c:ext>
              </c:extLst>
            </c:dLbl>
            <c:dLbl>
              <c:idx val="5"/>
              <c:layout>
                <c:manualLayout>
                  <c:x val="0.15695953226012749"/>
                  <c:y val="-4.61538489493548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EE-423F-84E0-38494F3DE7DA}"/>
                </c:ext>
              </c:extLst>
            </c:dLbl>
            <c:dLbl>
              <c:idx val="8"/>
              <c:layout>
                <c:manualLayout>
                  <c:x val="-0.16589862353128282"/>
                  <c:y val="-4.7637053875953989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EE-423F-84E0-38494F3DE7DA}"/>
                </c:ext>
              </c:extLst>
            </c:dLbl>
            <c:dLbl>
              <c:idx val="9"/>
              <c:layout>
                <c:manualLayout>
                  <c:x val="-5.3793103448275863E-2"/>
                  <c:y val="1.8113206470764733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EE-423F-84E0-38494F3DE7DA}"/>
                </c:ext>
              </c:extLst>
            </c:dLbl>
            <c:dLbl>
              <c:idx val="10"/>
              <c:layout>
                <c:manualLayout>
                  <c:x val="-9.5391708530487632E-2"/>
                  <c:y val="-7.045454545454545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EE-423F-84E0-38494F3DE7DA}"/>
                </c:ext>
              </c:extLst>
            </c:dLbl>
            <c:dLbl>
              <c:idx val="11"/>
              <c:layout>
                <c:manualLayout>
                  <c:x val="-2.622590279663323E-2"/>
                  <c:y val="-2.71182869042765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EE-423F-84E0-38494F3DE7DA}"/>
                </c:ext>
              </c:extLst>
            </c:dLbl>
            <c:dLbl>
              <c:idx val="12"/>
              <c:layout>
                <c:manualLayout>
                  <c:x val="0.1496466078633904"/>
                  <c:y val="0.1084616358850172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5811342150909"/>
                      <c:h val="5.91923112775476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B3EE-423F-84E0-38494F3DE7DA}"/>
                </c:ext>
              </c:extLst>
            </c:dLbl>
            <c:dLbl>
              <c:idx val="14"/>
              <c:layout>
                <c:manualLayout>
                  <c:x val="0.2235933542527207"/>
                  <c:y val="-3.230751255648168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14567434942884"/>
                      <c:h val="7.99615433047573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58F-4789-9F4E-D23AAF3BD2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data'!$A$55:$A$67</c:f>
              <c:strCache>
                <c:ptCount val="13"/>
                <c:pt idx="0">
                  <c:v>Congo</c:v>
                </c:pt>
                <c:pt idx="1">
                  <c:v>Eswatini</c:v>
                </c:pt>
                <c:pt idx="2">
                  <c:v>Namibia</c:v>
                </c:pt>
                <c:pt idx="3">
                  <c:v>Zimbabwe</c:v>
                </c:pt>
                <c:pt idx="4">
                  <c:v>Lesotho</c:v>
                </c:pt>
                <c:pt idx="5">
                  <c:v>Botswana</c:v>
                </c:pt>
                <c:pt idx="6">
                  <c:v>Angola</c:v>
                </c:pt>
                <c:pt idx="7">
                  <c:v>Guinea</c:v>
                </c:pt>
                <c:pt idx="8">
                  <c:v>Malawi</c:v>
                </c:pt>
                <c:pt idx="9">
                  <c:v>Mauritius</c:v>
                </c:pt>
                <c:pt idx="10">
                  <c:v>Mosambiek</c:v>
                </c:pt>
                <c:pt idx="11">
                  <c:v>Russia</c:v>
                </c:pt>
                <c:pt idx="12">
                  <c:v>Zambia</c:v>
                </c:pt>
              </c:strCache>
            </c:strRef>
          </c:cat>
          <c:val>
            <c:numRef>
              <c:f>'Land-Country data'!$Y$55:$Y$67</c:f>
              <c:numCache>
                <c:formatCode>_ * #\ ##0_ ;_ * \-#\ ##0_ ;_ * "-"??_ ;_ @_ </c:formatCode>
                <c:ptCount val="13"/>
                <c:pt idx="3">
                  <c:v>1186</c:v>
                </c:pt>
                <c:pt idx="4">
                  <c:v>1252</c:v>
                </c:pt>
                <c:pt idx="5">
                  <c:v>350</c:v>
                </c:pt>
                <c:pt idx="12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3EE-423F-84E0-38494F3D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KORING: IN EN UITVOERE (2018/2019)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WHEAT : IMPORTS AND EXPORTS (2016/2017)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14381252152028E-2"/>
          <c:y val="0.1252765845511512"/>
          <c:w val="0.91410666188879031"/>
          <c:h val="0.65408354464166552"/>
        </c:manualLayout>
      </c:layout>
      <c:lineChart>
        <c:grouping val="standard"/>
        <c:varyColors val="0"/>
        <c:ser>
          <c:idx val="0"/>
          <c:order val="0"/>
          <c:tx>
            <c:strRef>
              <c:f>'Data 2019_20'!$C$7</c:f>
              <c:strCache>
                <c:ptCount val="1"/>
                <c:pt idx="0">
                  <c:v>Uitvoere/ Exports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2019_20'!$C$10:$C$61</c:f>
              <c:numCache>
                <c:formatCode>_ * #\ ##0_ ;_ * \-#\ ##0_ ;_ * "-"??_ ;_ @_ </c:formatCode>
                <c:ptCount val="52"/>
                <c:pt idx="0">
                  <c:v>324</c:v>
                </c:pt>
                <c:pt idx="1">
                  <c:v>288</c:v>
                </c:pt>
                <c:pt idx="2">
                  <c:v>183</c:v>
                </c:pt>
                <c:pt idx="3">
                  <c:v>1031</c:v>
                </c:pt>
                <c:pt idx="4">
                  <c:v>34</c:v>
                </c:pt>
                <c:pt idx="5">
                  <c:v>111</c:v>
                </c:pt>
                <c:pt idx="6">
                  <c:v>1155</c:v>
                </c:pt>
                <c:pt idx="7">
                  <c:v>137</c:v>
                </c:pt>
                <c:pt idx="8">
                  <c:v>2268</c:v>
                </c:pt>
                <c:pt idx="9">
                  <c:v>39</c:v>
                </c:pt>
                <c:pt idx="10">
                  <c:v>644</c:v>
                </c:pt>
                <c:pt idx="11">
                  <c:v>1135</c:v>
                </c:pt>
                <c:pt idx="12">
                  <c:v>618</c:v>
                </c:pt>
                <c:pt idx="13">
                  <c:v>570</c:v>
                </c:pt>
                <c:pt idx="14">
                  <c:v>824</c:v>
                </c:pt>
                <c:pt idx="15">
                  <c:v>2472</c:v>
                </c:pt>
                <c:pt idx="16">
                  <c:v>1705</c:v>
                </c:pt>
                <c:pt idx="17">
                  <c:v>2227</c:v>
                </c:pt>
                <c:pt idx="18">
                  <c:v>2190</c:v>
                </c:pt>
                <c:pt idx="19">
                  <c:v>4848</c:v>
                </c:pt>
                <c:pt idx="20">
                  <c:v>1700</c:v>
                </c:pt>
                <c:pt idx="21">
                  <c:v>2137</c:v>
                </c:pt>
                <c:pt idx="22">
                  <c:v>409</c:v>
                </c:pt>
                <c:pt idx="23">
                  <c:v>2593</c:v>
                </c:pt>
                <c:pt idx="24">
                  <c:v>3599</c:v>
                </c:pt>
                <c:pt idx="25">
                  <c:v>859</c:v>
                </c:pt>
                <c:pt idx="26">
                  <c:v>4022</c:v>
                </c:pt>
                <c:pt idx="27">
                  <c:v>2907</c:v>
                </c:pt>
                <c:pt idx="28">
                  <c:v>2745</c:v>
                </c:pt>
                <c:pt idx="29">
                  <c:v>1348</c:v>
                </c:pt>
                <c:pt idx="30">
                  <c:v>2746</c:v>
                </c:pt>
                <c:pt idx="31">
                  <c:v>4825</c:v>
                </c:pt>
                <c:pt idx="32">
                  <c:v>153</c:v>
                </c:pt>
                <c:pt idx="33">
                  <c:v>1263</c:v>
                </c:pt>
                <c:pt idx="34">
                  <c:v>5333</c:v>
                </c:pt>
                <c:pt idx="35">
                  <c:v>1499</c:v>
                </c:pt>
                <c:pt idx="36">
                  <c:v>2879</c:v>
                </c:pt>
                <c:pt idx="37">
                  <c:v>481</c:v>
                </c:pt>
                <c:pt idx="38">
                  <c:v>2083</c:v>
                </c:pt>
                <c:pt idx="39">
                  <c:v>3262</c:v>
                </c:pt>
                <c:pt idx="40">
                  <c:v>623</c:v>
                </c:pt>
                <c:pt idx="41">
                  <c:v>926</c:v>
                </c:pt>
                <c:pt idx="42">
                  <c:v>363</c:v>
                </c:pt>
                <c:pt idx="43">
                  <c:v>1933</c:v>
                </c:pt>
                <c:pt idx="44">
                  <c:v>307</c:v>
                </c:pt>
                <c:pt idx="45">
                  <c:v>220</c:v>
                </c:pt>
                <c:pt idx="46">
                  <c:v>474</c:v>
                </c:pt>
                <c:pt idx="47">
                  <c:v>3708</c:v>
                </c:pt>
                <c:pt idx="48">
                  <c:v>34</c:v>
                </c:pt>
                <c:pt idx="49">
                  <c:v>710</c:v>
                </c:pt>
                <c:pt idx="50">
                  <c:v>1221</c:v>
                </c:pt>
                <c:pt idx="51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1-4665-9FA0-0897BB085AFA}"/>
            </c:ext>
          </c:extLst>
        </c:ser>
        <c:ser>
          <c:idx val="1"/>
          <c:order val="1"/>
          <c:tx>
            <c:strRef>
              <c:f>'Data 2019_20'!$E$7</c:f>
              <c:strCache>
                <c:ptCount val="1"/>
                <c:pt idx="0">
                  <c:v>Invoere/Imports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2019_20'!$E$10:$E$61</c:f>
              <c:numCache>
                <c:formatCode>_ * #\ ##0_ ;_ * \-#\ ##0_ ;_ * "-"??_ ;_ @_ </c:formatCode>
                <c:ptCount val="52"/>
                <c:pt idx="0">
                  <c:v>20114</c:v>
                </c:pt>
                <c:pt idx="1">
                  <c:v>102546</c:v>
                </c:pt>
                <c:pt idx="2">
                  <c:v>66671</c:v>
                </c:pt>
                <c:pt idx="3">
                  <c:v>49234</c:v>
                </c:pt>
                <c:pt idx="4">
                  <c:v>51282</c:v>
                </c:pt>
                <c:pt idx="5">
                  <c:v>53552</c:v>
                </c:pt>
                <c:pt idx="6">
                  <c:v>17767</c:v>
                </c:pt>
                <c:pt idx="7">
                  <c:v>49487</c:v>
                </c:pt>
                <c:pt idx="8">
                  <c:v>18350</c:v>
                </c:pt>
                <c:pt idx="9">
                  <c:v>7725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19893</c:v>
                </c:pt>
                <c:pt idx="17">
                  <c:v>82447</c:v>
                </c:pt>
                <c:pt idx="18">
                  <c:v>0</c:v>
                </c:pt>
                <c:pt idx="19">
                  <c:v>30215</c:v>
                </c:pt>
                <c:pt idx="20">
                  <c:v>67232</c:v>
                </c:pt>
                <c:pt idx="21">
                  <c:v>54246</c:v>
                </c:pt>
                <c:pt idx="22">
                  <c:v>21575</c:v>
                </c:pt>
                <c:pt idx="23">
                  <c:v>0</c:v>
                </c:pt>
                <c:pt idx="24">
                  <c:v>0</c:v>
                </c:pt>
                <c:pt idx="25">
                  <c:v>22207</c:v>
                </c:pt>
                <c:pt idx="26">
                  <c:v>8764</c:v>
                </c:pt>
                <c:pt idx="27">
                  <c:v>16150</c:v>
                </c:pt>
                <c:pt idx="28">
                  <c:v>39605</c:v>
                </c:pt>
                <c:pt idx="29">
                  <c:v>109212</c:v>
                </c:pt>
                <c:pt idx="30">
                  <c:v>80139</c:v>
                </c:pt>
                <c:pt idx="31">
                  <c:v>78720</c:v>
                </c:pt>
                <c:pt idx="32">
                  <c:v>102882</c:v>
                </c:pt>
                <c:pt idx="33">
                  <c:v>61180</c:v>
                </c:pt>
                <c:pt idx="34">
                  <c:v>71370</c:v>
                </c:pt>
                <c:pt idx="35">
                  <c:v>88442</c:v>
                </c:pt>
                <c:pt idx="36">
                  <c:v>55625</c:v>
                </c:pt>
                <c:pt idx="37">
                  <c:v>35382</c:v>
                </c:pt>
                <c:pt idx="38">
                  <c:v>29702</c:v>
                </c:pt>
                <c:pt idx="39">
                  <c:v>14707</c:v>
                </c:pt>
                <c:pt idx="40">
                  <c:v>12319</c:v>
                </c:pt>
                <c:pt idx="41">
                  <c:v>8499</c:v>
                </c:pt>
                <c:pt idx="42">
                  <c:v>4834</c:v>
                </c:pt>
                <c:pt idx="43">
                  <c:v>26460</c:v>
                </c:pt>
                <c:pt idx="44">
                  <c:v>13524</c:v>
                </c:pt>
                <c:pt idx="45">
                  <c:v>9798</c:v>
                </c:pt>
                <c:pt idx="46">
                  <c:v>3550</c:v>
                </c:pt>
                <c:pt idx="47">
                  <c:v>9022</c:v>
                </c:pt>
                <c:pt idx="48">
                  <c:v>49457</c:v>
                </c:pt>
                <c:pt idx="49">
                  <c:v>67270</c:v>
                </c:pt>
                <c:pt idx="50">
                  <c:v>46145</c:v>
                </c:pt>
                <c:pt idx="51">
                  <c:v>87580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1-4665-9FA0-0897BB08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89263"/>
        <c:axId val="1"/>
      </c:lineChart>
      <c:dateAx>
        <c:axId val="461389263"/>
        <c:scaling>
          <c:orientation val="minMax"/>
          <c:max val="43496"/>
        </c:scaling>
        <c:delete val="0"/>
        <c:axPos val="b"/>
        <c:numFmt formatCode="d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in val="-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389263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61410788381743E-3"/>
          <c:y val="0.93675213675213675"/>
          <c:w val="0.99273858921161828"/>
          <c:h val="6.4957264957264962E-2"/>
        </c:manualLayout>
      </c:layout>
      <c:overlay val="0"/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1" workbookViewId="0"/>
  </sheetViews>
  <pageMargins left="0.23622047244094491" right="0.23622047244094491" top="1.1330314960629921" bottom="0.74803149606299213" header="0.31496062992125984" footer="0.31496062992125984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01481" cy="59360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EE8E0-3D04-4E34-BF97-3F976435F6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486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C708A4-DFDD-4BB8-A9F3-7E09BD01BA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503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0324E8-CEDA-4C8D-8B6F-C54425B8766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82100" cy="5572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A975FC-3D5E-4B15-82C7-D0783AA653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91"/>
  <sheetViews>
    <sheetView zoomScaleNormal="100" workbookViewId="0">
      <pane xSplit="2" ySplit="9" topLeftCell="C47" activePane="bottomRight" state="frozen"/>
      <selection pane="topRight" activeCell="C1" sqref="C1"/>
      <selection pane="bottomLeft" activeCell="A10" sqref="A10"/>
      <selection pane="bottomRight" activeCell="L60" sqref="L60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43371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43014</v>
      </c>
      <c r="C10" s="1">
        <v>67</v>
      </c>
      <c r="D10" s="86">
        <f>C10</f>
        <v>67</v>
      </c>
      <c r="E10" s="11">
        <v>34766</v>
      </c>
      <c r="F10" s="3">
        <f>E10</f>
        <v>34766</v>
      </c>
      <c r="G10" s="6">
        <f>+C10-E10</f>
        <v>-34699</v>
      </c>
      <c r="H10" s="2">
        <f>G10</f>
        <v>-34699</v>
      </c>
    </row>
    <row r="11" spans="1:8" ht="14.4" x14ac:dyDescent="0.3">
      <c r="A11" s="14">
        <v>2</v>
      </c>
      <c r="B11" s="98">
        <v>43021</v>
      </c>
      <c r="C11" s="1">
        <v>766</v>
      </c>
      <c r="D11" s="86">
        <f>D10+C11</f>
        <v>833</v>
      </c>
      <c r="E11" s="1">
        <v>84743</v>
      </c>
      <c r="F11" s="3">
        <f t="shared" ref="F11:F61" si="0">F10+E11</f>
        <v>119509</v>
      </c>
      <c r="G11" s="6">
        <f>+C11-E11</f>
        <v>-83977</v>
      </c>
      <c r="H11" s="2">
        <f>H10+G11</f>
        <v>-118676</v>
      </c>
    </row>
    <row r="12" spans="1:8" ht="14.4" x14ac:dyDescent="0.3">
      <c r="A12" s="14">
        <v>3</v>
      </c>
      <c r="B12" s="98">
        <v>43028</v>
      </c>
      <c r="C12" s="1">
        <v>572</v>
      </c>
      <c r="D12" s="86">
        <f>D11+C12</f>
        <v>1405</v>
      </c>
      <c r="E12" s="1">
        <v>129545</v>
      </c>
      <c r="F12" s="3">
        <f t="shared" si="0"/>
        <v>249054</v>
      </c>
      <c r="G12" s="6">
        <f>+C12-E12</f>
        <v>-128973</v>
      </c>
      <c r="H12" s="2">
        <f t="shared" ref="H12:H61" si="1">H11+G12</f>
        <v>-247649</v>
      </c>
    </row>
    <row r="13" spans="1:8" ht="14.4" x14ac:dyDescent="0.3">
      <c r="A13" s="14">
        <v>4</v>
      </c>
      <c r="B13" s="98">
        <v>43035</v>
      </c>
      <c r="C13" s="1">
        <v>242</v>
      </c>
      <c r="D13" s="86">
        <f t="shared" ref="D13:D36" si="2">C13+D12</f>
        <v>1647</v>
      </c>
      <c r="E13" s="1">
        <v>63087</v>
      </c>
      <c r="F13" s="3">
        <f t="shared" si="0"/>
        <v>312141</v>
      </c>
      <c r="G13" s="6">
        <f t="shared" ref="G13:G61" si="3">+C13-E13</f>
        <v>-62845</v>
      </c>
      <c r="H13" s="2">
        <f t="shared" si="1"/>
        <v>-310494</v>
      </c>
    </row>
    <row r="14" spans="1:8" ht="14.4" x14ac:dyDescent="0.3">
      <c r="A14" s="14">
        <v>5</v>
      </c>
      <c r="B14" s="98">
        <v>43042</v>
      </c>
      <c r="C14" s="1">
        <v>33</v>
      </c>
      <c r="D14" s="86">
        <f t="shared" si="2"/>
        <v>1680</v>
      </c>
      <c r="E14" s="1">
        <v>83673</v>
      </c>
      <c r="F14" s="3">
        <f t="shared" si="0"/>
        <v>395814</v>
      </c>
      <c r="G14" s="6">
        <f t="shared" si="3"/>
        <v>-83640</v>
      </c>
      <c r="H14" s="2">
        <f t="shared" si="1"/>
        <v>-394134</v>
      </c>
    </row>
    <row r="15" spans="1:8" ht="14.4" x14ac:dyDescent="0.3">
      <c r="A15" s="14">
        <v>6</v>
      </c>
      <c r="B15" s="98">
        <v>43049</v>
      </c>
      <c r="C15" s="1">
        <v>34</v>
      </c>
      <c r="D15" s="86">
        <f t="shared" si="2"/>
        <v>1714</v>
      </c>
      <c r="E15" s="1">
        <v>34585</v>
      </c>
      <c r="F15" s="3">
        <f t="shared" si="0"/>
        <v>430399</v>
      </c>
      <c r="G15" s="6">
        <f t="shared" si="3"/>
        <v>-34551</v>
      </c>
      <c r="H15" s="2">
        <f t="shared" si="1"/>
        <v>-428685</v>
      </c>
    </row>
    <row r="16" spans="1:8" ht="14.4" x14ac:dyDescent="0.3">
      <c r="A16" s="14">
        <v>7</v>
      </c>
      <c r="B16" s="98">
        <v>43056</v>
      </c>
      <c r="C16" s="1">
        <v>854</v>
      </c>
      <c r="D16" s="86">
        <f t="shared" si="2"/>
        <v>2568</v>
      </c>
      <c r="E16" s="1">
        <v>32641</v>
      </c>
      <c r="F16" s="3">
        <f t="shared" si="0"/>
        <v>463040</v>
      </c>
      <c r="G16" s="6">
        <f t="shared" si="3"/>
        <v>-31787</v>
      </c>
      <c r="H16" s="2">
        <f t="shared" si="1"/>
        <v>-460472</v>
      </c>
    </row>
    <row r="17" spans="1:14" ht="14.4" x14ac:dyDescent="0.3">
      <c r="A17" s="14">
        <v>8</v>
      </c>
      <c r="B17" s="98">
        <v>43063</v>
      </c>
      <c r="C17" s="1">
        <v>626</v>
      </c>
      <c r="D17" s="86">
        <f t="shared" si="2"/>
        <v>3194</v>
      </c>
      <c r="E17" s="1">
        <v>57195</v>
      </c>
      <c r="F17" s="3">
        <f t="shared" si="0"/>
        <v>520235</v>
      </c>
      <c r="G17" s="6">
        <f t="shared" si="3"/>
        <v>-56569</v>
      </c>
      <c r="H17" s="2">
        <f t="shared" si="1"/>
        <v>-517041</v>
      </c>
    </row>
    <row r="18" spans="1:14" ht="14.4" x14ac:dyDescent="0.3">
      <c r="A18" s="14">
        <v>9</v>
      </c>
      <c r="B18" s="98">
        <v>43070</v>
      </c>
      <c r="C18" s="1">
        <v>99</v>
      </c>
      <c r="D18" s="86">
        <f t="shared" si="2"/>
        <v>3293</v>
      </c>
      <c r="E18" s="1">
        <v>55969</v>
      </c>
      <c r="F18" s="3">
        <f t="shared" si="0"/>
        <v>576204</v>
      </c>
      <c r="G18" s="6">
        <f t="shared" si="3"/>
        <v>-55870</v>
      </c>
      <c r="H18" s="2">
        <f t="shared" si="1"/>
        <v>-572911</v>
      </c>
    </row>
    <row r="19" spans="1:14" ht="14.4" x14ac:dyDescent="0.3">
      <c r="A19" s="14">
        <v>10</v>
      </c>
      <c r="B19" s="98">
        <v>43077</v>
      </c>
      <c r="C19" s="1">
        <v>401</v>
      </c>
      <c r="D19" s="86">
        <f t="shared" si="2"/>
        <v>3694</v>
      </c>
      <c r="E19" s="1">
        <v>1714</v>
      </c>
      <c r="F19" s="3">
        <f t="shared" si="0"/>
        <v>577918</v>
      </c>
      <c r="G19" s="6">
        <f>+C19-E19</f>
        <v>-1313</v>
      </c>
      <c r="H19" s="2">
        <f t="shared" si="1"/>
        <v>-574224</v>
      </c>
    </row>
    <row r="20" spans="1:14" ht="14.4" x14ac:dyDescent="0.3">
      <c r="A20" s="14">
        <v>11</v>
      </c>
      <c r="B20" s="98">
        <v>43084</v>
      </c>
      <c r="C20" s="1">
        <v>0</v>
      </c>
      <c r="D20" s="86">
        <f t="shared" si="2"/>
        <v>3694</v>
      </c>
      <c r="E20" s="1">
        <v>0</v>
      </c>
      <c r="F20" s="3">
        <f t="shared" si="0"/>
        <v>577918</v>
      </c>
      <c r="G20" s="6">
        <f t="shared" si="3"/>
        <v>0</v>
      </c>
      <c r="H20" s="2">
        <f t="shared" si="1"/>
        <v>-574224</v>
      </c>
    </row>
    <row r="21" spans="1:14" ht="14.4" x14ac:dyDescent="0.3">
      <c r="A21" s="14">
        <v>12</v>
      </c>
      <c r="B21" s="98">
        <v>43091</v>
      </c>
      <c r="C21" s="1">
        <v>0</v>
      </c>
      <c r="D21" s="86">
        <f t="shared" si="2"/>
        <v>3694</v>
      </c>
      <c r="E21" s="1">
        <v>0</v>
      </c>
      <c r="F21" s="3">
        <f t="shared" si="0"/>
        <v>577918</v>
      </c>
      <c r="G21" s="6">
        <f t="shared" si="3"/>
        <v>0</v>
      </c>
      <c r="H21" s="2">
        <f t="shared" si="1"/>
        <v>-574224</v>
      </c>
    </row>
    <row r="22" spans="1:14" ht="14.4" x14ac:dyDescent="0.3">
      <c r="A22" s="14">
        <v>13</v>
      </c>
      <c r="B22" s="98">
        <v>43098</v>
      </c>
      <c r="C22" s="1">
        <v>1265</v>
      </c>
      <c r="D22" s="86">
        <f t="shared" si="2"/>
        <v>4959</v>
      </c>
      <c r="E22" s="1">
        <v>41416</v>
      </c>
      <c r="F22" s="3">
        <f t="shared" si="0"/>
        <v>619334</v>
      </c>
      <c r="G22" s="6">
        <f t="shared" si="3"/>
        <v>-40151</v>
      </c>
      <c r="H22" s="2">
        <f t="shared" si="1"/>
        <v>-614375</v>
      </c>
    </row>
    <row r="23" spans="1:14" ht="14.4" x14ac:dyDescent="0.3">
      <c r="A23" s="14">
        <v>14</v>
      </c>
      <c r="B23" s="98">
        <v>43105</v>
      </c>
      <c r="C23" s="1">
        <v>425</v>
      </c>
      <c r="D23" s="86">
        <f t="shared" si="2"/>
        <v>5384</v>
      </c>
      <c r="E23" s="1">
        <v>0</v>
      </c>
      <c r="F23" s="3">
        <f t="shared" si="0"/>
        <v>619334</v>
      </c>
      <c r="G23" s="6">
        <f t="shared" si="3"/>
        <v>425</v>
      </c>
      <c r="H23" s="2">
        <f t="shared" si="1"/>
        <v>-613950</v>
      </c>
    </row>
    <row r="24" spans="1:14" ht="14.4" x14ac:dyDescent="0.3">
      <c r="A24" s="14">
        <v>15</v>
      </c>
      <c r="B24" s="98">
        <v>43112</v>
      </c>
      <c r="C24" s="1">
        <v>0</v>
      </c>
      <c r="D24" s="86">
        <f t="shared" si="2"/>
        <v>5384</v>
      </c>
      <c r="E24" s="1">
        <v>10007</v>
      </c>
      <c r="F24" s="3">
        <f t="shared" si="0"/>
        <v>629341</v>
      </c>
      <c r="G24" s="6">
        <f t="shared" si="3"/>
        <v>-10007</v>
      </c>
      <c r="H24" s="2">
        <f t="shared" si="1"/>
        <v>-623957</v>
      </c>
    </row>
    <row r="25" spans="1:14" ht="14.4" x14ac:dyDescent="0.3">
      <c r="A25" s="14">
        <v>16</v>
      </c>
      <c r="B25" s="98">
        <v>43119</v>
      </c>
      <c r="C25" s="1">
        <v>101</v>
      </c>
      <c r="D25" s="86">
        <f t="shared" si="2"/>
        <v>5485</v>
      </c>
      <c r="E25" s="1">
        <v>44561</v>
      </c>
      <c r="F25" s="3">
        <f t="shared" si="0"/>
        <v>673902</v>
      </c>
      <c r="G25" s="6">
        <f t="shared" si="3"/>
        <v>-44460</v>
      </c>
      <c r="H25" s="2">
        <f t="shared" si="1"/>
        <v>-668417</v>
      </c>
    </row>
    <row r="26" spans="1:14" ht="14.4" x14ac:dyDescent="0.3">
      <c r="A26" s="14">
        <v>17</v>
      </c>
      <c r="B26" s="98">
        <v>43126</v>
      </c>
      <c r="C26" s="1">
        <v>4651</v>
      </c>
      <c r="D26" s="86">
        <f t="shared" si="2"/>
        <v>10136</v>
      </c>
      <c r="E26" s="1">
        <v>22419</v>
      </c>
      <c r="F26" s="3">
        <f t="shared" si="0"/>
        <v>696321</v>
      </c>
      <c r="G26" s="6">
        <f t="shared" si="3"/>
        <v>-17768</v>
      </c>
      <c r="H26" s="2">
        <f t="shared" si="1"/>
        <v>-686185</v>
      </c>
      <c r="N26" s="85"/>
    </row>
    <row r="27" spans="1:14" ht="14.4" x14ac:dyDescent="0.3">
      <c r="A27" s="14">
        <v>18</v>
      </c>
      <c r="B27" s="98">
        <v>43133</v>
      </c>
      <c r="C27" s="1">
        <v>1324</v>
      </c>
      <c r="D27" s="86">
        <f t="shared" si="2"/>
        <v>11460</v>
      </c>
      <c r="E27" s="1">
        <v>58722</v>
      </c>
      <c r="F27" s="3">
        <f t="shared" si="0"/>
        <v>755043</v>
      </c>
      <c r="G27" s="6">
        <f t="shared" si="3"/>
        <v>-57398</v>
      </c>
      <c r="H27" s="2">
        <f t="shared" si="1"/>
        <v>-743583</v>
      </c>
    </row>
    <row r="28" spans="1:14" ht="14.4" x14ac:dyDescent="0.3">
      <c r="A28" s="14">
        <v>19</v>
      </c>
      <c r="B28" s="98">
        <v>43140</v>
      </c>
      <c r="C28" s="1">
        <v>542</v>
      </c>
      <c r="D28" s="86">
        <f t="shared" si="2"/>
        <v>12002</v>
      </c>
      <c r="E28" s="1">
        <v>64065</v>
      </c>
      <c r="F28" s="3">
        <f t="shared" si="0"/>
        <v>819108</v>
      </c>
      <c r="G28" s="6">
        <f t="shared" si="3"/>
        <v>-63523</v>
      </c>
      <c r="H28" s="2">
        <f t="shared" si="1"/>
        <v>-807106</v>
      </c>
    </row>
    <row r="29" spans="1:14" ht="14.4" x14ac:dyDescent="0.3">
      <c r="A29" s="14">
        <v>20</v>
      </c>
      <c r="B29" s="98">
        <v>43147</v>
      </c>
      <c r="C29" s="1">
        <v>1822</v>
      </c>
      <c r="D29" s="86">
        <f t="shared" si="2"/>
        <v>13824</v>
      </c>
      <c r="E29" s="1">
        <v>95837</v>
      </c>
      <c r="F29" s="3">
        <f t="shared" si="0"/>
        <v>914945</v>
      </c>
      <c r="G29" s="6">
        <f t="shared" si="3"/>
        <v>-94015</v>
      </c>
      <c r="H29" s="2">
        <f t="shared" si="1"/>
        <v>-901121</v>
      </c>
    </row>
    <row r="30" spans="1:14" ht="14.4" x14ac:dyDescent="0.3">
      <c r="A30" s="14">
        <v>21</v>
      </c>
      <c r="B30" s="98">
        <v>43154</v>
      </c>
      <c r="C30" s="1">
        <v>2560</v>
      </c>
      <c r="D30" s="86">
        <f t="shared" si="2"/>
        <v>16384</v>
      </c>
      <c r="E30" s="1">
        <v>56786</v>
      </c>
      <c r="F30" s="3">
        <f t="shared" si="0"/>
        <v>971731</v>
      </c>
      <c r="G30" s="6">
        <f t="shared" si="3"/>
        <v>-54226</v>
      </c>
      <c r="H30" s="2">
        <f t="shared" si="1"/>
        <v>-955347</v>
      </c>
    </row>
    <row r="31" spans="1:14" ht="14.4" x14ac:dyDescent="0.3">
      <c r="A31" s="14">
        <v>22</v>
      </c>
      <c r="B31" s="98">
        <v>43161</v>
      </c>
      <c r="C31" s="1">
        <v>802</v>
      </c>
      <c r="D31" s="86">
        <f t="shared" si="2"/>
        <v>17186</v>
      </c>
      <c r="E31" s="1">
        <v>101115</v>
      </c>
      <c r="F31" s="3">
        <f t="shared" si="0"/>
        <v>1072846</v>
      </c>
      <c r="G31" s="6">
        <f t="shared" si="3"/>
        <v>-100313</v>
      </c>
      <c r="H31" s="2">
        <f t="shared" si="1"/>
        <v>-1055660</v>
      </c>
    </row>
    <row r="32" spans="1:14" ht="14.4" x14ac:dyDescent="0.3">
      <c r="A32" s="14">
        <v>23</v>
      </c>
      <c r="B32" s="98">
        <v>43168</v>
      </c>
      <c r="C32" s="1">
        <v>67</v>
      </c>
      <c r="D32" s="86">
        <f t="shared" si="2"/>
        <v>17253</v>
      </c>
      <c r="E32" s="1">
        <v>53262</v>
      </c>
      <c r="F32" s="3">
        <f t="shared" si="0"/>
        <v>1126108</v>
      </c>
      <c r="G32" s="6">
        <f t="shared" si="3"/>
        <v>-53195</v>
      </c>
      <c r="H32" s="2">
        <f t="shared" si="1"/>
        <v>-1108855</v>
      </c>
    </row>
    <row r="33" spans="1:11" ht="14.4" x14ac:dyDescent="0.3">
      <c r="A33" s="14">
        <v>24</v>
      </c>
      <c r="B33" s="98">
        <v>43175</v>
      </c>
      <c r="C33" s="1">
        <v>663</v>
      </c>
      <c r="D33" s="86">
        <f t="shared" si="2"/>
        <v>17916</v>
      </c>
      <c r="E33" s="1">
        <v>21627</v>
      </c>
      <c r="F33" s="3">
        <f t="shared" si="0"/>
        <v>1147735</v>
      </c>
      <c r="G33" s="6">
        <f t="shared" si="3"/>
        <v>-20964</v>
      </c>
      <c r="H33" s="2">
        <f t="shared" si="1"/>
        <v>-1129819</v>
      </c>
    </row>
    <row r="34" spans="1:11" ht="14.4" x14ac:dyDescent="0.3">
      <c r="A34" s="14">
        <v>25</v>
      </c>
      <c r="B34" s="98">
        <v>43182</v>
      </c>
      <c r="C34" s="1">
        <v>1227</v>
      </c>
      <c r="D34" s="86">
        <f t="shared" si="2"/>
        <v>19143</v>
      </c>
      <c r="E34" s="1">
        <v>0</v>
      </c>
      <c r="F34" s="3">
        <f t="shared" si="0"/>
        <v>1147735</v>
      </c>
      <c r="G34" s="6">
        <f t="shared" si="3"/>
        <v>1227</v>
      </c>
      <c r="H34" s="2">
        <f t="shared" si="1"/>
        <v>-1128592</v>
      </c>
    </row>
    <row r="35" spans="1:11" ht="14.4" x14ac:dyDescent="0.3">
      <c r="A35" s="14">
        <v>26</v>
      </c>
      <c r="B35" s="98">
        <v>43189</v>
      </c>
      <c r="C35" s="1">
        <v>2280</v>
      </c>
      <c r="D35" s="86">
        <f t="shared" si="2"/>
        <v>21423</v>
      </c>
      <c r="E35" s="1">
        <v>0</v>
      </c>
      <c r="F35" s="3">
        <f t="shared" si="0"/>
        <v>1147735</v>
      </c>
      <c r="G35" s="6">
        <f t="shared" si="3"/>
        <v>2280</v>
      </c>
      <c r="H35" s="2">
        <f t="shared" si="1"/>
        <v>-1126312</v>
      </c>
    </row>
    <row r="36" spans="1:11" ht="14.4" x14ac:dyDescent="0.3">
      <c r="A36" s="14">
        <v>27</v>
      </c>
      <c r="B36" s="98">
        <v>43196</v>
      </c>
      <c r="C36" s="1">
        <v>3178</v>
      </c>
      <c r="D36" s="86">
        <f t="shared" si="2"/>
        <v>24601</v>
      </c>
      <c r="E36" s="1">
        <v>0</v>
      </c>
      <c r="F36" s="3">
        <f t="shared" si="0"/>
        <v>1147735</v>
      </c>
      <c r="G36" s="6">
        <f t="shared" si="3"/>
        <v>3178</v>
      </c>
      <c r="H36" s="2">
        <f t="shared" si="1"/>
        <v>-1123134</v>
      </c>
    </row>
    <row r="37" spans="1:11" ht="14.4" x14ac:dyDescent="0.3">
      <c r="A37" s="14">
        <v>28</v>
      </c>
      <c r="B37" s="98">
        <v>43203</v>
      </c>
      <c r="C37" s="1">
        <v>4316</v>
      </c>
      <c r="D37" s="86">
        <f t="shared" ref="D37:D61" si="4">C37+D36</f>
        <v>28917</v>
      </c>
      <c r="E37" s="1">
        <v>0</v>
      </c>
      <c r="F37" s="3">
        <f t="shared" si="0"/>
        <v>1147735</v>
      </c>
      <c r="G37" s="6">
        <f t="shared" si="3"/>
        <v>4316</v>
      </c>
      <c r="H37" s="2">
        <f t="shared" si="1"/>
        <v>-1118818</v>
      </c>
    </row>
    <row r="38" spans="1:11" ht="14.4" x14ac:dyDescent="0.3">
      <c r="A38" s="14">
        <v>29</v>
      </c>
      <c r="B38" s="98">
        <v>43210</v>
      </c>
      <c r="C38" s="1">
        <v>2463</v>
      </c>
      <c r="D38" s="86">
        <f t="shared" si="4"/>
        <v>31380</v>
      </c>
      <c r="E38" s="1">
        <v>0</v>
      </c>
      <c r="F38" s="3">
        <f t="shared" si="0"/>
        <v>1147735</v>
      </c>
      <c r="G38" s="6">
        <f t="shared" si="3"/>
        <v>2463</v>
      </c>
      <c r="H38" s="2">
        <f t="shared" si="1"/>
        <v>-1116355</v>
      </c>
    </row>
    <row r="39" spans="1:11" ht="14.4" x14ac:dyDescent="0.3">
      <c r="A39" s="14">
        <v>30</v>
      </c>
      <c r="B39" s="98">
        <v>43217</v>
      </c>
      <c r="C39" s="1">
        <v>2443</v>
      </c>
      <c r="D39" s="86">
        <f t="shared" si="4"/>
        <v>33823</v>
      </c>
      <c r="E39" s="1">
        <v>0</v>
      </c>
      <c r="F39" s="3">
        <f t="shared" si="0"/>
        <v>1147735</v>
      </c>
      <c r="G39" s="6">
        <f t="shared" si="3"/>
        <v>2443</v>
      </c>
      <c r="H39" s="2">
        <f t="shared" si="1"/>
        <v>-1113912</v>
      </c>
    </row>
    <row r="40" spans="1:11" ht="14.4" x14ac:dyDescent="0.3">
      <c r="A40" s="14">
        <v>31</v>
      </c>
      <c r="B40" s="98">
        <v>43224</v>
      </c>
      <c r="C40" s="1">
        <v>1870</v>
      </c>
      <c r="D40" s="86">
        <f t="shared" si="4"/>
        <v>35693</v>
      </c>
      <c r="E40" s="1">
        <v>0</v>
      </c>
      <c r="F40" s="3">
        <f t="shared" si="0"/>
        <v>1147735</v>
      </c>
      <c r="G40" s="6">
        <f t="shared" si="3"/>
        <v>1870</v>
      </c>
      <c r="H40" s="2">
        <f t="shared" si="1"/>
        <v>-1112042</v>
      </c>
    </row>
    <row r="41" spans="1:11" ht="14.4" x14ac:dyDescent="0.3">
      <c r="A41" s="14">
        <v>32</v>
      </c>
      <c r="B41" s="98">
        <v>43231</v>
      </c>
      <c r="C41" s="1">
        <v>2133</v>
      </c>
      <c r="D41" s="86">
        <f t="shared" si="4"/>
        <v>37826</v>
      </c>
      <c r="E41" s="1">
        <v>16405</v>
      </c>
      <c r="F41" s="3">
        <f t="shared" si="0"/>
        <v>1164140</v>
      </c>
      <c r="G41" s="6">
        <f t="shared" si="3"/>
        <v>-14272</v>
      </c>
      <c r="H41" s="2">
        <f t="shared" si="1"/>
        <v>-1126314</v>
      </c>
    </row>
    <row r="42" spans="1:11" ht="14.4" x14ac:dyDescent="0.3">
      <c r="A42" s="14">
        <v>33</v>
      </c>
      <c r="B42" s="98">
        <v>43238</v>
      </c>
      <c r="C42" s="1">
        <v>2165</v>
      </c>
      <c r="D42" s="86">
        <f t="shared" si="4"/>
        <v>39991</v>
      </c>
      <c r="E42" s="1">
        <v>57876</v>
      </c>
      <c r="F42" s="3">
        <f t="shared" si="0"/>
        <v>1222016</v>
      </c>
      <c r="G42" s="6">
        <f t="shared" si="3"/>
        <v>-55711</v>
      </c>
      <c r="H42" s="2">
        <f t="shared" si="1"/>
        <v>-1182025</v>
      </c>
    </row>
    <row r="43" spans="1:11" ht="14.4" x14ac:dyDescent="0.3">
      <c r="A43" s="14">
        <v>34</v>
      </c>
      <c r="B43" s="98">
        <v>43245</v>
      </c>
      <c r="C43" s="1">
        <v>2135</v>
      </c>
      <c r="D43" s="86">
        <f t="shared" si="4"/>
        <v>42126</v>
      </c>
      <c r="E43" s="1">
        <v>21482</v>
      </c>
      <c r="F43" s="3">
        <f t="shared" si="0"/>
        <v>1243498</v>
      </c>
      <c r="G43" s="6">
        <f t="shared" si="3"/>
        <v>-19347</v>
      </c>
      <c r="H43" s="2">
        <f t="shared" si="1"/>
        <v>-1201372</v>
      </c>
    </row>
    <row r="44" spans="1:11" ht="14.4" x14ac:dyDescent="0.3">
      <c r="A44" s="14">
        <v>35</v>
      </c>
      <c r="B44" s="98">
        <v>43252</v>
      </c>
      <c r="C44" s="1">
        <v>1754</v>
      </c>
      <c r="D44" s="86">
        <f t="shared" si="4"/>
        <v>43880</v>
      </c>
      <c r="E44" s="1">
        <v>53271</v>
      </c>
      <c r="F44" s="3">
        <f t="shared" si="0"/>
        <v>1296769</v>
      </c>
      <c r="G44" s="6">
        <f t="shared" si="3"/>
        <v>-51517</v>
      </c>
      <c r="H44" s="2">
        <f t="shared" si="1"/>
        <v>-1252889</v>
      </c>
    </row>
    <row r="45" spans="1:11" ht="14.4" x14ac:dyDescent="0.3">
      <c r="A45" s="14">
        <v>36</v>
      </c>
      <c r="B45" s="98">
        <v>43259</v>
      </c>
      <c r="C45" s="1">
        <v>719</v>
      </c>
      <c r="D45" s="86">
        <f t="shared" si="4"/>
        <v>44599</v>
      </c>
      <c r="E45" s="1">
        <v>29017</v>
      </c>
      <c r="F45" s="3">
        <f t="shared" si="0"/>
        <v>1325786</v>
      </c>
      <c r="G45" s="6">
        <f t="shared" si="3"/>
        <v>-28298</v>
      </c>
      <c r="H45" s="2">
        <f t="shared" si="1"/>
        <v>-1281187</v>
      </c>
    </row>
    <row r="46" spans="1:11" ht="14.4" x14ac:dyDescent="0.3">
      <c r="A46" s="14">
        <v>37</v>
      </c>
      <c r="B46" s="98">
        <v>43266</v>
      </c>
      <c r="C46" s="1">
        <v>2904</v>
      </c>
      <c r="D46" s="86">
        <f t="shared" si="4"/>
        <v>47503</v>
      </c>
      <c r="E46" s="1">
        <v>101572</v>
      </c>
      <c r="F46" s="3">
        <f t="shared" si="0"/>
        <v>1427358</v>
      </c>
      <c r="G46" s="6">
        <f t="shared" si="3"/>
        <v>-98668</v>
      </c>
      <c r="H46" s="2">
        <f t="shared" si="1"/>
        <v>-1379855</v>
      </c>
    </row>
    <row r="47" spans="1:11" ht="14.4" x14ac:dyDescent="0.3">
      <c r="A47" s="14">
        <v>38</v>
      </c>
      <c r="B47" s="98">
        <v>43273</v>
      </c>
      <c r="C47" s="1">
        <v>3433</v>
      </c>
      <c r="D47" s="86">
        <f t="shared" si="4"/>
        <v>50936</v>
      </c>
      <c r="E47" s="1">
        <v>79636</v>
      </c>
      <c r="F47" s="3">
        <f t="shared" si="0"/>
        <v>1506994</v>
      </c>
      <c r="G47" s="6">
        <f t="shared" si="3"/>
        <v>-76203</v>
      </c>
      <c r="H47" s="2">
        <f t="shared" si="1"/>
        <v>-1456058</v>
      </c>
    </row>
    <row r="48" spans="1:11" ht="14.4" x14ac:dyDescent="0.3">
      <c r="A48" s="14">
        <v>39</v>
      </c>
      <c r="B48" s="98">
        <v>43280</v>
      </c>
      <c r="C48" s="1">
        <v>3548</v>
      </c>
      <c r="D48" s="86">
        <f t="shared" si="4"/>
        <v>54484</v>
      </c>
      <c r="E48" s="1">
        <v>58725</v>
      </c>
      <c r="F48" s="3">
        <f t="shared" si="0"/>
        <v>1565719</v>
      </c>
      <c r="G48" s="6">
        <f t="shared" si="3"/>
        <v>-55177</v>
      </c>
      <c r="H48" s="2">
        <f t="shared" si="1"/>
        <v>-1511235</v>
      </c>
      <c r="K48" s="12"/>
    </row>
    <row r="49" spans="1:8" ht="14.4" x14ac:dyDescent="0.3">
      <c r="A49" s="14">
        <v>40</v>
      </c>
      <c r="B49" s="98">
        <v>43287</v>
      </c>
      <c r="C49" s="1">
        <v>2551</v>
      </c>
      <c r="D49" s="86">
        <f t="shared" si="4"/>
        <v>57035</v>
      </c>
      <c r="E49" s="1">
        <v>56011</v>
      </c>
      <c r="F49" s="3">
        <f t="shared" si="0"/>
        <v>1621730</v>
      </c>
      <c r="G49" s="6">
        <f t="shared" si="3"/>
        <v>-53460</v>
      </c>
      <c r="H49" s="2">
        <f t="shared" si="1"/>
        <v>-1564695</v>
      </c>
    </row>
    <row r="50" spans="1:8" ht="14.4" x14ac:dyDescent="0.3">
      <c r="A50" s="14">
        <v>41</v>
      </c>
      <c r="B50" s="98">
        <v>43294</v>
      </c>
      <c r="C50" s="1">
        <v>1410</v>
      </c>
      <c r="D50" s="86">
        <f t="shared" si="4"/>
        <v>58445</v>
      </c>
      <c r="E50" s="1">
        <v>25524</v>
      </c>
      <c r="F50" s="3">
        <f t="shared" si="0"/>
        <v>1647254</v>
      </c>
      <c r="G50" s="6">
        <f t="shared" si="3"/>
        <v>-24114</v>
      </c>
      <c r="H50" s="2">
        <f t="shared" si="1"/>
        <v>-1588809</v>
      </c>
    </row>
    <row r="51" spans="1:8" ht="14.4" x14ac:dyDescent="0.3">
      <c r="A51" s="14">
        <v>42</v>
      </c>
      <c r="B51" s="98">
        <v>43301</v>
      </c>
      <c r="C51" s="1">
        <v>59</v>
      </c>
      <c r="D51" s="86">
        <f t="shared" si="4"/>
        <v>58504</v>
      </c>
      <c r="E51" s="1">
        <v>56667</v>
      </c>
      <c r="F51" s="3">
        <f t="shared" si="0"/>
        <v>1703921</v>
      </c>
      <c r="G51" s="6">
        <f t="shared" si="3"/>
        <v>-56608</v>
      </c>
      <c r="H51" s="2">
        <f t="shared" si="1"/>
        <v>-1645417</v>
      </c>
    </row>
    <row r="52" spans="1:8" ht="14.4" x14ac:dyDescent="0.3">
      <c r="A52" s="14">
        <v>43</v>
      </c>
      <c r="B52" s="98">
        <v>43308</v>
      </c>
      <c r="C52" s="1">
        <v>1208</v>
      </c>
      <c r="D52" s="86">
        <f t="shared" si="4"/>
        <v>59712</v>
      </c>
      <c r="E52" s="1">
        <v>21699</v>
      </c>
      <c r="F52" s="3">
        <f t="shared" si="0"/>
        <v>1725620</v>
      </c>
      <c r="G52" s="6">
        <f t="shared" si="3"/>
        <v>-20491</v>
      </c>
      <c r="H52" s="2">
        <f t="shared" si="1"/>
        <v>-1665908</v>
      </c>
    </row>
    <row r="53" spans="1:8" ht="14.4" x14ac:dyDescent="0.3">
      <c r="A53" s="14">
        <v>44</v>
      </c>
      <c r="B53" s="98">
        <v>43315</v>
      </c>
      <c r="C53" s="1">
        <v>2051</v>
      </c>
      <c r="D53" s="86">
        <f t="shared" si="4"/>
        <v>61763</v>
      </c>
      <c r="E53" s="1">
        <v>64132</v>
      </c>
      <c r="F53" s="3">
        <f t="shared" si="0"/>
        <v>1789752</v>
      </c>
      <c r="G53" s="6">
        <f t="shared" si="3"/>
        <v>-62081</v>
      </c>
      <c r="H53" s="2">
        <f t="shared" si="1"/>
        <v>-1727989</v>
      </c>
    </row>
    <row r="54" spans="1:8" ht="14.4" x14ac:dyDescent="0.3">
      <c r="A54" s="14">
        <v>45</v>
      </c>
      <c r="B54" s="98">
        <v>43322</v>
      </c>
      <c r="C54" s="1">
        <v>1332</v>
      </c>
      <c r="D54" s="86">
        <f t="shared" si="4"/>
        <v>63095</v>
      </c>
      <c r="E54" s="1">
        <v>22900</v>
      </c>
      <c r="F54" s="3">
        <f t="shared" si="0"/>
        <v>1812652</v>
      </c>
      <c r="G54" s="6">
        <f t="shared" si="3"/>
        <v>-21568</v>
      </c>
      <c r="H54" s="2">
        <f t="shared" si="1"/>
        <v>-1749557</v>
      </c>
    </row>
    <row r="55" spans="1:8" ht="14.4" x14ac:dyDescent="0.3">
      <c r="A55" s="14">
        <v>46</v>
      </c>
      <c r="B55" s="98">
        <v>43329</v>
      </c>
      <c r="C55" s="1">
        <v>3135</v>
      </c>
      <c r="D55" s="86">
        <f t="shared" si="4"/>
        <v>66230</v>
      </c>
      <c r="E55" s="1">
        <v>37529</v>
      </c>
      <c r="F55" s="3">
        <f t="shared" si="0"/>
        <v>1850181</v>
      </c>
      <c r="G55" s="6">
        <f t="shared" si="3"/>
        <v>-34394</v>
      </c>
      <c r="H55" s="2">
        <f t="shared" si="1"/>
        <v>-1783951</v>
      </c>
    </row>
    <row r="56" spans="1:8" ht="14.4" x14ac:dyDescent="0.3">
      <c r="A56" s="14">
        <v>47</v>
      </c>
      <c r="B56" s="98">
        <v>43336</v>
      </c>
      <c r="C56" s="1">
        <v>1443</v>
      </c>
      <c r="D56" s="86">
        <f t="shared" si="4"/>
        <v>67673</v>
      </c>
      <c r="E56" s="1">
        <v>48962</v>
      </c>
      <c r="F56" s="3">
        <f t="shared" si="0"/>
        <v>1899143</v>
      </c>
      <c r="G56" s="6">
        <f t="shared" si="3"/>
        <v>-47519</v>
      </c>
      <c r="H56" s="2">
        <f t="shared" si="1"/>
        <v>-1831470</v>
      </c>
    </row>
    <row r="57" spans="1:8" ht="14.4" x14ac:dyDescent="0.3">
      <c r="A57" s="14">
        <v>48</v>
      </c>
      <c r="B57" s="98">
        <v>43343</v>
      </c>
      <c r="C57" s="1">
        <v>2092</v>
      </c>
      <c r="D57" s="86">
        <f t="shared" si="4"/>
        <v>69765</v>
      </c>
      <c r="E57" s="1">
        <v>75307</v>
      </c>
      <c r="F57" s="3">
        <f t="shared" si="0"/>
        <v>1974450</v>
      </c>
      <c r="G57" s="6">
        <f t="shared" si="3"/>
        <v>-73215</v>
      </c>
      <c r="H57" s="2">
        <f t="shared" si="1"/>
        <v>-1904685</v>
      </c>
    </row>
    <row r="58" spans="1:8" ht="14.4" x14ac:dyDescent="0.3">
      <c r="A58" s="14">
        <v>49</v>
      </c>
      <c r="B58" s="98">
        <v>43350</v>
      </c>
      <c r="C58" s="1">
        <v>2438</v>
      </c>
      <c r="D58" s="86">
        <f t="shared" si="4"/>
        <v>72203</v>
      </c>
      <c r="E58" s="1">
        <v>85086</v>
      </c>
      <c r="F58" s="3">
        <f t="shared" si="0"/>
        <v>2059536</v>
      </c>
      <c r="G58" s="6">
        <f t="shared" si="3"/>
        <v>-82648</v>
      </c>
      <c r="H58" s="2">
        <f t="shared" si="1"/>
        <v>-1987333</v>
      </c>
    </row>
    <row r="59" spans="1:8" ht="14.4" x14ac:dyDescent="0.3">
      <c r="A59" s="14">
        <v>50</v>
      </c>
      <c r="B59" s="98">
        <v>43357</v>
      </c>
      <c r="C59" s="1">
        <v>1827</v>
      </c>
      <c r="D59" s="86">
        <f t="shared" si="4"/>
        <v>74030</v>
      </c>
      <c r="E59" s="1">
        <v>41299</v>
      </c>
      <c r="F59" s="3">
        <f t="shared" si="0"/>
        <v>2100835</v>
      </c>
      <c r="G59" s="6">
        <f t="shared" si="3"/>
        <v>-39472</v>
      </c>
      <c r="H59" s="2">
        <f t="shared" si="1"/>
        <v>-2026805</v>
      </c>
    </row>
    <row r="60" spans="1:8" ht="14.4" x14ac:dyDescent="0.3">
      <c r="A60" s="14">
        <v>51</v>
      </c>
      <c r="B60" s="98">
        <v>43364</v>
      </c>
      <c r="C60" s="1">
        <v>453</v>
      </c>
      <c r="D60" s="86">
        <f t="shared" si="4"/>
        <v>74483</v>
      </c>
      <c r="E60" s="1">
        <v>52951</v>
      </c>
      <c r="F60" s="3">
        <f t="shared" si="0"/>
        <v>2153786</v>
      </c>
      <c r="G60" s="6">
        <f t="shared" si="3"/>
        <v>-52498</v>
      </c>
      <c r="H60" s="2">
        <f t="shared" si="1"/>
        <v>-2079303</v>
      </c>
    </row>
    <row r="61" spans="1:8" ht="15" thickBot="1" x14ac:dyDescent="0.35">
      <c r="A61" s="14">
        <v>52</v>
      </c>
      <c r="B61" s="100">
        <v>43371</v>
      </c>
      <c r="C61" s="58">
        <v>1052</v>
      </c>
      <c r="D61" s="57">
        <f t="shared" si="4"/>
        <v>75535</v>
      </c>
      <c r="E61" s="58">
        <v>23446</v>
      </c>
      <c r="F61" s="57">
        <f t="shared" si="0"/>
        <v>2177232</v>
      </c>
      <c r="G61" s="57">
        <f t="shared" si="3"/>
        <v>-22394</v>
      </c>
      <c r="H61" s="57">
        <f t="shared" si="1"/>
        <v>-2101697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72"/>
  <sheetViews>
    <sheetView tabSelected="1" topLeftCell="A53" zoomScale="146" zoomScaleNormal="146" workbookViewId="0">
      <pane xSplit="1" topLeftCell="B1" activePane="topRight" state="frozen"/>
      <selection pane="topRight" activeCell="Y58" sqref="Y58"/>
    </sheetView>
  </sheetViews>
  <sheetFormatPr defaultRowHeight="13.2" x14ac:dyDescent="0.25"/>
  <cols>
    <col min="1" max="1" width="45.88671875" bestFit="1" customWidth="1"/>
    <col min="2" max="2" width="10" customWidth="1"/>
    <col min="3" max="3" width="10.6640625" customWidth="1"/>
    <col min="4" max="4" width="10.44140625" customWidth="1"/>
    <col min="5" max="5" width="13.21875" customWidth="1"/>
    <col min="6" max="6" width="9.5546875" hidden="1" customWidth="1"/>
    <col min="7" max="7" width="11.6640625" hidden="1" customWidth="1"/>
    <col min="8" max="8" width="10.6640625" hidden="1" customWidth="1"/>
    <col min="9" max="21" width="12" hidden="1" customWidth="1"/>
    <col min="22" max="25" width="12" customWidth="1"/>
  </cols>
  <sheetData>
    <row r="1" spans="1:5" x14ac:dyDescent="0.25">
      <c r="A1" s="4" t="s">
        <v>34</v>
      </c>
    </row>
    <row r="2" spans="1:5" x14ac:dyDescent="0.25">
      <c r="A2" s="13" t="s">
        <v>35</v>
      </c>
    </row>
    <row r="4" spans="1:5" x14ac:dyDescent="0.25">
      <c r="A4" s="4" t="s">
        <v>3</v>
      </c>
    </row>
    <row r="5" spans="1:5" x14ac:dyDescent="0.25">
      <c r="A5" s="4"/>
    </row>
    <row r="6" spans="1:5" hidden="1" x14ac:dyDescent="0.25">
      <c r="A6" t="s">
        <v>45</v>
      </c>
      <c r="B6" s="12" t="s">
        <v>67</v>
      </c>
    </row>
    <row r="7" spans="1:5" hidden="1" x14ac:dyDescent="0.25">
      <c r="A7" s="14" t="s">
        <v>30</v>
      </c>
      <c r="B7" t="s">
        <v>26</v>
      </c>
    </row>
    <row r="8" spans="1:5" hidden="1" x14ac:dyDescent="0.25">
      <c r="A8" s="14" t="s">
        <v>24</v>
      </c>
      <c r="B8" t="s">
        <v>27</v>
      </c>
    </row>
    <row r="9" spans="1:5" hidden="1" x14ac:dyDescent="0.25">
      <c r="A9" s="14" t="s">
        <v>25</v>
      </c>
      <c r="B9" t="s">
        <v>47</v>
      </c>
      <c r="E9" s="14"/>
    </row>
    <row r="10" spans="1:5" hidden="1" x14ac:dyDescent="0.25">
      <c r="A10" s="14" t="s">
        <v>48</v>
      </c>
      <c r="B10" t="s">
        <v>46</v>
      </c>
      <c r="E10" s="15"/>
    </row>
    <row r="11" spans="1:5" hidden="1" x14ac:dyDescent="0.25">
      <c r="A11" s="14" t="s">
        <v>49</v>
      </c>
      <c r="B11" t="s">
        <v>52</v>
      </c>
      <c r="E11" s="15"/>
    </row>
    <row r="12" spans="1:5" hidden="1" x14ac:dyDescent="0.25">
      <c r="A12" s="14" t="s">
        <v>51</v>
      </c>
      <c r="B12" s="14" t="s">
        <v>56</v>
      </c>
      <c r="C12" s="14"/>
      <c r="D12" s="14"/>
      <c r="E12" s="15"/>
    </row>
    <row r="13" spans="1:5" hidden="1" x14ac:dyDescent="0.25">
      <c r="A13" s="14" t="s">
        <v>57</v>
      </c>
      <c r="B13" s="14" t="s">
        <v>58</v>
      </c>
      <c r="C13" s="14"/>
      <c r="D13" s="14"/>
      <c r="E13" s="15">
        <v>40450</v>
      </c>
    </row>
    <row r="14" spans="1:5" hidden="1" x14ac:dyDescent="0.25">
      <c r="A14" t="s">
        <v>60</v>
      </c>
      <c r="B14" s="14" t="s">
        <v>61</v>
      </c>
      <c r="C14" s="14"/>
      <c r="D14" s="14"/>
      <c r="E14" s="15">
        <v>40816</v>
      </c>
    </row>
    <row r="15" spans="1:5" hidden="1" x14ac:dyDescent="0.25">
      <c r="A15" t="s">
        <v>63</v>
      </c>
      <c r="B15" s="14" t="s">
        <v>64</v>
      </c>
      <c r="C15" s="14"/>
      <c r="D15" s="14"/>
      <c r="E15" s="15">
        <v>41180</v>
      </c>
    </row>
    <row r="16" spans="1:5" hidden="1" x14ac:dyDescent="0.25">
      <c r="A16" s="12" t="s">
        <v>68</v>
      </c>
      <c r="B16" s="59" t="s">
        <v>69</v>
      </c>
      <c r="C16" s="14"/>
      <c r="D16" s="14"/>
      <c r="E16" s="61">
        <v>41544</v>
      </c>
    </row>
    <row r="17" spans="1:25" hidden="1" x14ac:dyDescent="0.25">
      <c r="A17" s="12" t="s">
        <v>71</v>
      </c>
      <c r="B17" s="59" t="s">
        <v>72</v>
      </c>
      <c r="C17" s="14"/>
      <c r="D17" s="14"/>
      <c r="E17" s="61">
        <v>41908</v>
      </c>
    </row>
    <row r="18" spans="1:25" hidden="1" x14ac:dyDescent="0.25">
      <c r="A18" s="12" t="s">
        <v>75</v>
      </c>
      <c r="B18" s="59" t="s">
        <v>80</v>
      </c>
      <c r="C18" s="14"/>
      <c r="D18" s="14"/>
      <c r="E18" s="61">
        <v>42272</v>
      </c>
    </row>
    <row r="19" spans="1:25" hidden="1" x14ac:dyDescent="0.25">
      <c r="A19" s="12" t="s">
        <v>79</v>
      </c>
      <c r="B19" s="59" t="s">
        <v>90</v>
      </c>
      <c r="C19" s="14"/>
      <c r="D19" s="14"/>
      <c r="E19" s="61">
        <v>42643</v>
      </c>
    </row>
    <row r="20" spans="1:25" hidden="1" x14ac:dyDescent="0.25">
      <c r="A20" s="106" t="s">
        <v>100</v>
      </c>
      <c r="B20" s="55" t="s">
        <v>101</v>
      </c>
      <c r="C20" s="14"/>
      <c r="D20" s="14"/>
      <c r="E20" s="99">
        <f>'Data 2022_23'!B60</f>
        <v>45191</v>
      </c>
    </row>
    <row r="21" spans="1:25" hidden="1" x14ac:dyDescent="0.25">
      <c r="A21" s="106" t="s">
        <v>102</v>
      </c>
      <c r="B21" s="55" t="s">
        <v>101</v>
      </c>
      <c r="C21" s="14"/>
      <c r="D21" s="14"/>
      <c r="E21" s="99">
        <f>'Data 2022_23'!B61</f>
        <v>45198</v>
      </c>
    </row>
    <row r="22" spans="1:25" hidden="1" x14ac:dyDescent="0.25">
      <c r="A22" s="106" t="s">
        <v>103</v>
      </c>
      <c r="B22" s="55" t="s">
        <v>104</v>
      </c>
      <c r="C22" s="14"/>
      <c r="D22" s="14"/>
      <c r="E22" s="99">
        <f>'Data 2023_24'!B60</f>
        <v>45555</v>
      </c>
    </row>
    <row r="23" spans="1:25" ht="13.8" thickBot="1" x14ac:dyDescent="0.3">
      <c r="A23" s="106" t="s">
        <v>113</v>
      </c>
      <c r="B23" s="55" t="s">
        <v>119</v>
      </c>
      <c r="C23" s="14"/>
      <c r="D23" s="14"/>
      <c r="Y23" s="99">
        <f>'Data 2025_26'!B11</f>
        <v>45940</v>
      </c>
    </row>
    <row r="24" spans="1:25" x14ac:dyDescent="0.25">
      <c r="A24" s="91" t="s">
        <v>29</v>
      </c>
      <c r="B24" s="89" t="s">
        <v>31</v>
      </c>
      <c r="C24" s="90"/>
      <c r="D24" s="124">
        <f>Y23</f>
        <v>45940</v>
      </c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5"/>
    </row>
    <row r="25" spans="1:25" s="4" customFormat="1" ht="13.8" thickBot="1" x14ac:dyDescent="0.3">
      <c r="A25" s="93" t="s">
        <v>28</v>
      </c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92"/>
      <c r="M25" s="92"/>
      <c r="N25" s="92"/>
      <c r="O25" s="94"/>
      <c r="P25" s="94"/>
      <c r="Q25" s="94"/>
      <c r="R25" s="101"/>
      <c r="S25" s="101"/>
      <c r="T25" s="101"/>
      <c r="U25" s="92"/>
      <c r="V25" s="92"/>
      <c r="W25" s="92"/>
      <c r="X25" s="92"/>
      <c r="Y25" s="101"/>
    </row>
    <row r="26" spans="1:25" ht="13.8" thickBot="1" x14ac:dyDescent="0.3">
      <c r="A26" s="80"/>
      <c r="B26" s="75" t="s">
        <v>17</v>
      </c>
      <c r="C26" s="76" t="s">
        <v>16</v>
      </c>
      <c r="D26" s="76" t="s">
        <v>19</v>
      </c>
      <c r="E26" s="77" t="s">
        <v>22</v>
      </c>
      <c r="F26" s="76" t="s">
        <v>40</v>
      </c>
      <c r="G26" s="78" t="s">
        <v>43</v>
      </c>
      <c r="H26" s="74" t="s">
        <v>50</v>
      </c>
      <c r="I26" s="79" t="s">
        <v>55</v>
      </c>
      <c r="J26" s="79" t="s">
        <v>60</v>
      </c>
      <c r="K26" s="78" t="s">
        <v>63</v>
      </c>
      <c r="L26" s="75" t="s">
        <v>68</v>
      </c>
      <c r="M26" s="74" t="s">
        <v>71</v>
      </c>
      <c r="N26" s="74" t="s">
        <v>75</v>
      </c>
      <c r="O26" s="95" t="s">
        <v>79</v>
      </c>
      <c r="P26" s="95" t="s">
        <v>81</v>
      </c>
      <c r="Q26" s="95" t="s">
        <v>84</v>
      </c>
      <c r="R26" s="95" t="s">
        <v>87</v>
      </c>
      <c r="S26" s="95" t="s">
        <v>91</v>
      </c>
      <c r="T26" s="95" t="s">
        <v>95</v>
      </c>
      <c r="U26" s="95" t="s">
        <v>100</v>
      </c>
      <c r="V26" s="95" t="s">
        <v>102</v>
      </c>
      <c r="W26" s="95" t="s">
        <v>103</v>
      </c>
      <c r="X26" s="95" t="s">
        <v>113</v>
      </c>
      <c r="Y26" s="95" t="s">
        <v>120</v>
      </c>
    </row>
    <row r="27" spans="1:25" x14ac:dyDescent="0.25">
      <c r="A27" s="26" t="s">
        <v>92</v>
      </c>
      <c r="B27" s="28"/>
      <c r="C27" s="30"/>
      <c r="D27" s="32"/>
      <c r="E27" s="30"/>
      <c r="F27" s="36"/>
      <c r="G27" s="30"/>
      <c r="H27" s="36"/>
      <c r="I27" s="34"/>
      <c r="J27" s="17"/>
      <c r="K27" s="71"/>
      <c r="L27" s="81">
        <f>288</f>
        <v>288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x14ac:dyDescent="0.25">
      <c r="A28" s="26" t="s">
        <v>107</v>
      </c>
      <c r="B28" s="107"/>
      <c r="C28" s="30"/>
      <c r="D28" s="36"/>
      <c r="E28" s="30"/>
      <c r="F28" s="36"/>
      <c r="G28" s="30"/>
      <c r="H28" s="36"/>
      <c r="I28" s="34"/>
      <c r="J28" s="17"/>
      <c r="K28" s="71"/>
      <c r="L28" s="81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>
        <f>13334+19107</f>
        <v>32441</v>
      </c>
      <c r="X28" s="36"/>
      <c r="Y28" s="36"/>
    </row>
    <row r="29" spans="1:25" x14ac:dyDescent="0.25">
      <c r="A29" s="27" t="s">
        <v>11</v>
      </c>
      <c r="B29" s="29"/>
      <c r="C29" s="31"/>
      <c r="D29" s="33"/>
      <c r="E29" s="31"/>
      <c r="F29" s="33"/>
      <c r="G29" s="31"/>
      <c r="H29" s="33"/>
      <c r="I29" s="35"/>
      <c r="J29" s="19"/>
      <c r="K29" s="72"/>
      <c r="L29" s="82">
        <f>106+278</f>
        <v>384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5">
      <c r="A30" s="27" t="s">
        <v>4</v>
      </c>
      <c r="B30" s="29" t="s">
        <v>0</v>
      </c>
      <c r="C30" s="31">
        <f>383710+11574+18145</f>
        <v>413429</v>
      </c>
      <c r="D30" s="33">
        <f>23707+11660+16810+22498+18515+20763+8366+6437+17854+27033+5767+960+104177</f>
        <v>284547</v>
      </c>
      <c r="E30" s="31">
        <f>7158+6302+1385+23292+1074+8500+7888+7087+17536+25000+11750</f>
        <v>116972</v>
      </c>
      <c r="F30" s="62">
        <f>30695+20109+9297+24369+23267+15469+10019+13945+12000+14465+17199+3688+10055+4998+8777+5433+5910+6571</f>
        <v>236266</v>
      </c>
      <c r="G30" s="31">
        <f>6975+517+17523+9977+24648+15873+4756+11888+17368+32282+16100+27193+11610+15165+13045+77466+11127+12100+16418+31906+30465-926</f>
        <v>403476</v>
      </c>
      <c r="H30" s="33">
        <f>26607+23467+36337+22435</f>
        <v>108846</v>
      </c>
      <c r="I30" s="35">
        <f>17068+4193+3945+23081+26992+17014+6044+3110+4942+27000+31941</f>
        <v>165330</v>
      </c>
      <c r="J30" s="19">
        <f>29836+4292+11816+10000+17553+5701+6358+37587+10000+30908+12216+18751+28983+16500+10000+21077+7395+13511+12039+43857+5920+7954+51190+11681+42334+8545+8807+10000+3054+18456+7500+8572+53907</f>
        <v>586300</v>
      </c>
      <c r="K30" s="72">
        <f>19464+601+6205+12620+15684+58341</f>
        <v>112915</v>
      </c>
      <c r="L30" s="82">
        <f>22942+5289+7758+6583</f>
        <v>42572</v>
      </c>
      <c r="M30" s="33">
        <f>10417+7985+13274+507+10495+7258+3526+6307</f>
        <v>59769</v>
      </c>
      <c r="N30" s="33">
        <f>6501+9025+10253+2532</f>
        <v>28311</v>
      </c>
      <c r="O30" s="33">
        <f>20069+11405+36055+19966+13907+23284+10687+6868+920+8799+12089+6599+7259</f>
        <v>177907</v>
      </c>
      <c r="P30" s="33">
        <f>29767+6099+7192+5900+5861+94+6028</f>
        <v>60941</v>
      </c>
      <c r="Q30" s="33">
        <f>8817+7710+6804+9209+296+29102+2223+22871</f>
        <v>87032</v>
      </c>
      <c r="R30" s="33">
        <f>17996+3926+12234+6320+37042+49647+5007+7955</f>
        <v>140127</v>
      </c>
      <c r="S30" s="33">
        <f>4834+8499+12319+14707+8968+8764</f>
        <v>58091</v>
      </c>
      <c r="T30" s="33">
        <f>10992+6374+4536+12972</f>
        <v>34874</v>
      </c>
      <c r="U30" s="33">
        <f>22001+10332</f>
        <v>32333</v>
      </c>
      <c r="V30" s="33">
        <f>7663+10884</f>
        <v>18547</v>
      </c>
      <c r="W30" s="36">
        <f>13192+10865</f>
        <v>24057</v>
      </c>
      <c r="X30" s="36">
        <f>25392+33755+240+32359+40375+23180+4300+6704</f>
        <v>166305</v>
      </c>
      <c r="Y30" s="36">
        <f>18011</f>
        <v>18011</v>
      </c>
    </row>
    <row r="31" spans="1:25" x14ac:dyDescent="0.25">
      <c r="A31" s="27" t="s">
        <v>21</v>
      </c>
      <c r="B31" s="29"/>
      <c r="C31" s="31"/>
      <c r="D31" s="33">
        <f>24250+10120</f>
        <v>34370</v>
      </c>
      <c r="E31" s="31">
        <f>19957+4969+10567+23879</f>
        <v>59372</v>
      </c>
      <c r="F31" s="33">
        <f>29005+10671+9376+13678+32660+27857+31572</f>
        <v>154819</v>
      </c>
      <c r="G31" s="31">
        <f>27997+9703+20683+2547+24672+26711+26930+4759+6014+10618+24749+7321+381</f>
        <v>193085</v>
      </c>
      <c r="H31" s="33">
        <f>20262+18184+13178+3207</f>
        <v>54831</v>
      </c>
      <c r="I31" s="35">
        <f>12561+33000+27350</f>
        <v>72911</v>
      </c>
      <c r="J31" s="19">
        <f>32850+8621+29004+3352+5870</f>
        <v>79697</v>
      </c>
      <c r="K31" s="72">
        <f>2988+42264</f>
        <v>45252</v>
      </c>
      <c r="L31" s="82">
        <f>13402+16500+18681</f>
        <v>48583</v>
      </c>
      <c r="M31" s="33">
        <f>16155+6502+21750+42348+6231+20107</f>
        <v>113093</v>
      </c>
      <c r="N31" s="33">
        <f>7644+8704+34793+3001+25666+945+24056+1712</f>
        <v>106521</v>
      </c>
      <c r="O31" s="33">
        <f>5500+24568+15868+2903+29827+24150</f>
        <v>102816</v>
      </c>
      <c r="P31" s="33">
        <f>7743+5948+7146+7004</f>
        <v>27841</v>
      </c>
      <c r="Q31" s="33">
        <f>37529+9986+8004+35175</f>
        <v>90694</v>
      </c>
      <c r="R31" s="33">
        <f>6734+8431+1320+20627+13258+15972+6449+12557</f>
        <v>85348</v>
      </c>
      <c r="S31" s="33">
        <f>4468+10070+19892+16570</f>
        <v>51000</v>
      </c>
      <c r="T31" s="33">
        <f>12207+8663+34120+8700+10092+8615+6625+3400+24526+11605+7910</f>
        <v>136463</v>
      </c>
      <c r="U31" s="33"/>
      <c r="V31" s="33"/>
      <c r="W31" s="33">
        <f>4300</f>
        <v>4300</v>
      </c>
      <c r="X31" s="33">
        <f>24793+27618+29360+30988+3151+19966</f>
        <v>135876</v>
      </c>
      <c r="Y31" s="33"/>
    </row>
    <row r="32" spans="1:25" x14ac:dyDescent="0.25">
      <c r="A32" s="27" t="s">
        <v>8</v>
      </c>
      <c r="B32" s="29" t="s">
        <v>0</v>
      </c>
      <c r="C32" s="31">
        <v>12199</v>
      </c>
      <c r="D32" s="33">
        <f>14413+10506+2271+18723+3110+11793+22061+3641+850+26432</f>
        <v>113800</v>
      </c>
      <c r="E32" s="31">
        <f>1182+422+42143+2324+9006+34350+4991+13915+10598+9709+26155+10762+29807+5001+16111+5514+10859+13682+10047+4799+8798+6513+8244+2758+12144+11929+16850+3143+23412</f>
        <v>355168</v>
      </c>
      <c r="F32" s="33">
        <f>26624+21955+9497+4013+18560</f>
        <v>80649</v>
      </c>
      <c r="G32" s="31">
        <f>43623+13604+20980+13228+14560+5018</f>
        <v>111013</v>
      </c>
      <c r="H32" s="33">
        <f>6275+28993+34852+10270+3295+16707+30167+9300+7338+9339+6963+8888+19851+19160+17574+15323+809+7001+1426+12500+18997+5003+44564+27267+13306+418+26383+9558+11581+9361+5088+20798+15135+29083+12016</f>
        <v>514589</v>
      </c>
      <c r="I32" s="35">
        <f>9681+17069+17949+15001+9154+39504+6136+24+19091+15141+15000+19350+14996+14599+48458+16027+10028+6777+17497+4917+30329+18230+18689+12152+9757+12000+14004+15620+13436+7661+11118+5663+7458+2550+17450+1325+14016+9546+2798+7500+61493+35215+8385+11000+41721+13981+26647+13000+12630+9500+6219+14849+20008</f>
        <v>822349</v>
      </c>
      <c r="J32" s="19">
        <f>8462+4499+13500+8863+8080+10000+3865+31329</f>
        <v>88598</v>
      </c>
      <c r="K32" s="72">
        <f>66657+4809+34498</f>
        <v>105964</v>
      </c>
      <c r="L32" s="82">
        <f>35028+7939+1797+9715+33755+7242</f>
        <v>95476</v>
      </c>
      <c r="M32" s="33">
        <f>56443+13231+2841+10649+18299+38245+24562+13869</f>
        <v>178139</v>
      </c>
      <c r="N32" s="33">
        <f>33450+5586+7870+41872+4422+43953+30880+41634+26219+12779+24827+33477+22181+11964+12930+1219</f>
        <v>355263</v>
      </c>
      <c r="O32" s="33">
        <f>7173+27357+22125+11893+27130+8009+40817+44545+11918+22081+15304+43272+1827</f>
        <v>283451</v>
      </c>
      <c r="P32" s="33">
        <f>2000+26007+11408+6795+32900+7888+1776+17045+29807+26337+10461+25696+15900+23444</f>
        <v>237464</v>
      </c>
      <c r="Q32" s="33">
        <f>19852+39789+50778+1538+10343+14886+10948+13755+48182+59376+12865</f>
        <v>282312</v>
      </c>
      <c r="R32" s="33">
        <f>33616+2890+5911+1501+48513+21196+63650+12127+26967+1336+30334+15559+52335+23574+5668</f>
        <v>345177</v>
      </c>
      <c r="S32" s="33">
        <f>7842+13495+40663+34823+13678+21575+25140+10446+14085+7725+18350+21899+23906+17753+3165</f>
        <v>274545</v>
      </c>
      <c r="T32" s="33">
        <f>33854+17607</f>
        <v>51461</v>
      </c>
      <c r="U32" s="33"/>
      <c r="V32" s="33">
        <f>47917+25382+7185+19797+17168</f>
        <v>117449</v>
      </c>
      <c r="W32" s="33"/>
      <c r="X32" s="33">
        <f>1396+18507+8025+23509</f>
        <v>51437</v>
      </c>
      <c r="Y32" s="33"/>
    </row>
    <row r="33" spans="1:25" x14ac:dyDescent="0.25">
      <c r="A33" s="27" t="s">
        <v>65</v>
      </c>
      <c r="B33" s="29"/>
      <c r="C33" s="31"/>
      <c r="D33" s="33"/>
      <c r="E33" s="31"/>
      <c r="F33" s="33"/>
      <c r="G33" s="31"/>
      <c r="H33" s="33">
        <f>5000+8013</f>
        <v>13013</v>
      </c>
      <c r="I33" s="35"/>
      <c r="J33" s="19"/>
      <c r="K33" s="72">
        <f>24133+9633+15919+6797+26440+2738+47261+16150</f>
        <v>149071</v>
      </c>
      <c r="L33" s="82">
        <f>25501+39215+6889+31512+4736+30417+10022+26462+41146</f>
        <v>215900</v>
      </c>
      <c r="M33" s="33">
        <f>9245+38320+43020+10739+34520+53977+24569+40828+48683+89614+31105+17807+2439+23975+20568+21689+21723+3072+106245+30818+23148+24947+24607+33656+15295</f>
        <v>794609</v>
      </c>
      <c r="N33" s="33">
        <f>62854+40562+59490+7585+28712+45900+20173+59569+15864+10759+33670+17940+19686+13496+38202+5090+28204+29726+14713+38096+62485+15062</f>
        <v>667838</v>
      </c>
      <c r="O33" s="33">
        <f>51141+47960+29825+57439+34089+47563+20488+67796+38848+24795+16572+45994+2313+12460+19901+13982+5602+73341+21956+901+15026+4909+435+36649+51310+106455+73969+9625</f>
        <v>931344</v>
      </c>
      <c r="P33" s="33">
        <f>25552+14569+40517+2013+30722+16501+9000+4721+584+11967+24915+1900</f>
        <v>182961</v>
      </c>
      <c r="Q33" s="33">
        <f>23446+52951+41299+85086+75307+48962+22900+26983+5629+25524+56011+27541+39847+50794+27479+16880+38109+31083+20485+46164+32641+721+13458+99555+48927</f>
        <v>957782</v>
      </c>
      <c r="R33" s="33">
        <f>56567+68651+50699+22114+25775+6520+30927+31249+11992+764+148+24969+44918+60+5115+16161+239+4656</f>
        <v>401524</v>
      </c>
      <c r="S33" s="33">
        <f>87580+46145+36563+49457+9022+3550+21887+10494+46954+43004+16287+15996+23517+24151+33525+8917+35337+9935</f>
        <v>522321</v>
      </c>
      <c r="T33" s="33">
        <f>42342+26554+2571+7688+41599+11340+22551+18169+6552+11474+14073</f>
        <v>204913</v>
      </c>
      <c r="U33" s="33"/>
      <c r="V33" s="33">
        <f>24678+16783+19151+1878+25756+36322+3692+43201+3395+25735+9797+34539+19754</f>
        <v>264681</v>
      </c>
      <c r="W33" s="33">
        <f>50402+19464+19017+37254+67590+36887+25802+34381+27113+17946+27637+52479+3233+39767+2435+35554+12773+25211+7789</f>
        <v>542734</v>
      </c>
      <c r="X33" s="33">
        <f>44230+3276+20901+5010+10897+35+326+221+542+109+1317+26886+25560+6415+10985+22160+17316+25607+51127+44186+32233+24310+26349+44099</f>
        <v>444097</v>
      </c>
      <c r="Y33" s="33"/>
    </row>
    <row r="34" spans="1:25" x14ac:dyDescent="0.25">
      <c r="A34" s="27" t="s">
        <v>62</v>
      </c>
      <c r="B34" s="29"/>
      <c r="C34" s="31"/>
      <c r="D34" s="33"/>
      <c r="E34" s="31"/>
      <c r="F34" s="33"/>
      <c r="G34" s="31"/>
      <c r="H34" s="33"/>
      <c r="I34" s="35"/>
      <c r="J34" s="19">
        <f>9218+16031</f>
        <v>25249</v>
      </c>
      <c r="K34" s="72">
        <f>26566+7720+10964</f>
        <v>45250</v>
      </c>
      <c r="L34" s="82">
        <f>14054+12007+16524+9935+19621+4171+10721+12000</f>
        <v>99033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x14ac:dyDescent="0.25">
      <c r="A35" s="27" t="s">
        <v>5</v>
      </c>
      <c r="B35" s="29" t="s">
        <v>0</v>
      </c>
      <c r="C35" s="31">
        <f>199845+28450+22906+2295+10139</f>
        <v>263635</v>
      </c>
      <c r="D35" s="33">
        <f>5493+6391+6116+6082+15056+10215+3558+20939+15133+20681+14386+3500+20762+18353+20190+10544+10949+6537+44240+37479+38680+6232+46416+9697+27776+137668-3576+1056+12525+2076</f>
        <v>575154</v>
      </c>
      <c r="E35" s="31">
        <f>18000+14806+5060+4744+20216+7000+6945+12061+19832+36895+6976+20391+9750+19195+10979+7805+9255+22854+3917+8133+2514+11877+32802+8559+5213+12170+19341+4551+2028+8573+16460</f>
        <v>388902</v>
      </c>
      <c r="F35" s="33">
        <f>11144+5482+2134+7617+17247+26014+4998+7054+4546+27570+11706+12700+8448+7279+4596+10949+6300+4493+11125+4255+15454+4723+9732+12970+16850+12963+7002+11988+23185</f>
        <v>310524</v>
      </c>
      <c r="G35" s="31">
        <f>652+31500+13743+3136+17507+30577+18072+9754+17078+4253+25264+10993+7395+11987+12318+1902+11346+1946+6000+8395+14250+9241+16581+26000+10275+25789+11477+11326+3066+14390+11496+17202+25164+9000+15045+5268+1727+15431+10949+12401+23140+30277+18322+7183+27450+49793+11914+545</f>
        <v>678520</v>
      </c>
      <c r="H35" s="33">
        <f>5156+10508+29738+8207+13815+9136+9730+7224+4645+10189+10015+6359+19536+20134+882+9930+30000+6000+10705+12245+17046+32074+15531+33672+12529+6956+3339+19216</f>
        <v>374517</v>
      </c>
      <c r="I35" s="35"/>
      <c r="J35" s="19">
        <f>18123+31308+15208+8012+21750+37154+20783+6440+8255+26500+23360+6807+44046+43257+10000+19838+72838+36819+10000+26634+27250+40232+22731+10000+10805+7833+9603+2419</f>
        <v>618005</v>
      </c>
      <c r="K35" s="72">
        <f>18447+29324+3723+8502+48094+29548+29633+22246+9055+41958+18420+24047+39613+20575+29704+12000+4990+20688+5167+13853+16994+30416+9332+21814+54804+58537+7976+22508</f>
        <v>651968</v>
      </c>
      <c r="L35" s="82">
        <f>10685+14965+24369+8867+4041+17959+8004+9139</f>
        <v>98029</v>
      </c>
      <c r="M35" s="33"/>
      <c r="N35" s="33">
        <f>38442+20545</f>
        <v>58987</v>
      </c>
      <c r="O35" s="33">
        <f>9405+8665+9936+18116+3394</f>
        <v>49516</v>
      </c>
      <c r="P35" s="33">
        <f>17999+17614</f>
        <v>35613</v>
      </c>
      <c r="Q35" s="33">
        <f>10088+28465+2135+535+10611+14280+44561+10007+10037+1714</f>
        <v>132433</v>
      </c>
      <c r="R35" s="33">
        <f>21760+11688+2071</f>
        <v>35519</v>
      </c>
      <c r="S35" s="33"/>
      <c r="T35" s="33"/>
      <c r="U35" s="33">
        <f>9892+5187+1731+25734+8582+26559+1871+8124+30000+21795+28043+53457+16668+28948+24237+8010</f>
        <v>298838</v>
      </c>
      <c r="V35" s="33">
        <f>32535+1184</f>
        <v>33719</v>
      </c>
      <c r="W35" s="33">
        <f>3899</f>
        <v>3899</v>
      </c>
      <c r="X35" s="33">
        <f>27404</f>
        <v>27404</v>
      </c>
      <c r="Y35" s="33"/>
    </row>
    <row r="36" spans="1:25" x14ac:dyDescent="0.25">
      <c r="A36" s="27" t="s">
        <v>6</v>
      </c>
      <c r="B36" s="29" t="s">
        <v>0</v>
      </c>
      <c r="C36" s="31">
        <f>272711+25793</f>
        <v>298504</v>
      </c>
      <c r="D36" s="33">
        <f>24482+22680+2305+27463+27404+49778</f>
        <v>154112</v>
      </c>
      <c r="E36" s="31">
        <f>16062+1348+12938+29579</f>
        <v>59927</v>
      </c>
      <c r="F36" s="33"/>
      <c r="G36" s="31"/>
      <c r="H36" s="33">
        <f>12969+364+12320+32960+16101</f>
        <v>74714</v>
      </c>
      <c r="I36" s="35">
        <f>10866+19297+23776</f>
        <v>53939</v>
      </c>
      <c r="J36" s="19">
        <f>28424+2576+15671+44761+8200+28807+12016+4993+23323+4561+20321</f>
        <v>193653</v>
      </c>
      <c r="K36" s="72">
        <f>17917+12965+13209+14438+15395+7848+16514+6582+30000+49327+10660+331+11452+7865+3135+30037</f>
        <v>247675</v>
      </c>
      <c r="L36" s="82">
        <f>14974+11347+5089+18493+5808+3246+34211+21281+11808+13582+18163+665+20477+1282+9499</f>
        <v>189925</v>
      </c>
      <c r="M36" s="33">
        <f>24819+4764+21012</f>
        <v>50595</v>
      </c>
      <c r="N36" s="33">
        <f>26869+12013+5500+36406+17404</f>
        <v>98192</v>
      </c>
      <c r="O36" s="33">
        <f>16193+22252</f>
        <v>38445</v>
      </c>
      <c r="P36" s="33">
        <f>3850+3925+16904</f>
        <v>24679</v>
      </c>
      <c r="Q36" s="33"/>
      <c r="R36" s="33"/>
      <c r="S36" s="33"/>
      <c r="T36" s="33">
        <f>39698+9027+7568+41011+78248+29446+5996+32105+26096+72+7018+2985+102433+43757+33140</f>
        <v>458600</v>
      </c>
      <c r="U36" s="33">
        <f>62186+50870+30977+7207+6171+38653+1963+22494+7200+5851+9397+30410+18284+20377+3193</f>
        <v>315233</v>
      </c>
      <c r="V36" s="33">
        <f>2361+4276+4059+30381+53759+2427+1740+4825+42020+30740+21482+2692+29236+8495+7330+16275</f>
        <v>262098</v>
      </c>
      <c r="W36" s="33">
        <f>18113+23706+40144+24663+56350+30090+4203+19864+7898+6004+23396+33138+21766+5972+14695+19535+43399</f>
        <v>392936</v>
      </c>
      <c r="X36" s="33">
        <f>9332+27626+16781+23321+38441+1850+11624+25241+9603+67548+21655+3306+57104+26194+5617+23319+3382+4420+51480+39974+27707+19062+5946+3912+11571+17981+2560</f>
        <v>556557</v>
      </c>
      <c r="Y36" s="33">
        <f>10632</f>
        <v>10632</v>
      </c>
    </row>
    <row r="37" spans="1:25" x14ac:dyDescent="0.25">
      <c r="A37" s="27" t="s">
        <v>23</v>
      </c>
      <c r="B37" s="29"/>
      <c r="C37" s="31"/>
      <c r="D37" s="33">
        <v>29935</v>
      </c>
      <c r="E37" s="31">
        <f>25225+7523+18400+21575+13256</f>
        <v>85979</v>
      </c>
      <c r="F37" s="33"/>
      <c r="G37" s="31"/>
      <c r="H37" s="33">
        <f>13521</f>
        <v>13521</v>
      </c>
      <c r="I37" s="35">
        <f>24541+14508+2181</f>
        <v>41230</v>
      </c>
      <c r="J37" s="19"/>
      <c r="K37" s="72">
        <f>20023+4653+14340</f>
        <v>39016</v>
      </c>
      <c r="L37" s="82">
        <f>17812+40053+53647+34072+7850+2121+23948+13570+13222+7442+3136+27174+15010+20175+7181+25810+29753</f>
        <v>341976</v>
      </c>
      <c r="M37" s="33">
        <f>43740+47120+23889+4292+45057+25284+7059+32259+44321+42684+42647+14079</f>
        <v>372431</v>
      </c>
      <c r="N37" s="33">
        <f>5808+10719+12250+31201+34256+12094+30654+6054+31445+15754+29623+9922+36905+7036</f>
        <v>273721</v>
      </c>
      <c r="O37" s="33">
        <f>33272+14949+21474+3588+2195+27838+6034</f>
        <v>109350</v>
      </c>
      <c r="P37" s="33">
        <f>10896</f>
        <v>10896</v>
      </c>
      <c r="Q37" s="33">
        <f>11332+28991+15082+35376+10122+34766</f>
        <v>135669</v>
      </c>
      <c r="R37" s="33">
        <f>28193+16588+5098</f>
        <v>49879</v>
      </c>
      <c r="S37" s="33">
        <f>30707+43566+9633</f>
        <v>83906</v>
      </c>
      <c r="T37" s="33">
        <f>3917+3424</f>
        <v>7341</v>
      </c>
      <c r="U37" s="33"/>
      <c r="V37" s="33"/>
      <c r="W37" s="33"/>
      <c r="X37" s="33"/>
      <c r="Y37" s="33"/>
    </row>
    <row r="38" spans="1:25" x14ac:dyDescent="0.25">
      <c r="A38" s="27" t="s">
        <v>54</v>
      </c>
      <c r="B38" s="29"/>
      <c r="C38" s="31"/>
      <c r="D38" s="33"/>
      <c r="E38" s="31"/>
      <c r="F38" s="33"/>
      <c r="G38" s="31"/>
      <c r="H38" s="33">
        <f>27116+17250</f>
        <v>44366</v>
      </c>
      <c r="I38" s="35">
        <f>26784+26327+35741+12957+22135</f>
        <v>123944</v>
      </c>
      <c r="J38" s="19">
        <f>29951+28600</f>
        <v>58551</v>
      </c>
      <c r="K38" s="72">
        <f>23638+16435+3499+27431+15102+19169+6505+35151+6442+3359+30958+8892+16808+63031</f>
        <v>276420</v>
      </c>
      <c r="L38" s="82">
        <f>24026+11006+10404+56680+6343+7620+5800+45330+37904+8321+11310+9989</f>
        <v>234733</v>
      </c>
      <c r="M38" s="33"/>
      <c r="N38" s="33"/>
      <c r="O38" s="33"/>
      <c r="P38" s="33"/>
      <c r="Q38" s="33"/>
      <c r="R38" s="33"/>
      <c r="S38" s="33"/>
      <c r="T38" s="33"/>
      <c r="U38" s="33">
        <f>37337+47422+8268+30325+14591+38107+66589</f>
        <v>242639</v>
      </c>
      <c r="V38" s="33">
        <f>35899+15660+44340+27261+12673</f>
        <v>135833</v>
      </c>
      <c r="W38" s="33"/>
      <c r="X38" s="33"/>
      <c r="Y38" s="33"/>
    </row>
    <row r="39" spans="1:25" ht="13.5" customHeight="1" x14ac:dyDescent="0.25">
      <c r="A39" s="27" t="s">
        <v>7</v>
      </c>
      <c r="B39" s="29" t="s">
        <v>0</v>
      </c>
      <c r="C39" s="31">
        <v>22420</v>
      </c>
      <c r="D39" s="33">
        <v>27586</v>
      </c>
      <c r="E39" s="31"/>
      <c r="F39" s="33"/>
      <c r="G39" s="31"/>
      <c r="H39" s="33"/>
      <c r="I39" s="35"/>
      <c r="J39" s="19"/>
      <c r="K39" s="72"/>
      <c r="L39" s="8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13.5" customHeight="1" x14ac:dyDescent="0.25">
      <c r="A40" s="37" t="s">
        <v>73</v>
      </c>
      <c r="B40" s="38"/>
      <c r="C40" s="39"/>
      <c r="D40" s="40"/>
      <c r="E40" s="39"/>
      <c r="F40" s="40"/>
      <c r="G40" s="39"/>
      <c r="H40" s="40"/>
      <c r="I40" s="41"/>
      <c r="J40" s="42"/>
      <c r="K40" s="73"/>
      <c r="L40" s="83"/>
      <c r="M40" s="33">
        <v>25430</v>
      </c>
      <c r="N40" s="33"/>
      <c r="O40" s="33"/>
      <c r="P40" s="33"/>
      <c r="Q40" s="33"/>
      <c r="R40" s="33"/>
      <c r="S40" s="33">
        <f>21860</f>
        <v>21860</v>
      </c>
      <c r="T40" s="33"/>
      <c r="U40" s="33"/>
      <c r="V40" s="33"/>
      <c r="W40" s="33"/>
      <c r="X40" s="33"/>
      <c r="Y40" s="33"/>
    </row>
    <row r="41" spans="1:25" x14ac:dyDescent="0.25">
      <c r="A41" s="37" t="s">
        <v>18</v>
      </c>
      <c r="B41" s="38" t="s">
        <v>0</v>
      </c>
      <c r="C41" s="39">
        <v>25016</v>
      </c>
      <c r="D41" s="40">
        <v>0</v>
      </c>
      <c r="E41" s="39">
        <f>9920</f>
        <v>9920</v>
      </c>
      <c r="F41" s="40"/>
      <c r="G41" s="39"/>
      <c r="H41" s="40"/>
      <c r="I41" s="41"/>
      <c r="J41" s="42"/>
      <c r="K41" s="73"/>
      <c r="L41" s="8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x14ac:dyDescent="0.25">
      <c r="A42" s="37" t="s">
        <v>74</v>
      </c>
      <c r="B42" s="38"/>
      <c r="C42" s="39"/>
      <c r="D42" s="40"/>
      <c r="E42" s="39"/>
      <c r="F42" s="40"/>
      <c r="G42" s="39"/>
      <c r="H42" s="40"/>
      <c r="I42" s="41"/>
      <c r="J42" s="42"/>
      <c r="K42" s="73"/>
      <c r="L42" s="83"/>
      <c r="M42" s="33">
        <f>10002+12012</f>
        <v>22014</v>
      </c>
      <c r="N42" s="33">
        <f>7941+11133+29926+12005</f>
        <v>61005</v>
      </c>
      <c r="O42" s="33"/>
      <c r="P42" s="33">
        <f>16905</f>
        <v>16905</v>
      </c>
      <c r="Q42" s="33">
        <f>10780+21627+14478+35988+6469+50665</f>
        <v>140007</v>
      </c>
      <c r="R42" s="33">
        <f>39290</f>
        <v>39290</v>
      </c>
      <c r="S42" s="33">
        <f>15393+17251+5956+16203</f>
        <v>54803</v>
      </c>
      <c r="T42" s="33">
        <f>5445+25261+2803+33784+9887+3532</f>
        <v>80712</v>
      </c>
      <c r="U42" s="33">
        <f>9029+11981+17225+3879+5277</f>
        <v>47391</v>
      </c>
      <c r="V42" s="33">
        <f>17832+4075+52930+1995</f>
        <v>76832</v>
      </c>
      <c r="W42" s="33">
        <f>8427+30087+20172+29519+22447+12257+14699</f>
        <v>137608</v>
      </c>
      <c r="X42" s="33">
        <f>23405+5371+18625+6140+15624+14513</f>
        <v>83678</v>
      </c>
      <c r="Y42" s="33"/>
    </row>
    <row r="43" spans="1:25" x14ac:dyDescent="0.25">
      <c r="A43" s="37" t="s">
        <v>59</v>
      </c>
      <c r="B43" s="38"/>
      <c r="C43" s="39"/>
      <c r="D43" s="40"/>
      <c r="E43" s="39"/>
      <c r="F43" s="40"/>
      <c r="G43" s="39"/>
      <c r="H43" s="40"/>
      <c r="I43" s="41">
        <f>3526</f>
        <v>3526</v>
      </c>
      <c r="J43" s="42"/>
      <c r="K43" s="73">
        <f>8880</f>
        <v>8880</v>
      </c>
      <c r="L43" s="83"/>
      <c r="M43" s="33">
        <f>20795+19737</f>
        <v>40532</v>
      </c>
      <c r="N43" s="33">
        <f>28798+6675+8318</f>
        <v>43791</v>
      </c>
      <c r="O43" s="33">
        <f>14937+23339+21136+45628+985+18880+9408+16701</f>
        <v>151014</v>
      </c>
      <c r="P43" s="33"/>
      <c r="Q43" s="33">
        <f>15268+6596+29657+38902+8139+35484+11031+4873+34486</f>
        <v>184436</v>
      </c>
      <c r="R43" s="33">
        <f>14000+30722+11769+5018+5000+4361+24540+28723</f>
        <v>124133</v>
      </c>
      <c r="S43" s="33">
        <f>12208+13713+4761+42508+7467+21632+1564+29646+4+20425+7722+41006</f>
        <v>202656</v>
      </c>
      <c r="T43" s="33">
        <f>20276+16171+15513+20171+3771+35893+19081+1694+1339+21377+18868+27816+11011+37976+18472</f>
        <v>269429</v>
      </c>
      <c r="U43" s="33">
        <f>11054+8961+17474+1614+14291+11527+39190+48814+44848+3034+78966+4370</f>
        <v>284143</v>
      </c>
      <c r="V43" s="33">
        <f>10125+10858+20032+41891+2373+47165+3452+11609+5988+6837+4123+29778+20585+9272+8813</f>
        <v>232901</v>
      </c>
      <c r="W43" s="33">
        <f>15891+4999+8782+13614+25712+20203+9026+20000+17249+4830+15000+18299+19088+3943+19570+9003+22282+36209+17715+23993+34956+11787+12324</f>
        <v>384475</v>
      </c>
      <c r="X43" s="33">
        <f>3327+13846+15372+25325+31284+39536+5384+54967+5296</f>
        <v>194337</v>
      </c>
      <c r="Y43" s="33">
        <f>8800</f>
        <v>8800</v>
      </c>
    </row>
    <row r="44" spans="1:25" x14ac:dyDescent="0.25">
      <c r="A44" s="37" t="s">
        <v>76</v>
      </c>
      <c r="B44" s="38"/>
      <c r="C44" s="39"/>
      <c r="D44" s="40"/>
      <c r="E44" s="39"/>
      <c r="F44" s="40"/>
      <c r="G44" s="39"/>
      <c r="H44" s="40"/>
      <c r="I44" s="41"/>
      <c r="J44" s="42"/>
      <c r="K44" s="73"/>
      <c r="L44" s="83"/>
      <c r="M44" s="40"/>
      <c r="N44" s="40">
        <f>38816+11342+2678+38647</f>
        <v>91483</v>
      </c>
      <c r="O44" s="40">
        <f>30625+15752+21000+49361+2003+18005+48290</f>
        <v>185036</v>
      </c>
      <c r="P44" s="40">
        <f>15872+28534+9895+22604</f>
        <v>76905</v>
      </c>
      <c r="Q44" s="40">
        <f>8819+8695</f>
        <v>17514</v>
      </c>
      <c r="R44" s="40">
        <f>20367+4631</f>
        <v>24998</v>
      </c>
      <c r="S44" s="40">
        <f>9798+13524+26460+41488+28366+52032+78720+56622+85061+39605+16150+22207+34774+16130+15383+7014</f>
        <v>543334</v>
      </c>
      <c r="T44" s="40">
        <f>20559+23862+35897+12684+9646+32077+25973+57291+5055</f>
        <v>223044</v>
      </c>
      <c r="U44" s="40">
        <f>22323+9008+15978+7287+37973+10031+29014+30053+18514</f>
        <v>180181</v>
      </c>
      <c r="V44" s="40">
        <f>20790+26708+6307+20841+7315+6803+13926+42517+14604+40886+48330+36054+18870+5000+2952+6859+38890+6007+46700+5290+43520+10424+39003+7850</f>
        <v>516446</v>
      </c>
      <c r="W44" s="40">
        <f>8506+9449+6603+16020+16225+42646+12002+28180+26148+12099+31761+19822+12760+41093+33039+57794</f>
        <v>374147</v>
      </c>
      <c r="X44" s="40">
        <f>44340+6733+16277+19975+5001</f>
        <v>92326</v>
      </c>
      <c r="Y44" s="40">
        <f>54332+930</f>
        <v>55262</v>
      </c>
    </row>
    <row r="45" spans="1:25" x14ac:dyDescent="0.25">
      <c r="A45" s="37" t="s">
        <v>83</v>
      </c>
      <c r="B45" s="38"/>
      <c r="C45" s="39"/>
      <c r="D45" s="40"/>
      <c r="E45" s="39"/>
      <c r="F45" s="40"/>
      <c r="G45" s="39"/>
      <c r="H45" s="40"/>
      <c r="I45" s="41"/>
      <c r="J45" s="42"/>
      <c r="K45" s="73"/>
      <c r="L45" s="83"/>
      <c r="M45" s="40"/>
      <c r="N45" s="40"/>
      <c r="O45" s="40"/>
      <c r="P45" s="40">
        <f>6098+11148+32451+903+13473+30928+23269+25976</f>
        <v>144246</v>
      </c>
      <c r="Q45" s="40">
        <f>18346+13695+15863</f>
        <v>47904</v>
      </c>
      <c r="R45" s="40">
        <f>35870+34525+12809+4888+22544</f>
        <v>110636</v>
      </c>
      <c r="S45" s="40">
        <f>39939+12426</f>
        <v>52365</v>
      </c>
      <c r="T45" s="40">
        <f>6810+2155</f>
        <v>8965</v>
      </c>
      <c r="U45" s="40"/>
      <c r="V45" s="40">
        <f>3102+16705+6249</f>
        <v>26056</v>
      </c>
      <c r="W45" s="40"/>
      <c r="X45" s="40"/>
      <c r="Y45" s="40"/>
    </row>
    <row r="46" spans="1:25" ht="13.8" thickBot="1" x14ac:dyDescent="0.3">
      <c r="A46" s="37" t="s">
        <v>66</v>
      </c>
      <c r="B46" s="38"/>
      <c r="C46" s="39"/>
      <c r="D46" s="40"/>
      <c r="E46" s="39"/>
      <c r="F46" s="40"/>
      <c r="G46" s="39"/>
      <c r="H46" s="40"/>
      <c r="I46" s="41"/>
      <c r="J46" s="42"/>
      <c r="K46" s="73">
        <f>17490+18581</f>
        <v>36071</v>
      </c>
      <c r="L46" s="83"/>
      <c r="M46" s="84"/>
      <c r="N46" s="84"/>
      <c r="O46" s="84"/>
      <c r="P46" s="84">
        <f>13178+21879+14876+45792+16552</f>
        <v>112277</v>
      </c>
      <c r="Q46" s="84">
        <f>28696+22907+5003+12030+19868+12945</f>
        <v>101449</v>
      </c>
      <c r="R46" s="84"/>
      <c r="S46" s="84"/>
      <c r="T46" s="84"/>
      <c r="U46" s="84"/>
      <c r="V46" s="84"/>
      <c r="W46" s="84"/>
      <c r="X46" s="84">
        <f>21984+17693+36625+405+3284</f>
        <v>79991</v>
      </c>
      <c r="Y46" s="84"/>
    </row>
    <row r="47" spans="1:25" ht="13.8" thickBot="1" x14ac:dyDescent="0.3">
      <c r="A47" s="25" t="s">
        <v>32</v>
      </c>
      <c r="B47" s="16">
        <f>SUM(B27:B34)</f>
        <v>0</v>
      </c>
      <c r="C47" s="43">
        <f>SUM(C27:C34)</f>
        <v>425628</v>
      </c>
      <c r="D47" s="44">
        <f t="shared" ref="D47:N47" si="0">SUM(D27:D46)</f>
        <v>1219504</v>
      </c>
      <c r="E47" s="45">
        <f t="shared" si="0"/>
        <v>1076240</v>
      </c>
      <c r="F47" s="46">
        <f t="shared" si="0"/>
        <v>782258</v>
      </c>
      <c r="G47" s="47">
        <f t="shared" si="0"/>
        <v>1386094</v>
      </c>
      <c r="H47" s="44">
        <f t="shared" si="0"/>
        <v>1198397</v>
      </c>
      <c r="I47" s="48">
        <f t="shared" si="0"/>
        <v>1283229</v>
      </c>
      <c r="J47" s="49">
        <f t="shared" si="0"/>
        <v>1650053</v>
      </c>
      <c r="K47" s="47">
        <f t="shared" si="0"/>
        <v>1718482</v>
      </c>
      <c r="L47" s="44">
        <f t="shared" si="0"/>
        <v>1366899</v>
      </c>
      <c r="M47" s="44">
        <f t="shared" si="0"/>
        <v>1656612</v>
      </c>
      <c r="N47" s="44">
        <f t="shared" si="0"/>
        <v>1785112</v>
      </c>
      <c r="O47" s="44">
        <f t="shared" ref="O47:T47" si="1">SUM(O27:O46)</f>
        <v>2028879</v>
      </c>
      <c r="P47" s="44">
        <f t="shared" si="1"/>
        <v>930728</v>
      </c>
      <c r="Q47" s="44">
        <f t="shared" si="1"/>
        <v>2177232</v>
      </c>
      <c r="R47" s="44">
        <f t="shared" si="1"/>
        <v>1356631</v>
      </c>
      <c r="S47" s="44">
        <f t="shared" si="1"/>
        <v>1864881</v>
      </c>
      <c r="T47" s="44">
        <f t="shared" si="1"/>
        <v>1475802</v>
      </c>
      <c r="U47" s="44">
        <f>SUM(U27:U46)</f>
        <v>1400758</v>
      </c>
      <c r="V47" s="44">
        <f>SUM(V27:V46)</f>
        <v>1684562</v>
      </c>
      <c r="W47" s="44">
        <f>SUM(W27:W46)</f>
        <v>1896597</v>
      </c>
      <c r="X47" s="44">
        <f>SUM(X27:X46)</f>
        <v>1832008</v>
      </c>
      <c r="Y47" s="44">
        <f>SUM(Y27:Y46)</f>
        <v>92705</v>
      </c>
    </row>
    <row r="48" spans="1:25" x14ac:dyDescent="0.25">
      <c r="E48" s="2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x14ac:dyDescent="0.25"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x14ac:dyDescent="0.25">
      <c r="A50" s="4" t="s">
        <v>9</v>
      </c>
    </row>
    <row r="51" spans="1:25" ht="13.8" thickBot="1" x14ac:dyDescent="0.3"/>
    <row r="52" spans="1:25" ht="13.8" thickBot="1" x14ac:dyDescent="0.3">
      <c r="A52" s="89" t="s">
        <v>78</v>
      </c>
      <c r="B52" s="90"/>
      <c r="C52" s="122">
        <f>Y23</f>
        <v>45940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23"/>
    </row>
    <row r="53" spans="1:25" s="4" customFormat="1" ht="13.8" thickBot="1" x14ac:dyDescent="0.3">
      <c r="A53" s="118" t="s">
        <v>33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87"/>
      <c r="M53" s="87"/>
      <c r="N53" s="87"/>
      <c r="O53" s="87"/>
      <c r="P53" s="87"/>
      <c r="Q53" s="87"/>
      <c r="R53" s="88"/>
      <c r="S53" s="88"/>
      <c r="T53" s="88"/>
      <c r="U53" s="88"/>
      <c r="V53" s="88"/>
      <c r="W53" s="88"/>
      <c r="X53" s="88"/>
      <c r="Y53" s="88"/>
    </row>
    <row r="54" spans="1:25" ht="13.8" thickBot="1" x14ac:dyDescent="0.3">
      <c r="A54" s="80"/>
      <c r="B54" s="74" t="s">
        <v>17</v>
      </c>
      <c r="C54" s="77" t="s">
        <v>16</v>
      </c>
      <c r="D54" s="76" t="s">
        <v>19</v>
      </c>
      <c r="E54" s="77" t="s">
        <v>22</v>
      </c>
      <c r="F54" s="76" t="s">
        <v>40</v>
      </c>
      <c r="G54" s="77" t="s">
        <v>43</v>
      </c>
      <c r="H54" s="76" t="s">
        <v>50</v>
      </c>
      <c r="I54" s="79" t="s">
        <v>55</v>
      </c>
      <c r="J54" s="74" t="s">
        <v>60</v>
      </c>
      <c r="K54" s="79" t="s">
        <v>63</v>
      </c>
      <c r="L54" s="78" t="s">
        <v>68</v>
      </c>
      <c r="M54" s="74" t="s">
        <v>70</v>
      </c>
      <c r="N54" s="74" t="s">
        <v>75</v>
      </c>
      <c r="O54" s="74" t="s">
        <v>79</v>
      </c>
      <c r="P54" s="74" t="s">
        <v>81</v>
      </c>
      <c r="Q54" s="74" t="s">
        <v>84</v>
      </c>
      <c r="R54" s="74" t="s">
        <v>87</v>
      </c>
      <c r="S54" s="95" t="s">
        <v>91</v>
      </c>
      <c r="T54" s="95" t="s">
        <v>95</v>
      </c>
      <c r="U54" s="95" t="s">
        <v>100</v>
      </c>
      <c r="V54" s="95" t="str">
        <f>V26</f>
        <v>2022/2023</v>
      </c>
      <c r="W54" s="95" t="str">
        <f>W26</f>
        <v>2023/2024</v>
      </c>
      <c r="X54" s="95" t="str">
        <f>X26</f>
        <v>2024/2025</v>
      </c>
      <c r="Y54" s="95" t="str">
        <f>Y26</f>
        <v>2025/2026</v>
      </c>
    </row>
    <row r="55" spans="1:25" x14ac:dyDescent="0.25">
      <c r="A55" s="26" t="s">
        <v>108</v>
      </c>
      <c r="B55" s="36"/>
      <c r="C55" s="30"/>
      <c r="D55" s="65"/>
      <c r="E55" s="30"/>
      <c r="F55" s="36"/>
      <c r="G55" s="30"/>
      <c r="H55" s="36"/>
      <c r="I55" s="34"/>
      <c r="J55" s="36"/>
      <c r="K55" s="17"/>
      <c r="L55" s="71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>
        <f>529+470</f>
        <v>999</v>
      </c>
      <c r="X55" s="36"/>
      <c r="Y55" s="36"/>
    </row>
    <row r="56" spans="1:25" x14ac:dyDescent="0.25">
      <c r="A56" s="26" t="s">
        <v>92</v>
      </c>
      <c r="B56" s="36">
        <f>1492+164+249+155+153</f>
        <v>2213</v>
      </c>
      <c r="C56" s="30">
        <v>0</v>
      </c>
      <c r="D56" s="65">
        <v>68</v>
      </c>
      <c r="E56" s="30"/>
      <c r="F56" s="36">
        <f>169+169+460+585+573+480+829+820+321+170+247+325+713+890+188+35+35+220+148+495+850</f>
        <v>8722</v>
      </c>
      <c r="G56" s="30">
        <f>226+397+56+118+696+362+202+152+383+286+115+171+140+130+169+153+143+288+36+251+425+75+214</f>
        <v>5188</v>
      </c>
      <c r="H56" s="36">
        <f>306+591+478+485+291+245+318+431+228+317+229+100+1456+1105+708+240+133+200+261+206+177+192+32+147+61+58+219+62+156+152+122+30+32+32+203+193+31+173+54+97+31</f>
        <v>10582</v>
      </c>
      <c r="I56" s="34">
        <f>67+171+743+137+520+281+192+240+129+128+159+312+113+257+75+482+468+516+219+425+491+190+526+414+331+252+201+326+599+732+267+275+271+605+288+324+523+521+837+260+172+219+257+197+67+151+121+203+301</f>
        <v>15555</v>
      </c>
      <c r="J56" s="36">
        <f>35+69+183+106+309+71+137+178+108+36+140+211+105+44+35+102+34+34+170+722+894+1084+888+66+35+70+71+132+101+68+464+133+35+101+84+497+172+209+391+98+211+246+104+418</f>
        <v>9401</v>
      </c>
      <c r="K56" s="17">
        <f>414+1153+302+70+335+1295+122+228+317+263+33+549+570+539+660+674+424+841+909+641+592+564+613+961+724+815+562+661+1564+237+206+65+144+69+102+87+524+422+198+119+421+174+116+228+375+137</f>
        <v>21019</v>
      </c>
      <c r="L56" s="71">
        <f>65+34+1090+811+337+1056+293+627+1796+433+286+292+595+648+632+603+1065+1131+908+729+181+109+532+898+289+431+295+326+640+272+1198+283+313+186+126+294+634+330+184+80+484</f>
        <v>21516</v>
      </c>
      <c r="M56" s="36">
        <f>106+140+482+100+213+292+660+948+701+309+144+446+295+149+597+517+377+76+146+149+371+585+993+141+34+74+144+34+446+351+440+211+70+334+497+503+33+34</f>
        <v>12142</v>
      </c>
      <c r="N56" s="36">
        <f>70+31+39+436+104+68+105+34+103+90+100+135+494+456+392+246+1310+895+394+496+135+354+326+184+283+544+550+257+665+635+860+67+307+745+1632+901+227+294+327+435+111+322+36+312+217</f>
        <v>16724</v>
      </c>
      <c r="O56" s="36">
        <f>66+33+65+34+67+34+300+100+102+34+36+34+69+37</f>
        <v>1011</v>
      </c>
      <c r="P56" s="36">
        <f>69+104+71+668+280+33+1+65+186+34+251+400+168+66+66+67</f>
        <v>2529</v>
      </c>
      <c r="Q56" s="36">
        <f>72+33+101+486+655+921+825+669+38+445+667+854+484+407+369+816+743+1078+1117+34+129</f>
        <v>10943</v>
      </c>
      <c r="R56" s="36">
        <f>337+782+261+595+475+297+877+576+222</f>
        <v>4422</v>
      </c>
      <c r="S56" s="36">
        <f>50+3123+149+297+259+408+743+631+482+522+716+849+1380+541+226+111</f>
        <v>10487</v>
      </c>
      <c r="T56" s="36">
        <f>134+68+33+68+278+231+104+66+209+141+35+35+102+173+1+100+35+243+235+204+136+277+383+362+1397+112+696+378+622+448</f>
        <v>7306</v>
      </c>
      <c r="U56" s="36">
        <f>33+67+205+327+34</f>
        <v>666</v>
      </c>
      <c r="V56" s="36">
        <f>108+297+1069+594+474+442+188+35+35+34</f>
        <v>3276</v>
      </c>
      <c r="W56" s="36"/>
      <c r="X56" s="36">
        <f>34+35</f>
        <v>69</v>
      </c>
      <c r="Y56" s="36"/>
    </row>
    <row r="57" spans="1:25" x14ac:dyDescent="0.25">
      <c r="A57" s="27" t="s">
        <v>14</v>
      </c>
      <c r="B57" s="33">
        <v>572</v>
      </c>
      <c r="C57" s="31">
        <f>396+437+484+132+968+1408+1050+530+676+528+88+528+220+88+264+44+484+132+528+528+132+616+88+440</f>
        <v>10789</v>
      </c>
      <c r="D57" s="50">
        <f>440+748+1276+528+660+616+176+572+572+132+88+616+792+572+484+616+572+792+792+700+2772</f>
        <v>14516</v>
      </c>
      <c r="E57" s="31">
        <f>528+704+528+528+528+572+616+484+396+615+660+880+484+528+308+924+704+176+440+528+704+792+964+352+1188+220+176+264+220+176</f>
        <v>16187</v>
      </c>
      <c r="F57" s="33">
        <f>440+220+271+660+33+8+729+308+660+264+440+467+660+220+1192+220+528+300+660+660+662+484+529+660+26+705+1149+530+750+528</f>
        <v>14963</v>
      </c>
      <c r="G57" s="31">
        <f>396+572+572+1654+150+756+528+974+440+1100+868+660+1542+2201+1716+660+352+528+704+264+1232+1232+704+528+308+308+40+616+532</f>
        <v>22137</v>
      </c>
      <c r="H57" s="33">
        <f>640+270+376+471+392+390+210+141+37+450+167+141+568+880+1489+767+440+528+1149+528+616+1362+792+220+1100+405+878+575+36+528+176+352+704+658+219+308+264</f>
        <v>19227</v>
      </c>
      <c r="I57" s="35">
        <f>425+642+678+389+673+621+388+348+411+581+308+98+176+172+531+656+264+100+1701+69+758+213+387+316+777+339+692+633+416+27+416+205+106+947+308+873+353+425</f>
        <v>17422</v>
      </c>
      <c r="J57" s="33">
        <f>205+1522+2237+1180+548+695+492+105+551+1207+464+358+382+254+399+388+175+132+519+339+456+213+104+54+39+289+210+349+142+282+420+102+311+808+173+384+1405+995+599+106+210</f>
        <v>19803</v>
      </c>
      <c r="K57" s="19">
        <f>1677+2244+803+386+344+790+753+464+497+1213+36+280+248+392+432+564+524+208+139+524+808+312+205+138+103+729+663+797+451+483+312+37+536+35+249+813+444+510+749+172</f>
        <v>21064</v>
      </c>
      <c r="L57" s="72">
        <f>440+856+687+290+355+617+293+473+943+293+511+840+367+511+657+538+540+602+538+901+414+566+635+630+726+636+627+656+547+253+1928+700+1279+988+511+288+108+177+107+1232+1188+62</f>
        <v>25510</v>
      </c>
      <c r="M57" s="33">
        <f>473+1150+734+510+1343+550+1559+323+692+284+1325+799+1036+741+776+873+798+545+547+512+1239+1377+1827+603+1205+435+607+438+472+774+843+816+514+475+330+1401+1375+977+513+791+277+715+888+717+668+714+213</f>
        <v>36774</v>
      </c>
      <c r="N57" s="33">
        <f>407+733+108+1058+221+179+689+362+892+255+293+541+1034+791+727+328+781+467+327+507+363+1088+693+70+286+770+685+326+477+580+108+696+619+733+836+325+1200+308+725+308+72+446</f>
        <v>22414</v>
      </c>
      <c r="O57" s="33">
        <f>1029+106+900+581+1384+363+212+672+470+36+880+264+103+635+105+70+351+36+67+962+440+572+255+704+440+110+73+259+478+308</f>
        <v>12865</v>
      </c>
      <c r="P57" s="33">
        <f>111+289+284+176+73+1+34+323+35+145+294+357+71+342+185+223+223+343+421+181+149+186+329+371+34+68+143+513+571+1052+74+520+222+404+48+567</f>
        <v>9362</v>
      </c>
      <c r="Q57" s="33">
        <f>686+109+217+291+185+298+334+37+334+148+34+616+1100+562+440+440+421+704+528+616+34+308+298+704+425+109+401+34+616+34+176+572+562</f>
        <v>12373</v>
      </c>
      <c r="R57" s="33">
        <f>412+521+335+567+114+758+616+616+616+152+223+228+440+616+616+616+616+383+440+616+249</f>
        <v>9750</v>
      </c>
      <c r="S57" s="33">
        <f>511+501+153+419+404+151+307+232+225+114+141+72+379+191+383+153+458+376+476+683+783+305+260+332+484+465+595+267+38+2268+107+1155+828+148+254+223</f>
        <v>14841</v>
      </c>
      <c r="T57" s="33">
        <f>577+913+487+150+374+528+374+418+417+228+191+39+302+332+631+374+226+336+230+187+277+709+2121+744+171+145+860+198+149+642+376+362+117+304+307</f>
        <v>14796</v>
      </c>
      <c r="U57" s="33">
        <f>1690+1006+1310+1766+2051+1704+1313+1030+1764+1322+725+323+1570+2031+1829+1828+1015+497+1508+834+1132+1877+2139+300+516+3116+1044+1080+333+401+180+1255+72+254+39+324+72+107+819+493+460+1185+304</f>
        <v>44618</v>
      </c>
      <c r="V57" s="33">
        <f>183+290+663+298+257+74+223+519+372+776+1115+1075+1659+518+171+408+368+398+76+513+582+643+878+2591+1441+883+661+460+529+229+342+379+453+189+521+992+1024+1753+1744</f>
        <v>26250</v>
      </c>
      <c r="W57" s="33">
        <f>677+30+188+337+307+381+477+260+761+485+490+38+262+77+232+36+376+114+189+225+265+147+147+192+592+1482+109+770+107+291+146+255+253+557</f>
        <v>11255</v>
      </c>
      <c r="X57" s="33">
        <f>34+179+238+228+824+333+77+224+76+759+420+153+267+262+416+77+338+224+183+221+258+400+519+851+110</f>
        <v>7671</v>
      </c>
      <c r="Y57" s="33"/>
    </row>
    <row r="58" spans="1:25" x14ac:dyDescent="0.25">
      <c r="A58" s="27" t="s">
        <v>13</v>
      </c>
      <c r="B58" s="33">
        <f>810+248+26</f>
        <v>1084</v>
      </c>
      <c r="C58" s="31">
        <f>1505+198+650+1652+42+3569+533+704+58+29+1666+3417+351+1144+30+1537+507+89+1063+58+926+138+103+117+1124+29</f>
        <v>21239</v>
      </c>
      <c r="D58" s="50">
        <f>126+1000+28+30+703+3353</f>
        <v>5240</v>
      </c>
      <c r="E58" s="31">
        <f>33+60+121+347+59+289</f>
        <v>909</v>
      </c>
      <c r="F58" s="33">
        <f>239+1224+418+2313+628+1497+3239+1226+836+484+944+1903+29+30+121+409</f>
        <v>15540</v>
      </c>
      <c r="G58" s="31">
        <f>13+616+318+1286+1014+220+607+226+1540+2777+836+1012</f>
        <v>10465</v>
      </c>
      <c r="H58" s="33">
        <f>187+756+1340+476+93+609+364+1110+225+1228+2162+354+1379+247+68+2008+438+1147+1308+586+809+398+68+924+1016+214+276+2116+610+882+35+694+481+140+1749+250+132+769+1232</f>
        <v>28880</v>
      </c>
      <c r="I58" s="35">
        <f>62+28+28+1024+807+320+56+56+920+380+260+1008+56+28+612+728+1376+1958+604+1061+862+514+200+298+296+420+422+392+1066+712+1758+3271+1211+880+55+28+28+34+620+540+364+660+64+128+183+1784+191+996+561</f>
        <v>29910</v>
      </c>
      <c r="J58" s="33">
        <f>48+700+28+28+28+28+28+28+56+168+84+56+28+28+88+516+427+322</f>
        <v>2689</v>
      </c>
      <c r="K58" s="19">
        <f>176+376+1326+1410+1540+1948+198+1314+1847+265+1408+748+1936+1848+2553+264+684+455+1652+245+528+1578+43+133+264+236+380+125+288+91+286</f>
        <v>26145</v>
      </c>
      <c r="L58" s="72">
        <f>2030+1066+762+2720+4766+5650+634+955+871+201+1726+5+1452+1285+1438+2463+2640+69+1649+4204+269+1466+2112+1926+1276+1173+2194+3116+3166+2420+1012+1080+2477+2+200+34+101+1584+2386+97+432</f>
        <v>65109</v>
      </c>
      <c r="M58" s="33">
        <f>34+3248+1161+2816+2508+484+2023+2383+398+1244+101+1387+757+673+522+1566+1104+1276+2101+263+2222+2587+1408+2597+2883+507+2024+1232+606+3124+3013+849+1427+35+528+2948+440+620+170+205+100+235+1110</f>
        <v>56919</v>
      </c>
      <c r="N58" s="33">
        <f>241+3606+481+438+2814+905+1033+524+67+706+638+2211+2018+2938+2446+2271+724+1223+4173+766+1606+1758+1875+2807+3076+1115+4206+2268+2580+786+270+1137+2771+1525+4304+1188+2647+1717+2678+8637+1679+1443+1293+371+308+463+468+771+1208+676</f>
        <v>87854</v>
      </c>
      <c r="O58" s="33">
        <f>170+171+1113+1452+1598+1188+67+69+102+170+1013+340+1144+1100+792+880+528+208+308+572+704+346+1009+480+1420+497+545+103+205+1066+1859+1376+2331+939</f>
        <v>25865</v>
      </c>
      <c r="P58" s="33">
        <f>33+1913+752+68+168+68+102+272+237+34+101+231+68+66+34+287+376+1287+2132+2620+2649+2447+2200+5807+778+202+68+134+70</f>
        <v>25204</v>
      </c>
      <c r="Q58" s="33">
        <f>366+201+343+68+68+33+34+103+136+136+68+102+238+68+34+102+170+100</f>
        <v>2370</v>
      </c>
      <c r="R58" s="33">
        <f>68+34+33+558+2197+1504+4492+3669+4857+4657+2282+579+290+34+70+103+172+205+515+69+477+383</f>
        <v>27248</v>
      </c>
      <c r="S58" s="33">
        <f>727+670+557+34+68+70+69+1689+105+321+291+506+1542+451+210+737+415+377+245+488</f>
        <v>9572</v>
      </c>
      <c r="T58" s="33">
        <f>70+102+70+35+35+70+33+70+65+1+311+252+35+100+338+371+652+272+372+34+358+238+171+227+380+262+100+134</f>
        <v>5158</v>
      </c>
      <c r="U58" s="33">
        <f>1414+610+102+514+1392+1818+4597+2297+1728+4566+4172+2833+2266+2280+3943+1760+1979+1151+1576+2463+34+879+837+2074+1040+1997+1416+1231+100+35+68+34</f>
        <v>53206</v>
      </c>
      <c r="V58" s="33">
        <f>2407+1007+1638+305+1164+1130+2156+1754+1644+1535+520+599+269+817+191+1538+1264+2442+2045+2397+3048+3133+2410+2512+2041+2054+1506+1178+2021+3396+4877+2643+2016+1312+2201+2178+1941+3225+1643+1276+1963+1951+1548+1672+1403+1459+215+580+727+601+370+915</f>
        <v>86837</v>
      </c>
      <c r="W58" s="33">
        <f>99+579+124+1272+662+1905+1589+1147+1618+1071+1382+1515+1630+1158+1881+2869+1349+747+1243+1461+963+941+2684+1503+1050+766+614+1586+2189+1153+807+35+176+286+285+558+1136+648+2360+1060+1720+1200+2132+2888+1682+2609+1538+715+750+89</f>
        <v>61424</v>
      </c>
      <c r="X58" s="33">
        <f>808+402+283+468+1940+1013+781+476+1074+1097+878+286+314+537+70+280+552+1752+456+2166+3359+1090+483+721+618+3602+4596+1396+662+702+4680+4686+3821+2253+2760+2568+4435+1788+492+840+1362+944+840+684+543+576+103+934+756+382+274+526</f>
        <v>69109</v>
      </c>
      <c r="Y58" s="33">
        <f>582+604</f>
        <v>1186</v>
      </c>
    </row>
    <row r="59" spans="1:25" x14ac:dyDescent="0.25">
      <c r="A59" s="27" t="s">
        <v>11</v>
      </c>
      <c r="B59" s="33">
        <f>376+565+2816+1955+1180+425+398+304</f>
        <v>8019</v>
      </c>
      <c r="C59" s="31">
        <f>1144+748+704+1584+25+1811+599+325+866+638+995+528+748+176+144+1011+218+1320+352+263+1405+94+1447+77+2471+1996+28+165+625+358+500+1300+1233+293+351+308+1053</f>
        <v>27903</v>
      </c>
      <c r="D59" s="50">
        <f>704+1274+220+2212+1990+3520+1320+308+1188+799+710+616+836+1320+1248+261+366+300+576+156+1540+186+417+918+3824+825+269+321+720+17366</f>
        <v>46310</v>
      </c>
      <c r="E59" s="31">
        <f>308+748+880+924+44+303+1760+2200+924+3034+1056+616+440+440+1848+2200+456+528+484+1012</f>
        <v>20205</v>
      </c>
      <c r="F59" s="33">
        <f>88+88+58+2159+1346+171+500+317+1108+681+3472+1811+562+256+1394+1364+521+818+1346+2772+1466+1079+684+613+300+440+357+1588+1695+2200+1760+440+1781+880+396+1408+2113+11035+3054+1366+396+5919</f>
        <v>61802</v>
      </c>
      <c r="G59" s="31">
        <f>183+1270+403+1604+1954+1716+35+405+1321+2178+363+896+4702+1567+413+2883+1503+1144+1732+1336+1824+2882+4418+4108+5839+2057+8765+2728+1409+5111+200</f>
        <v>66949</v>
      </c>
      <c r="H59" s="33">
        <f>262+63+83+18+175+101+259+391+354+1067+1104+4510+3916+1324+1044+1054+54+440+880+132+1100+1716+968+1012+968+1365+1540+1629+2156+1760+2156+5060+396+1716</f>
        <v>40773</v>
      </c>
      <c r="I59" s="35">
        <f>70+168+2+116+631+152+128+92+250+887+890+792+503+2566+798+325+519+410+2389+690+1301+1797+940+210+1379+531+1981+465+2155+1086+928+900+174+258+695+2280+821+1888+474+6703+605+3233+548+1868+64+37+886+210+70+403</f>
        <v>47268</v>
      </c>
      <c r="J59" s="33">
        <f>49+440+307+213+330+33+786+1188+281+802+1510+201+235+243+881+1237+1226+317+1590+891+1724+819+257+1722+3082+3436+991+150+32+625</f>
        <v>25598</v>
      </c>
      <c r="K59" s="19">
        <f>404+1602+1647+1477+440+924+773+440+2772+660+36+161+792+1422+476+1120+2267+1009+1061+142+653+288+160+1140+1292+2319+2147+880+374+1496+2758+3886+2563+2759+2535+2478+9356+3092+1193+2593+1452+3476+1431+263+261+143</f>
        <v>70613</v>
      </c>
      <c r="L59" s="72">
        <f>1196+1371+2308+402+572+137+1467+749+611+417+2035+1010+2016+1443+1203+600+1509+291+441+1933+214+1658+1320+624+735+1044+2421+3466+1188+4145+2068+2894+2889+2152+2478+1787+2551+833+7745+367+1000+2200+929+3393+747+24+128</f>
        <v>72711</v>
      </c>
      <c r="M59" s="33">
        <f>580+432+396+2244+769+3411+747+2156+1936+2200+880+1540+440+1133+648+652+180+146+709+113+4318+1744+249+589+173+3137+1208+1462+1710+3085+2059+2494+1697+1869+1899+852+3601+676+5790+286+71+1032+762+386+595+385+498+66</f>
        <v>64005</v>
      </c>
      <c r="N59" s="33">
        <f>206+200+654+1449+1698+1845+590+97+400+562+1801+3227+1159+528+4122+1451+948+312+433+166+70+22</f>
        <v>21940</v>
      </c>
      <c r="O59" s="33">
        <f>446+346+208+1012+1012+880+1100</f>
        <v>5004</v>
      </c>
      <c r="P59" s="33">
        <f>220+484+1406+968+29+63+308+484+1936+859+2904+1188+924+2332+1100+134+208+34+2217+528</f>
        <v>18326</v>
      </c>
      <c r="Q59" s="33">
        <f>79+173+260+37+176+1286+871+71+212+2728+101+924</f>
        <v>6918</v>
      </c>
      <c r="R59" s="33">
        <f>69+528+572+484+562+34+852+528+29+161+982+660+1921+1264+2068+880+1760+308</f>
        <v>13662</v>
      </c>
      <c r="S59" s="33">
        <f>153+479+633+351+384</f>
        <v>2000</v>
      </c>
      <c r="T59" s="33">
        <f>360+1320+220+617+440+440+2112+440+1422+1119+257</f>
        <v>8747</v>
      </c>
      <c r="U59" s="33">
        <f>523+671+749+862+795+789+75+34+781+496+174+1255+448+1033+702+2983+680+805+466+206+1500+2224+2917+1404+2643+1031+2207+1046+2318+2147+736+281+456+1458+34+69+106</f>
        <v>37104</v>
      </c>
      <c r="V59" s="33">
        <f>136+69+504+905+58+2332+1051+845+470+151+435+231+153+104+39+188+376+191+364+827+965+909+807+1449+458</f>
        <v>14017</v>
      </c>
      <c r="W59" s="33">
        <f>605+1006+784+762+608+144+978+2080+2645+3553+2165+2779+1497+3541+1857+1492+568+214+970+2327+1599+286+34+144</f>
        <v>32638</v>
      </c>
      <c r="X59" s="33">
        <f>287+673+550+296+223+305+144+374+669+1343+443+512+823+2101+210+232+183+9+311+1472+900+277+1590+881+676+1138+1388+1160+1050+1043+135+898+485+493+140+58+413+1769+592</f>
        <v>26246</v>
      </c>
      <c r="Y59" s="33">
        <f>360+892</f>
        <v>1252</v>
      </c>
    </row>
    <row r="60" spans="1:25" x14ac:dyDescent="0.25">
      <c r="A60" s="27" t="s">
        <v>10</v>
      </c>
      <c r="B60" s="33">
        <f>660+2273+1168+44+559+540+810+3063</f>
        <v>9117</v>
      </c>
      <c r="C60" s="31">
        <f>7+8+444+796+1503+8315+1260+1017+2787+4632+1094+4796+618+4824+3373+5979+2162+2733+2917+1191+970+442+1060+485+882+970+528+1343+176+44+618+1382+265+739+365+792+62+2211+750+352+308</f>
        <v>65200</v>
      </c>
      <c r="D60" s="50">
        <f>910+1331+308+1515+836+528+484+704+1003+2112+1549+352+1316+1433+660+24+3488+1016+1995+2951+1323+2720+1595+952+1938+621+2106+4373+2869+2430+3894+1852+12094</f>
        <v>63282</v>
      </c>
      <c r="E60" s="31">
        <f>1644+800+882+572+1764+1345+2932+1744+298+24+2040+875+1412+336+904+111+2527+1707+871+2460+1942+2194+58+1909+511+2377+2492+1934+1073+1737+1166+396+397+2030+1763+1395+1242+1318+352+1719+1210+153+35+440+764+1213+567+358+1078</f>
        <v>59071</v>
      </c>
      <c r="F60" s="51">
        <f>307+126+968+1386+5053+628+1291+3687+968+886+810+3106+1332+352+3209+1296+640+1767+765+4055+491+4042+1119+1320+972+2382+2589+3460+2151+3337+1888+4723+1545+1385+1235+1048+2920+1936+1910+1152+1347+400+1456+1578+418+1097+1572+574+1080+2016+2818</f>
        <v>88593</v>
      </c>
      <c r="G60" s="52">
        <f>3195+1205+1494+1434+2398+233+936+2785+2429+6454+2048+736+2353+387+2446+950+4708+2320+1355+2603+156+1354+513+683+1882+1022+1063+933+2008+4049+4058+2785+4986+2670+654+2944+1001+1717+2211+1981+467+1872+1786+598+986+455+813+31+375+296+295</f>
        <v>89113</v>
      </c>
      <c r="H60" s="51">
        <f>2793+1661+1217+1585+694+1670+477+295+693+316+859+1366+228+249+355+849+4106+3090+2023+535+1063+662+396+1001+3592+4235+5435+3951+1998+4405+3531+11331+598+1824+2176+787+2397+951+1510+2063+1768+542+880+1204+840+1019+804+3603</f>
        <v>89627</v>
      </c>
      <c r="I60" s="53">
        <f>2330+2392+7391+4024+4630+1593+1521+937+729+2713+1636+1061+2123+2766+1207+492+71+471+809+1568+948+110+735+1098+2145+238+307+325+465+650+623+963+3626+791+4542+1270+4425+3902+1849+8416+1397+3288+2839+1257+2501+592+3902+3568+793</f>
        <v>98029</v>
      </c>
      <c r="J60" s="51">
        <f>1419+2827+3923+314+828+961+1470+1196+254+1583+1621+2235+1264+268+5171+1047+2252+1454+466+1574+1765+2149+3018+2300+1188+250+597+639+572+1411+1552+408+1730+713+1069+3210+1505+311+12237+3117+1274+945+150+368+210+1603+567+2253+2623</f>
        <v>81861</v>
      </c>
      <c r="K60" s="18">
        <f>2717+5495+2686+2797+3821+3488+2484+858+1156+1363+483+1856+744+4226+2929+1845+3677+1522+1918+927+421+1813+1746+1546+356+274+1088+1767+2769+2233+2386+4056+3583+4401+1250+3339+4852+1787+396+3311+1590+1165+2823+2789+1560+1806+1867+1704+620+1326</f>
        <v>107616</v>
      </c>
      <c r="L60" s="72">
        <f>796+1460+1332+436+2061+1762+544+857+2152+3643+1101+2497+1639+98+835+1500+2336+2194+3124+1505+1716+1190+2935+1670+2209+440+1179+919+655+1644+2044+2615+2285+3684+3237+2248+4469+3213+767+6982+1090+292+503+781+1381+1212+1135+1934+1296+3767</f>
        <v>91364</v>
      </c>
      <c r="M60" s="33">
        <f>1458+816+2174+1645+1445+883+2067+2009+1131+1570+1149+1448+1230+1397+859+1063+1331+3035+2270+3670+1964+2472+2929+741+1408+3108+3817+1623+2348+1497+2694+1342+2027+2490+2524+2133+2777+2520+312+2709+1256+396+1212+426+500+899+1367+1086+638+195</f>
        <v>84060</v>
      </c>
      <c r="N60" s="33">
        <f>1117+546+423+484+1182+642+338+929+429+746+415+754+242+1008+1091+2190+1552+2164+1967+2092+1577+1563+2192+3387+1899+1519+663+800+1450+2938+1480+1599+2089+2037+1821+1612+1624+580+272+6053+1079+2722+144+688+1709+2311+1556+1298+960</f>
        <v>69933</v>
      </c>
      <c r="O60" s="33">
        <f>453+204+1+30+100+34+136+140+205+100+100+34+92+367+167+236+68+342+347+141+213+238+486+512+245+69+240+486+68</f>
        <v>5854</v>
      </c>
      <c r="P60" s="33">
        <f>268+167+28+37+293+233+300+575+170+240+571+1278+2352+2790+3379+741+383+611+170+167+334+171+3+139+99+1207+27+370+753+235+308+612+102+55</f>
        <v>19168</v>
      </c>
      <c r="Q60" s="33">
        <f>143+1267+2075+1663+1044+733+281+25+379+1014+631+762+423+105+4+36+1+31+30+318+458+208+105+28+65+497+138+33+66+204+67</f>
        <v>12834</v>
      </c>
      <c r="R60" s="33">
        <f>142+71+245+68+789+229+711+779+960+743+204+239+1081+641+30+101+72+141+179+30+308+1451+2981+3392+2950+3571+2780+1522+459+778+789+140+265+29+30+30+854+239</f>
        <v>30023</v>
      </c>
      <c r="S60" s="33">
        <f>98+12+66+34+2+56+380+356+902+490+279+120+283+344+153+540+377+1+30+34+203+35+34+101</f>
        <v>4930</v>
      </c>
      <c r="T60" s="33">
        <f>575+691+635+293+3437+68+104+1224+288+309+250+35+71+384+805+2347+1768+1061+349+736+443+348+335+956+1399+1970+504+533+50+1632+1483+1396+834+1029+68+135</f>
        <v>28545</v>
      </c>
      <c r="U60" s="33">
        <f>1950+794+1467+1046+1264+1507+2006+1565+1693+1435+1742+765+1465+821+555+459+2955+519+564+692+1296+1151+1954+1457+1259+482+1128+1544+2470+1566+2526+2322+2898+1845+2267+2560+1646+1098+996+1008+529+204+71</f>
        <v>59541</v>
      </c>
      <c r="V60" s="33">
        <f>70+618+1162+625+142+629+521+510+251+1300+428+969+394+1201+2663+2760+2360+2937+2895+1598+1151+2551+2054+1620+3266+1827+2188+2270+2687+2897+2559+3379+2647+1773+2822+2993+2340+198+1744+1620+1480+760+439+814+1321+1442+1340+1025+954+964</f>
        <v>79158</v>
      </c>
      <c r="W60" s="33">
        <f>254+320+214+106+103+614+606+738+1115+1110+716+349+862+1060+648+654+715+2108+1532+1095+845+822+1241+1454+1536+1435+1817+1189+1272+2153+3236+3838+1850+664+35+179+677+522+69+203+140+412</f>
        <v>40508</v>
      </c>
      <c r="X60" s="33">
        <f>146+219+547+320+184+74+146+73+65+566+496+1267+741+385+796+515+312+912+426+311+631+354+386+316+946+737+71+1758+1954+1825+1732+914+961+1110+207+142+104+243+224+329+183+658+413</f>
        <v>24699</v>
      </c>
      <c r="Y60" s="33">
        <f>140+210</f>
        <v>350</v>
      </c>
    </row>
    <row r="61" spans="1:25" x14ac:dyDescent="0.25">
      <c r="A61" s="27" t="s">
        <v>44</v>
      </c>
      <c r="B61" s="63"/>
      <c r="C61" s="64"/>
      <c r="D61" s="66"/>
      <c r="E61" s="64"/>
      <c r="F61" s="66"/>
      <c r="G61" s="67">
        <f>832+880</f>
        <v>1712</v>
      </c>
      <c r="H61" s="68"/>
      <c r="I61" s="69"/>
      <c r="J61" s="68"/>
      <c r="K61" s="70"/>
      <c r="L61" s="72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x14ac:dyDescent="0.25">
      <c r="A62" s="27" t="s">
        <v>53</v>
      </c>
      <c r="B62" s="33"/>
      <c r="C62" s="31"/>
      <c r="D62" s="50"/>
      <c r="E62" s="31"/>
      <c r="F62" s="51"/>
      <c r="G62" s="52"/>
      <c r="H62" s="51"/>
      <c r="I62" s="53"/>
      <c r="J62" s="51"/>
      <c r="K62" s="18"/>
      <c r="L62" s="72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x14ac:dyDescent="0.25">
      <c r="A63" s="27" t="s">
        <v>41</v>
      </c>
      <c r="B63" s="33"/>
      <c r="C63" s="31"/>
      <c r="D63" s="50"/>
      <c r="E63" s="31"/>
      <c r="F63" s="33">
        <f>252+449</f>
        <v>701</v>
      </c>
      <c r="G63" s="31"/>
      <c r="H63" s="33"/>
      <c r="I63" s="35"/>
      <c r="J63" s="33"/>
      <c r="K63" s="19"/>
      <c r="L63" s="7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x14ac:dyDescent="0.25">
      <c r="A64" s="27" t="s">
        <v>77</v>
      </c>
      <c r="B64" s="33"/>
      <c r="C64" s="31"/>
      <c r="D64" s="50"/>
      <c r="E64" s="31"/>
      <c r="F64" s="33"/>
      <c r="G64" s="31"/>
      <c r="H64" s="33"/>
      <c r="I64" s="35"/>
      <c r="J64" s="33"/>
      <c r="K64" s="19"/>
      <c r="L64" s="72"/>
      <c r="M64" s="33"/>
      <c r="N64" s="33">
        <f>950+580</f>
        <v>1530</v>
      </c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x14ac:dyDescent="0.25">
      <c r="A65" s="27" t="s">
        <v>42</v>
      </c>
      <c r="B65" s="33"/>
      <c r="C65" s="31"/>
      <c r="D65" s="50"/>
      <c r="E65" s="31"/>
      <c r="F65" s="33">
        <f>68+69+33</f>
        <v>170</v>
      </c>
      <c r="G65" s="31">
        <f>250</f>
        <v>250</v>
      </c>
      <c r="H65" s="33">
        <f>688+306</f>
        <v>994</v>
      </c>
      <c r="I65" s="35"/>
      <c r="J65" s="33">
        <f>228+6</f>
        <v>234</v>
      </c>
      <c r="K65" s="19">
        <f>842+433+549+1140</f>
        <v>2964</v>
      </c>
      <c r="L65" s="72"/>
      <c r="M65" s="33"/>
      <c r="N65" s="33">
        <f>69+1078+978+865+104+56</f>
        <v>3150</v>
      </c>
      <c r="O65" s="33">
        <f>134+170+478+558+1150</f>
        <v>2490</v>
      </c>
      <c r="P65" s="33">
        <f>968+1012+1012</f>
        <v>2992</v>
      </c>
      <c r="Q65" s="33"/>
      <c r="R65" s="33">
        <f>250+349+343+652</f>
        <v>1594</v>
      </c>
      <c r="S65" s="33"/>
      <c r="T65" s="33">
        <f>1010</f>
        <v>1010</v>
      </c>
      <c r="U65" s="33"/>
      <c r="V65" s="33"/>
      <c r="W65" s="33"/>
      <c r="X65" s="33">
        <f>109+69+72</f>
        <v>250</v>
      </c>
      <c r="Y65" s="33"/>
    </row>
    <row r="66" spans="1:25" x14ac:dyDescent="0.25">
      <c r="A66" s="27" t="s">
        <v>65</v>
      </c>
      <c r="B66" s="33"/>
      <c r="C66" s="31"/>
      <c r="D66" s="50"/>
      <c r="E66" s="31"/>
      <c r="F66" s="33"/>
      <c r="G66" s="31"/>
      <c r="H66" s="33"/>
      <c r="I66" s="35"/>
      <c r="J66" s="33"/>
      <c r="K66" s="19"/>
      <c r="L66" s="72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x14ac:dyDescent="0.25">
      <c r="A67" s="27" t="s">
        <v>12</v>
      </c>
      <c r="B67" s="33">
        <f>925+1602+311+647+239+120+7</f>
        <v>3851</v>
      </c>
      <c r="C67" s="31">
        <f>859+1722+387+748+868+30+60+150</f>
        <v>4824</v>
      </c>
      <c r="D67" s="50">
        <f>1315+63+254+1994+507+1000</f>
        <v>5133</v>
      </c>
      <c r="E67" s="31">
        <f>116</f>
        <v>116</v>
      </c>
      <c r="F67" s="33">
        <f>239+337+2437+484+352+396+308+528+880+59+44+64+171+436</f>
        <v>6735</v>
      </c>
      <c r="G67" s="31">
        <f>528+440+660+396+660+880+793+660+440+1189+2101+44+1321+968+880+1320+440+704+1100</f>
        <v>15524</v>
      </c>
      <c r="H67" s="33">
        <f>265+265+664+656+3036+1862+2195+748+836+484+220+440</f>
        <v>11671</v>
      </c>
      <c r="I67" s="35"/>
      <c r="J67" s="33">
        <f>264+924+352+214+880+510+964+836+599+556+440+246+1361+468+880+444+572+1084+1144</f>
        <v>12738</v>
      </c>
      <c r="K67" s="19">
        <f>844+1012+1012+440+1144+880+50+1375+968+616+440+2103+1144+3475+236+468+1408+1980</f>
        <v>19595</v>
      </c>
      <c r="L67" s="72"/>
      <c r="M67" s="33"/>
      <c r="N67" s="33">
        <f>32+207+2092+1259+68+1291+2494+1096+860+863+1739+6037+2840+2320+3715+2547+520+1737+1330+1313+1906+1748+2075+1707+2464+1629+2902+2757</f>
        <v>51548</v>
      </c>
      <c r="O67" s="33">
        <f>67+33+65+71+33</f>
        <v>269</v>
      </c>
      <c r="P67" s="33">
        <f>880+1760+1760+2816+2992+2244+1100+1760</f>
        <v>15312</v>
      </c>
      <c r="Q67" s="33">
        <f>176+2068+880+1683+957+924+1760+1496+2419+1804+88+924+748+1056+1672+880+1674+1188+3608+2904+1188</f>
        <v>30097</v>
      </c>
      <c r="R67" s="33">
        <f>174+526+243+376+208+346+72+236+177+849+548+1259+423+307+1795+396+1672+880+1760+1232+312+3053+3520+880</f>
        <v>21244</v>
      </c>
      <c r="S67" s="33">
        <f>33+926+623+3148+1942+343+2879+1120+5142+880+4367+2425+647+2745+2431+3339+203+1760+1100+880+2640</f>
        <v>39573</v>
      </c>
      <c r="T67" s="33">
        <f>377+572+1276+147+669+172+1594+2003+529+2295+1707+3153+104+1762+1452+3476+314+880+1892+396</f>
        <v>24770</v>
      </c>
      <c r="U67" s="33">
        <f>4+2724+1320+3536+2382+2795+2166+2132+452+2198+543+2341+888+1371+1947+1013+1137+1624+577+1604+482+409+2588+315+484+483+837</f>
        <v>38352</v>
      </c>
      <c r="V67" s="33">
        <f>1419+103+483+2906+5157+3578+1205+4156+797+1844+2034+2827+3445+2258+1400+1484+413+522+440+527+617+1361+1908+1188+660+1783</f>
        <v>44515</v>
      </c>
      <c r="W67" s="33">
        <f>2636+5808+5575+1237+1811+3395+3810+1427+952+1470+1036+1199+1901+1061+1660+2945+2980+3637+3320+2906+4940+1819+1699+2381+1152+802+685+865+880</f>
        <v>65989</v>
      </c>
      <c r="X67" s="33">
        <f>2703+1683+846+317+4335+5296+2779+2495+2697+3455+2071+3486+3025+2560+2366+4490+5887+4579+3625+2055+3121+3183+4621+4351+6332+3290+303+1672+126+1584+1526+1672+618+373+547</f>
        <v>94069</v>
      </c>
      <c r="Y67" s="33">
        <f>21+905</f>
        <v>926</v>
      </c>
    </row>
    <row r="68" spans="1:25" ht="13.8" thickBot="1" x14ac:dyDescent="0.3">
      <c r="A68" s="37"/>
      <c r="B68" s="40"/>
      <c r="C68" s="39">
        <v>7733</v>
      </c>
      <c r="D68" s="40">
        <f>1229</f>
        <v>1229</v>
      </c>
      <c r="E68" s="39"/>
      <c r="F68" s="40"/>
      <c r="G68" s="39"/>
      <c r="H68" s="40"/>
      <c r="I68" s="41"/>
      <c r="J68" s="40"/>
      <c r="K68" s="42"/>
      <c r="L68" s="73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</row>
    <row r="69" spans="1:25" ht="13.8" thickBot="1" x14ac:dyDescent="0.3">
      <c r="A69" s="25" t="s">
        <v>32</v>
      </c>
      <c r="B69" s="44">
        <f>SUM(B57:B68)</f>
        <v>22643</v>
      </c>
      <c r="C69" s="43">
        <f>SUM(C57:C68)</f>
        <v>137688</v>
      </c>
      <c r="D69" s="44">
        <f>SUM(D57:D68)</f>
        <v>135710</v>
      </c>
      <c r="E69" s="43">
        <f>SUM(E57:E68)</f>
        <v>96488</v>
      </c>
      <c r="F69" s="44">
        <f>SUM(F57:F68)</f>
        <v>188504</v>
      </c>
      <c r="G69" s="43">
        <f t="shared" ref="G69:L69" si="2">SUM(G56:G68)</f>
        <v>211338</v>
      </c>
      <c r="H69" s="44">
        <f t="shared" si="2"/>
        <v>201754</v>
      </c>
      <c r="I69" s="48">
        <f t="shared" si="2"/>
        <v>208184</v>
      </c>
      <c r="J69" s="44">
        <f t="shared" si="2"/>
        <v>152324</v>
      </c>
      <c r="K69" s="49">
        <f t="shared" si="2"/>
        <v>269016</v>
      </c>
      <c r="L69" s="44">
        <f t="shared" si="2"/>
        <v>276210</v>
      </c>
      <c r="M69" s="44">
        <f t="shared" ref="M69:R69" si="3">SUM(M56:M68)</f>
        <v>253900</v>
      </c>
      <c r="N69" s="44">
        <f t="shared" si="3"/>
        <v>275093</v>
      </c>
      <c r="O69" s="44">
        <f t="shared" si="3"/>
        <v>53358</v>
      </c>
      <c r="P69" s="44">
        <f t="shared" si="3"/>
        <v>92893</v>
      </c>
      <c r="Q69" s="44">
        <f t="shared" si="3"/>
        <v>75535</v>
      </c>
      <c r="R69" s="44">
        <f t="shared" si="3"/>
        <v>107943</v>
      </c>
      <c r="S69" s="44">
        <f>SUM(S56:S68)</f>
        <v>81403</v>
      </c>
      <c r="T69" s="44">
        <f>SUM(T56:T68)</f>
        <v>90332</v>
      </c>
      <c r="U69" s="44">
        <f>SUM(U56:U68)</f>
        <v>233487</v>
      </c>
      <c r="V69" s="44">
        <f>SUM(V56:V68)</f>
        <v>254053</v>
      </c>
      <c r="W69" s="44">
        <f>SUM(W55:W68)</f>
        <v>212813</v>
      </c>
      <c r="X69" s="44">
        <f>SUM(X55:X67)</f>
        <v>222113</v>
      </c>
      <c r="Y69" s="44">
        <f>SUM(Y55:Y67)</f>
        <v>3714</v>
      </c>
    </row>
    <row r="70" spans="1:25" x14ac:dyDescent="0.25">
      <c r="E70" s="23"/>
      <c r="F70" s="24"/>
      <c r="G70" s="24"/>
      <c r="H70" s="24"/>
      <c r="I70" s="24"/>
      <c r="J70" s="24"/>
      <c r="K70" s="60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x14ac:dyDescent="0.25"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x14ac:dyDescent="0.25"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</sheetData>
  <mergeCells count="4">
    <mergeCell ref="A53:K53"/>
    <mergeCell ref="B25:K25"/>
    <mergeCell ref="C52:Y52"/>
    <mergeCell ref="D24:Y24"/>
  </mergeCells>
  <phoneticPr fontId="4" type="noConversion"/>
  <pageMargins left="0.25" right="0.22" top="0.74" bottom="1" header="0.25" footer="0.5"/>
  <pageSetup paperSize="9" scale="4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zoomScale="131" zoomScaleNormal="131" workbookViewId="0">
      <selection activeCell="B5" sqref="B5"/>
    </sheetView>
  </sheetViews>
  <sheetFormatPr defaultColWidth="8.88671875" defaultRowHeight="14.4" x14ac:dyDescent="0.3"/>
  <cols>
    <col min="1" max="1" width="7.44140625" style="108" customWidth="1"/>
    <col min="2" max="2" width="25.44140625" style="108" customWidth="1"/>
    <col min="3" max="3" width="18.21875" style="108" customWidth="1"/>
    <col min="4" max="4" width="17.44140625" style="108" customWidth="1"/>
    <col min="5" max="5" width="18.21875" style="108" customWidth="1"/>
    <col min="6" max="6" width="24.21875" style="108" customWidth="1"/>
    <col min="7" max="16384" width="8.88671875" style="108"/>
  </cols>
  <sheetData>
    <row r="1" spans="1:6" ht="15.6" x14ac:dyDescent="0.3">
      <c r="A1" s="126" t="s">
        <v>121</v>
      </c>
      <c r="B1" s="127"/>
      <c r="C1" s="127"/>
      <c r="D1" s="127"/>
      <c r="E1" s="127"/>
      <c r="F1" s="127"/>
    </row>
    <row r="2" spans="1:6" ht="15.6" x14ac:dyDescent="0.3">
      <c r="A2" s="126" t="s">
        <v>122</v>
      </c>
      <c r="B2" s="127"/>
      <c r="C2" s="127"/>
      <c r="D2" s="127"/>
      <c r="E2" s="127"/>
      <c r="F2" s="127"/>
    </row>
    <row r="3" spans="1:6" x14ac:dyDescent="0.3">
      <c r="A3" s="128"/>
      <c r="B3" s="129"/>
      <c r="C3" s="129"/>
      <c r="D3" s="129"/>
      <c r="E3" s="129"/>
      <c r="F3" s="129"/>
    </row>
    <row r="4" spans="1:6" x14ac:dyDescent="0.3">
      <c r="A4" s="109"/>
      <c r="B4" s="109" t="s">
        <v>20</v>
      </c>
      <c r="C4" s="109" t="s">
        <v>114</v>
      </c>
      <c r="D4" s="109" t="s">
        <v>115</v>
      </c>
      <c r="E4" s="109" t="s">
        <v>116</v>
      </c>
      <c r="F4" s="109" t="s">
        <v>117</v>
      </c>
    </row>
    <row r="5" spans="1:6" x14ac:dyDescent="0.3">
      <c r="A5" s="116">
        <v>1</v>
      </c>
      <c r="B5" s="116" t="s">
        <v>123</v>
      </c>
      <c r="C5" s="110">
        <v>19432</v>
      </c>
      <c r="D5" s="117">
        <v>930</v>
      </c>
      <c r="E5" s="111">
        <v>20362</v>
      </c>
      <c r="F5" s="111">
        <v>20362</v>
      </c>
    </row>
    <row r="6" spans="1:6" x14ac:dyDescent="0.3">
      <c r="A6" s="116">
        <v>2</v>
      </c>
      <c r="B6" s="116" t="s">
        <v>124</v>
      </c>
      <c r="C6" s="117">
        <v>0</v>
      </c>
      <c r="D6" s="110">
        <v>72343</v>
      </c>
      <c r="E6" s="111">
        <v>72343</v>
      </c>
      <c r="F6" s="111">
        <v>92705</v>
      </c>
    </row>
    <row r="7" spans="1:6" x14ac:dyDescent="0.3">
      <c r="A7" s="116"/>
      <c r="B7" s="116" t="s">
        <v>118</v>
      </c>
      <c r="C7" s="111">
        <v>19432</v>
      </c>
      <c r="D7" s="111">
        <v>73273</v>
      </c>
      <c r="E7" s="111">
        <v>92705</v>
      </c>
      <c r="F7" s="116"/>
    </row>
    <row r="9" spans="1:6" x14ac:dyDescent="0.3">
      <c r="A9" s="108" t="s">
        <v>109</v>
      </c>
    </row>
    <row r="10" spans="1:6" x14ac:dyDescent="0.3">
      <c r="A10" s="108" t="s">
        <v>110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91"/>
  <sheetViews>
    <sheetView topLeftCell="A50" workbookViewId="0">
      <selection activeCell="J52" sqref="J52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43735</v>
      </c>
    </row>
    <row r="5" spans="1:8" x14ac:dyDescent="0.25">
      <c r="C5" s="4"/>
    </row>
    <row r="6" spans="1:8" ht="13.8" thickBot="1" x14ac:dyDescent="0.3"/>
    <row r="7" spans="1:8" x14ac:dyDescent="0.25">
      <c r="A7" s="59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9"/>
      <c r="B8" s="9" t="s">
        <v>15</v>
      </c>
      <c r="C8" s="9" t="s">
        <v>0</v>
      </c>
      <c r="D8" s="9" t="s">
        <v>39</v>
      </c>
      <c r="E8" s="102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9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43378</v>
      </c>
      <c r="C10" s="1">
        <v>871</v>
      </c>
      <c r="D10" s="86">
        <f>C10</f>
        <v>871</v>
      </c>
      <c r="E10" s="11">
        <v>4656</v>
      </c>
      <c r="F10" s="3">
        <f>E10</f>
        <v>4656</v>
      </c>
      <c r="G10" s="6">
        <f>+C10-E10</f>
        <v>-3785</v>
      </c>
      <c r="H10" s="2">
        <f>G10</f>
        <v>-3785</v>
      </c>
    </row>
    <row r="11" spans="1:8" ht="14.4" x14ac:dyDescent="0.3">
      <c r="A11" s="14">
        <v>2</v>
      </c>
      <c r="B11" s="98">
        <v>43385</v>
      </c>
      <c r="C11" s="1">
        <v>1331</v>
      </c>
      <c r="D11" s="86">
        <f>D10+C11</f>
        <v>2202</v>
      </c>
      <c r="E11" s="1">
        <v>12557</v>
      </c>
      <c r="F11" s="3">
        <f t="shared" ref="F11:F61" si="0">F10+E11</f>
        <v>17213</v>
      </c>
      <c r="G11" s="6">
        <f>+C11-E11</f>
        <v>-11226</v>
      </c>
      <c r="H11" s="2">
        <f>H10+G11</f>
        <v>-15011</v>
      </c>
    </row>
    <row r="12" spans="1:8" ht="14.4" x14ac:dyDescent="0.3">
      <c r="A12" s="14">
        <v>3</v>
      </c>
      <c r="B12" s="98">
        <v>43392</v>
      </c>
      <c r="C12" s="1">
        <v>0</v>
      </c>
      <c r="D12" s="86">
        <f>D11+C12</f>
        <v>2202</v>
      </c>
      <c r="E12" s="1">
        <v>6688</v>
      </c>
      <c r="F12" s="3">
        <f t="shared" si="0"/>
        <v>23901</v>
      </c>
      <c r="G12" s="6">
        <f>+C12-E12</f>
        <v>-6688</v>
      </c>
      <c r="H12" s="2">
        <f t="shared" ref="H12:H61" si="1">H11+G12</f>
        <v>-21699</v>
      </c>
    </row>
    <row r="13" spans="1:8" ht="14.4" x14ac:dyDescent="0.3">
      <c r="A13" s="14">
        <v>4</v>
      </c>
      <c r="B13" s="98">
        <v>43399</v>
      </c>
      <c r="C13" s="1">
        <v>30</v>
      </c>
      <c r="D13" s="86">
        <f t="shared" ref="D13:D61" si="2">C13+D12</f>
        <v>2232</v>
      </c>
      <c r="E13" s="1">
        <v>32133</v>
      </c>
      <c r="F13" s="3">
        <f t="shared" si="0"/>
        <v>56034</v>
      </c>
      <c r="G13" s="6">
        <f t="shared" ref="G13:G61" si="3">+C13-E13</f>
        <v>-32103</v>
      </c>
      <c r="H13" s="2">
        <f t="shared" si="1"/>
        <v>-53802</v>
      </c>
    </row>
    <row r="14" spans="1:8" ht="14.4" x14ac:dyDescent="0.3">
      <c r="A14" s="14">
        <v>5</v>
      </c>
      <c r="B14" s="98">
        <v>43406</v>
      </c>
      <c r="C14" s="1">
        <v>646</v>
      </c>
      <c r="D14" s="86">
        <f t="shared" si="2"/>
        <v>2878</v>
      </c>
      <c r="E14" s="1">
        <v>10213</v>
      </c>
      <c r="F14" s="3">
        <f t="shared" si="0"/>
        <v>66247</v>
      </c>
      <c r="G14" s="6">
        <f t="shared" si="3"/>
        <v>-9567</v>
      </c>
      <c r="H14" s="2">
        <f t="shared" si="1"/>
        <v>-63369</v>
      </c>
    </row>
    <row r="15" spans="1:8" ht="14.4" x14ac:dyDescent="0.3">
      <c r="A15" s="14">
        <v>6</v>
      </c>
      <c r="B15" s="98">
        <v>43413</v>
      </c>
      <c r="C15" s="1">
        <v>469</v>
      </c>
      <c r="D15" s="86">
        <f t="shared" si="2"/>
        <v>3347</v>
      </c>
      <c r="E15" s="1">
        <v>16588</v>
      </c>
      <c r="F15" s="3">
        <f t="shared" si="0"/>
        <v>82835</v>
      </c>
      <c r="G15" s="6">
        <f t="shared" si="3"/>
        <v>-16119</v>
      </c>
      <c r="H15" s="2">
        <f t="shared" si="1"/>
        <v>-79488</v>
      </c>
    </row>
    <row r="16" spans="1:8" ht="14.4" x14ac:dyDescent="0.3">
      <c r="A16" s="14">
        <v>7</v>
      </c>
      <c r="B16" s="98">
        <v>43420</v>
      </c>
      <c r="C16" s="1">
        <v>383</v>
      </c>
      <c r="D16" s="86">
        <f t="shared" si="2"/>
        <v>3730</v>
      </c>
      <c r="E16" s="1">
        <v>0</v>
      </c>
      <c r="F16" s="3">
        <f t="shared" si="0"/>
        <v>82835</v>
      </c>
      <c r="G16" s="6">
        <f t="shared" si="3"/>
        <v>383</v>
      </c>
      <c r="H16" s="2">
        <f t="shared" si="1"/>
        <v>-79105</v>
      </c>
    </row>
    <row r="17" spans="1:14" ht="14.4" x14ac:dyDescent="0.3">
      <c r="A17" s="14">
        <v>8</v>
      </c>
      <c r="B17" s="98">
        <v>43427</v>
      </c>
      <c r="C17" s="1">
        <v>0</v>
      </c>
      <c r="D17" s="86">
        <f t="shared" si="2"/>
        <v>3730</v>
      </c>
      <c r="E17" s="1">
        <v>60</v>
      </c>
      <c r="F17" s="3">
        <f t="shared" si="0"/>
        <v>82895</v>
      </c>
      <c r="G17" s="6">
        <f t="shared" si="3"/>
        <v>-60</v>
      </c>
      <c r="H17" s="2">
        <f t="shared" si="1"/>
        <v>-79165</v>
      </c>
    </row>
    <row r="18" spans="1:14" ht="14.4" x14ac:dyDescent="0.3">
      <c r="A18" s="14">
        <v>9</v>
      </c>
      <c r="B18" s="98">
        <v>43434</v>
      </c>
      <c r="C18" s="1">
        <v>334</v>
      </c>
      <c r="D18" s="86">
        <f t="shared" si="2"/>
        <v>4064</v>
      </c>
      <c r="E18" s="1">
        <v>44918</v>
      </c>
      <c r="F18" s="3">
        <f t="shared" si="0"/>
        <v>127813</v>
      </c>
      <c r="G18" s="6">
        <f t="shared" si="3"/>
        <v>-44584</v>
      </c>
      <c r="H18" s="2">
        <f t="shared" si="1"/>
        <v>-123749</v>
      </c>
    </row>
    <row r="19" spans="1:14" ht="14.4" x14ac:dyDescent="0.3">
      <c r="A19" s="14">
        <v>10</v>
      </c>
      <c r="B19" s="98">
        <v>43441</v>
      </c>
      <c r="C19" s="1">
        <v>963</v>
      </c>
      <c r="D19" s="86">
        <f t="shared" si="2"/>
        <v>5027</v>
      </c>
      <c r="E19" s="1">
        <v>7955</v>
      </c>
      <c r="F19" s="3">
        <f t="shared" si="0"/>
        <v>135768</v>
      </c>
      <c r="G19" s="6">
        <f>+C19-E19</f>
        <v>-6992</v>
      </c>
      <c r="H19" s="2">
        <f t="shared" si="1"/>
        <v>-130741</v>
      </c>
    </row>
    <row r="20" spans="1:14" ht="14.4" x14ac:dyDescent="0.3">
      <c r="A20" s="14">
        <v>11</v>
      </c>
      <c r="B20" s="98">
        <v>43448</v>
      </c>
      <c r="C20" s="1">
        <v>2754</v>
      </c>
      <c r="D20" s="86">
        <f t="shared" si="2"/>
        <v>7781</v>
      </c>
      <c r="E20" s="1">
        <v>0</v>
      </c>
      <c r="F20" s="3">
        <f t="shared" si="0"/>
        <v>135768</v>
      </c>
      <c r="G20" s="6">
        <f t="shared" si="3"/>
        <v>2754</v>
      </c>
      <c r="H20" s="2">
        <f t="shared" si="1"/>
        <v>-127987</v>
      </c>
    </row>
    <row r="21" spans="1:14" ht="14.4" x14ac:dyDescent="0.3">
      <c r="A21" s="14">
        <v>12</v>
      </c>
      <c r="B21" s="98">
        <v>43455</v>
      </c>
      <c r="C21" s="1">
        <v>1830</v>
      </c>
      <c r="D21" s="86">
        <f t="shared" si="2"/>
        <v>9611</v>
      </c>
      <c r="E21" s="1">
        <v>0</v>
      </c>
      <c r="F21" s="3">
        <f t="shared" si="0"/>
        <v>135768</v>
      </c>
      <c r="G21" s="6">
        <f t="shared" si="3"/>
        <v>1830</v>
      </c>
      <c r="H21" s="2">
        <f t="shared" si="1"/>
        <v>-126157</v>
      </c>
    </row>
    <row r="22" spans="1:14" ht="14.4" x14ac:dyDescent="0.3">
      <c r="A22" s="14">
        <v>13</v>
      </c>
      <c r="B22" s="98">
        <v>43462</v>
      </c>
      <c r="C22" s="1">
        <v>2171</v>
      </c>
      <c r="D22" s="86">
        <f t="shared" si="2"/>
        <v>11782</v>
      </c>
      <c r="E22" s="1">
        <v>2071</v>
      </c>
      <c r="F22" s="3">
        <f t="shared" si="0"/>
        <v>137839</v>
      </c>
      <c r="G22" s="6">
        <f t="shared" si="3"/>
        <v>100</v>
      </c>
      <c r="H22" s="2">
        <f t="shared" si="1"/>
        <v>-126057</v>
      </c>
    </row>
    <row r="23" spans="1:14" ht="14.4" x14ac:dyDescent="0.3">
      <c r="A23" s="14">
        <v>14</v>
      </c>
      <c r="B23" s="98">
        <v>43469</v>
      </c>
      <c r="C23" s="1">
        <v>529</v>
      </c>
      <c r="D23" s="86">
        <f t="shared" si="2"/>
        <v>12311</v>
      </c>
      <c r="E23" s="1">
        <v>11688</v>
      </c>
      <c r="F23" s="3">
        <f t="shared" si="0"/>
        <v>149527</v>
      </c>
      <c r="G23" s="6">
        <f t="shared" si="3"/>
        <v>-11159</v>
      </c>
      <c r="H23" s="2">
        <f t="shared" si="1"/>
        <v>-137216</v>
      </c>
    </row>
    <row r="24" spans="1:14" ht="14.4" x14ac:dyDescent="0.3">
      <c r="A24" s="14">
        <v>15</v>
      </c>
      <c r="B24" s="98">
        <v>43476</v>
      </c>
      <c r="C24" s="1">
        <v>2820</v>
      </c>
      <c r="D24" s="86">
        <f t="shared" si="2"/>
        <v>15131</v>
      </c>
      <c r="E24" s="1">
        <v>21760</v>
      </c>
      <c r="F24" s="3">
        <f t="shared" si="0"/>
        <v>171287</v>
      </c>
      <c r="G24" s="6">
        <f t="shared" si="3"/>
        <v>-18940</v>
      </c>
      <c r="H24" s="2">
        <f t="shared" si="1"/>
        <v>-156156</v>
      </c>
    </row>
    <row r="25" spans="1:14" ht="14.4" x14ac:dyDescent="0.3">
      <c r="A25" s="14">
        <v>16</v>
      </c>
      <c r="B25" s="98">
        <v>43483</v>
      </c>
      <c r="C25" s="1">
        <v>4701</v>
      </c>
      <c r="D25" s="86">
        <f t="shared" si="2"/>
        <v>19832</v>
      </c>
      <c r="E25" s="1">
        <v>0</v>
      </c>
      <c r="F25" s="3">
        <f t="shared" si="0"/>
        <v>171287</v>
      </c>
      <c r="G25" s="6">
        <f t="shared" si="3"/>
        <v>4701</v>
      </c>
      <c r="H25" s="2">
        <f t="shared" si="1"/>
        <v>-151455</v>
      </c>
    </row>
    <row r="26" spans="1:14" ht="14.4" x14ac:dyDescent="0.3">
      <c r="A26" s="14">
        <v>17</v>
      </c>
      <c r="B26" s="98">
        <v>43490</v>
      </c>
      <c r="C26" s="1">
        <v>3571</v>
      </c>
      <c r="D26" s="86">
        <f t="shared" si="2"/>
        <v>23403</v>
      </c>
      <c r="E26" s="1">
        <v>0</v>
      </c>
      <c r="F26" s="3">
        <f t="shared" si="0"/>
        <v>171287</v>
      </c>
      <c r="G26" s="6">
        <f t="shared" si="3"/>
        <v>3571</v>
      </c>
      <c r="H26" s="2">
        <f t="shared" si="1"/>
        <v>-147884</v>
      </c>
      <c r="N26" s="85"/>
    </row>
    <row r="27" spans="1:14" ht="14.4" x14ac:dyDescent="0.3">
      <c r="A27" s="14">
        <v>18</v>
      </c>
      <c r="B27" s="98">
        <v>43497</v>
      </c>
      <c r="C27" s="1">
        <v>3610</v>
      </c>
      <c r="D27" s="86">
        <f t="shared" si="2"/>
        <v>27013</v>
      </c>
      <c r="E27" s="1">
        <v>5668</v>
      </c>
      <c r="F27" s="3">
        <f t="shared" si="0"/>
        <v>176955</v>
      </c>
      <c r="G27" s="6">
        <f t="shared" si="3"/>
        <v>-2058</v>
      </c>
      <c r="H27" s="2">
        <f t="shared" si="1"/>
        <v>-149942</v>
      </c>
    </row>
    <row r="28" spans="1:14" ht="14.4" x14ac:dyDescent="0.3">
      <c r="A28" s="14">
        <v>19</v>
      </c>
      <c r="B28" s="98">
        <v>43504</v>
      </c>
      <c r="C28" s="1">
        <v>4374</v>
      </c>
      <c r="D28" s="86">
        <f t="shared" si="2"/>
        <v>31387</v>
      </c>
      <c r="E28" s="1">
        <v>46118</v>
      </c>
      <c r="F28" s="3">
        <f t="shared" si="0"/>
        <v>223073</v>
      </c>
      <c r="G28" s="6">
        <f t="shared" si="3"/>
        <v>-41744</v>
      </c>
      <c r="H28" s="2">
        <f t="shared" si="1"/>
        <v>-191686</v>
      </c>
    </row>
    <row r="29" spans="1:14" ht="14.4" x14ac:dyDescent="0.3">
      <c r="A29" s="14">
        <v>20</v>
      </c>
      <c r="B29" s="98">
        <v>43511</v>
      </c>
      <c r="C29" s="1">
        <v>3142</v>
      </c>
      <c r="D29" s="86">
        <f t="shared" si="2"/>
        <v>34529</v>
      </c>
      <c r="E29" s="1">
        <v>52335</v>
      </c>
      <c r="F29" s="3">
        <f t="shared" si="0"/>
        <v>275408</v>
      </c>
      <c r="G29" s="6">
        <f t="shared" si="3"/>
        <v>-49193</v>
      </c>
      <c r="H29" s="2">
        <f t="shared" si="1"/>
        <v>-240879</v>
      </c>
    </row>
    <row r="30" spans="1:14" ht="14.4" x14ac:dyDescent="0.3">
      <c r="A30" s="14">
        <v>21</v>
      </c>
      <c r="B30" s="98">
        <v>43518</v>
      </c>
      <c r="C30" s="1">
        <v>1480</v>
      </c>
      <c r="D30" s="86">
        <f t="shared" si="2"/>
        <v>36009</v>
      </c>
      <c r="E30" s="1">
        <v>54849</v>
      </c>
      <c r="F30" s="3">
        <f t="shared" si="0"/>
        <v>330257</v>
      </c>
      <c r="G30" s="6">
        <f t="shared" si="3"/>
        <v>-53369</v>
      </c>
      <c r="H30" s="2">
        <f t="shared" si="1"/>
        <v>-294248</v>
      </c>
    </row>
    <row r="31" spans="1:14" ht="14.4" x14ac:dyDescent="0.3">
      <c r="A31" s="14">
        <v>22</v>
      </c>
      <c r="B31" s="98">
        <v>43525</v>
      </c>
      <c r="C31" s="1">
        <v>1058</v>
      </c>
      <c r="D31" s="86">
        <f t="shared" si="2"/>
        <v>37067</v>
      </c>
      <c r="E31" s="1">
        <v>30334</v>
      </c>
      <c r="F31" s="3">
        <f t="shared" si="0"/>
        <v>360591</v>
      </c>
      <c r="G31" s="6">
        <f t="shared" si="3"/>
        <v>-29276</v>
      </c>
      <c r="H31" s="2">
        <f t="shared" si="1"/>
        <v>-323524</v>
      </c>
    </row>
    <row r="32" spans="1:14" ht="14.4" x14ac:dyDescent="0.3">
      <c r="A32" s="14">
        <v>23</v>
      </c>
      <c r="B32" s="98">
        <v>43532</v>
      </c>
      <c r="C32" s="1">
        <v>576</v>
      </c>
      <c r="D32" s="86">
        <f t="shared" si="2"/>
        <v>37643</v>
      </c>
      <c r="E32" s="1">
        <v>28723</v>
      </c>
      <c r="F32" s="3">
        <f t="shared" si="0"/>
        <v>389314</v>
      </c>
      <c r="G32" s="6">
        <f t="shared" si="3"/>
        <v>-28147</v>
      </c>
      <c r="H32" s="2">
        <f t="shared" si="1"/>
        <v>-351671</v>
      </c>
    </row>
    <row r="33" spans="1:11" ht="14.4" x14ac:dyDescent="0.3">
      <c r="A33" s="14">
        <v>24</v>
      </c>
      <c r="B33" s="98">
        <v>43539</v>
      </c>
      <c r="C33" s="1">
        <v>2409</v>
      </c>
      <c r="D33" s="86">
        <f t="shared" si="2"/>
        <v>40052</v>
      </c>
      <c r="E33" s="1">
        <v>24540</v>
      </c>
      <c r="F33" s="3">
        <f t="shared" si="0"/>
        <v>413854</v>
      </c>
      <c r="G33" s="6">
        <f t="shared" si="3"/>
        <v>-22131</v>
      </c>
      <c r="H33" s="2">
        <f t="shared" si="1"/>
        <v>-373802</v>
      </c>
    </row>
    <row r="34" spans="1:11" ht="14.4" x14ac:dyDescent="0.3">
      <c r="A34" s="14">
        <v>25</v>
      </c>
      <c r="B34" s="98">
        <v>43546</v>
      </c>
      <c r="C34" s="1">
        <v>5658</v>
      </c>
      <c r="D34" s="86">
        <f t="shared" si="2"/>
        <v>45710</v>
      </c>
      <c r="E34" s="1">
        <v>0</v>
      </c>
      <c r="F34" s="3">
        <f t="shared" si="0"/>
        <v>413854</v>
      </c>
      <c r="G34" s="6">
        <f t="shared" si="3"/>
        <v>5658</v>
      </c>
      <c r="H34" s="2">
        <f t="shared" si="1"/>
        <v>-368144</v>
      </c>
    </row>
    <row r="35" spans="1:11" ht="14.4" x14ac:dyDescent="0.3">
      <c r="A35" s="14">
        <v>26</v>
      </c>
      <c r="B35" s="98">
        <v>43553</v>
      </c>
      <c r="C35" s="1">
        <v>3911</v>
      </c>
      <c r="D35" s="86">
        <f t="shared" si="2"/>
        <v>49621</v>
      </c>
      <c r="E35" s="1">
        <v>29330</v>
      </c>
      <c r="F35" s="3">
        <f t="shared" si="0"/>
        <v>443184</v>
      </c>
      <c r="G35" s="6">
        <f t="shared" si="3"/>
        <v>-25419</v>
      </c>
      <c r="H35" s="2">
        <f t="shared" si="1"/>
        <v>-393563</v>
      </c>
    </row>
    <row r="36" spans="1:11" ht="14.4" x14ac:dyDescent="0.3">
      <c r="A36" s="14">
        <v>27</v>
      </c>
      <c r="B36" s="98">
        <v>43560</v>
      </c>
      <c r="C36" s="1">
        <v>1157</v>
      </c>
      <c r="D36" s="86">
        <f t="shared" si="2"/>
        <v>50778</v>
      </c>
      <c r="E36" s="1">
        <v>5148</v>
      </c>
      <c r="F36" s="3">
        <f t="shared" si="0"/>
        <v>448332</v>
      </c>
      <c r="G36" s="6">
        <f t="shared" si="3"/>
        <v>-3991</v>
      </c>
      <c r="H36" s="2">
        <f t="shared" si="1"/>
        <v>-397554</v>
      </c>
    </row>
    <row r="37" spans="1:11" ht="14.4" x14ac:dyDescent="0.3">
      <c r="A37" s="14">
        <v>28</v>
      </c>
      <c r="B37" s="98">
        <v>43567</v>
      </c>
      <c r="C37" s="1">
        <v>2234</v>
      </c>
      <c r="D37" s="86">
        <f t="shared" si="2"/>
        <v>53012</v>
      </c>
      <c r="E37" s="1">
        <v>764</v>
      </c>
      <c r="F37" s="3">
        <f t="shared" si="0"/>
        <v>449096</v>
      </c>
      <c r="G37" s="6">
        <f t="shared" si="3"/>
        <v>1470</v>
      </c>
      <c r="H37" s="2">
        <f t="shared" si="1"/>
        <v>-396084</v>
      </c>
    </row>
    <row r="38" spans="1:11" ht="14.4" x14ac:dyDescent="0.3">
      <c r="A38" s="14">
        <v>29</v>
      </c>
      <c r="B38" s="98">
        <v>43574</v>
      </c>
      <c r="C38" s="1">
        <v>3299</v>
      </c>
      <c r="D38" s="86">
        <f t="shared" si="2"/>
        <v>56311</v>
      </c>
      <c r="E38" s="1">
        <v>6343</v>
      </c>
      <c r="F38" s="3">
        <f t="shared" si="0"/>
        <v>455439</v>
      </c>
      <c r="G38" s="6">
        <f t="shared" si="3"/>
        <v>-3044</v>
      </c>
      <c r="H38" s="2">
        <f t="shared" si="1"/>
        <v>-399128</v>
      </c>
    </row>
    <row r="39" spans="1:11" ht="14.4" x14ac:dyDescent="0.3">
      <c r="A39" s="14">
        <v>30</v>
      </c>
      <c r="B39" s="98">
        <v>43581</v>
      </c>
      <c r="C39" s="1">
        <v>1773</v>
      </c>
      <c r="D39" s="86">
        <f t="shared" si="2"/>
        <v>58084</v>
      </c>
      <c r="E39" s="1">
        <v>31855</v>
      </c>
      <c r="F39" s="3">
        <f t="shared" si="0"/>
        <v>487294</v>
      </c>
      <c r="G39" s="6">
        <f t="shared" si="3"/>
        <v>-30082</v>
      </c>
      <c r="H39" s="2">
        <f t="shared" si="1"/>
        <v>-429210</v>
      </c>
    </row>
    <row r="40" spans="1:11" ht="14.4" x14ac:dyDescent="0.3">
      <c r="A40" s="14">
        <v>31</v>
      </c>
      <c r="B40" s="98">
        <v>43588</v>
      </c>
      <c r="C40" s="1">
        <v>2961</v>
      </c>
      <c r="D40" s="86">
        <f t="shared" si="2"/>
        <v>61045</v>
      </c>
      <c r="E40" s="1">
        <v>74583</v>
      </c>
      <c r="F40" s="3">
        <f t="shared" si="0"/>
        <v>561877</v>
      </c>
      <c r="G40" s="6">
        <f t="shared" si="3"/>
        <v>-71622</v>
      </c>
      <c r="H40" s="2">
        <f t="shared" si="1"/>
        <v>-500832</v>
      </c>
    </row>
    <row r="41" spans="1:11" ht="14.4" x14ac:dyDescent="0.3">
      <c r="A41" s="14">
        <v>32</v>
      </c>
      <c r="B41" s="98">
        <v>43595</v>
      </c>
      <c r="C41" s="1">
        <v>924</v>
      </c>
      <c r="D41" s="86">
        <f t="shared" si="2"/>
        <v>61969</v>
      </c>
      <c r="E41" s="1">
        <v>37042</v>
      </c>
      <c r="F41" s="3">
        <f t="shared" si="0"/>
        <v>598919</v>
      </c>
      <c r="G41" s="6">
        <f t="shared" si="3"/>
        <v>-36118</v>
      </c>
      <c r="H41" s="2">
        <f t="shared" si="1"/>
        <v>-536950</v>
      </c>
    </row>
    <row r="42" spans="1:11" ht="14.4" x14ac:dyDescent="0.3">
      <c r="A42" s="14">
        <v>33</v>
      </c>
      <c r="B42" s="98">
        <v>43602</v>
      </c>
      <c r="C42" s="1">
        <v>0</v>
      </c>
      <c r="D42" s="86">
        <f t="shared" si="2"/>
        <v>61969</v>
      </c>
      <c r="E42" s="1">
        <v>63650</v>
      </c>
      <c r="F42" s="3">
        <f t="shared" si="0"/>
        <v>662569</v>
      </c>
      <c r="G42" s="6">
        <f t="shared" si="3"/>
        <v>-63650</v>
      </c>
      <c r="H42" s="2">
        <f t="shared" si="1"/>
        <v>-600600</v>
      </c>
    </row>
    <row r="43" spans="1:11" ht="14.4" x14ac:dyDescent="0.3">
      <c r="A43" s="14">
        <v>34</v>
      </c>
      <c r="B43" s="98">
        <v>43609</v>
      </c>
      <c r="C43" s="1">
        <v>616</v>
      </c>
      <c r="D43" s="86">
        <f t="shared" si="2"/>
        <v>62585</v>
      </c>
      <c r="E43" s="1">
        <v>21196</v>
      </c>
      <c r="F43" s="3">
        <f t="shared" si="0"/>
        <v>683765</v>
      </c>
      <c r="G43" s="6">
        <f t="shared" si="3"/>
        <v>-20580</v>
      </c>
      <c r="H43" s="2">
        <f t="shared" si="1"/>
        <v>-621180</v>
      </c>
    </row>
    <row r="44" spans="1:11" ht="14.4" x14ac:dyDescent="0.3">
      <c r="A44" s="14">
        <v>35</v>
      </c>
      <c r="B44" s="98">
        <v>43616</v>
      </c>
      <c r="C44" s="1">
        <v>0</v>
      </c>
      <c r="D44" s="86">
        <f t="shared" si="2"/>
        <v>62585</v>
      </c>
      <c r="E44" s="1">
        <v>48513</v>
      </c>
      <c r="F44" s="3">
        <f t="shared" si="0"/>
        <v>732278</v>
      </c>
      <c r="G44" s="6">
        <f t="shared" si="3"/>
        <v>-48513</v>
      </c>
      <c r="H44" s="2">
        <f t="shared" si="1"/>
        <v>-669693</v>
      </c>
    </row>
    <row r="45" spans="1:11" ht="14.4" x14ac:dyDescent="0.3">
      <c r="A45" s="14">
        <v>36</v>
      </c>
      <c r="B45" s="98">
        <v>43623</v>
      </c>
      <c r="C45" s="1">
        <v>2235</v>
      </c>
      <c r="D45" s="86">
        <f t="shared" si="2"/>
        <v>64820</v>
      </c>
      <c r="E45" s="1">
        <v>13258</v>
      </c>
      <c r="F45" s="3">
        <f t="shared" si="0"/>
        <v>745536</v>
      </c>
      <c r="G45" s="6">
        <f t="shared" si="3"/>
        <v>-11023</v>
      </c>
      <c r="H45" s="2">
        <f t="shared" si="1"/>
        <v>-680716</v>
      </c>
    </row>
    <row r="46" spans="1:11" ht="14.4" x14ac:dyDescent="0.3">
      <c r="A46" s="14">
        <v>37</v>
      </c>
      <c r="B46" s="98">
        <v>43630</v>
      </c>
      <c r="C46" s="1">
        <v>825</v>
      </c>
      <c r="D46" s="86">
        <f t="shared" si="2"/>
        <v>65645</v>
      </c>
      <c r="E46" s="1">
        <v>42346</v>
      </c>
      <c r="F46" s="3">
        <f t="shared" si="0"/>
        <v>787882</v>
      </c>
      <c r="G46" s="6">
        <f t="shared" si="3"/>
        <v>-41521</v>
      </c>
      <c r="H46" s="2">
        <f t="shared" si="1"/>
        <v>-722237</v>
      </c>
    </row>
    <row r="47" spans="1:11" ht="14.4" x14ac:dyDescent="0.3">
      <c r="A47" s="14">
        <v>38</v>
      </c>
      <c r="B47" s="98">
        <v>43637</v>
      </c>
      <c r="C47" s="1">
        <v>253</v>
      </c>
      <c r="D47" s="86">
        <f t="shared" si="2"/>
        <v>65898</v>
      </c>
      <c r="E47" s="1">
        <v>30137</v>
      </c>
      <c r="F47" s="3">
        <f t="shared" si="0"/>
        <v>818019</v>
      </c>
      <c r="G47" s="6">
        <f t="shared" si="3"/>
        <v>-29884</v>
      </c>
      <c r="H47" s="2">
        <f t="shared" si="1"/>
        <v>-752121</v>
      </c>
    </row>
    <row r="48" spans="1:11" ht="14.4" x14ac:dyDescent="0.3">
      <c r="A48" s="14">
        <v>39</v>
      </c>
      <c r="B48" s="98">
        <v>43644</v>
      </c>
      <c r="C48" s="1">
        <v>1795</v>
      </c>
      <c r="D48" s="86">
        <f t="shared" si="2"/>
        <v>67693</v>
      </c>
      <c r="E48" s="1">
        <v>31249</v>
      </c>
      <c r="F48" s="3">
        <f t="shared" si="0"/>
        <v>849268</v>
      </c>
      <c r="G48" s="6">
        <f t="shared" si="3"/>
        <v>-29454</v>
      </c>
      <c r="H48" s="2">
        <f t="shared" si="1"/>
        <v>-781575</v>
      </c>
      <c r="K48" s="12"/>
    </row>
    <row r="49" spans="1:8" ht="14.4" x14ac:dyDescent="0.3">
      <c r="A49" s="14">
        <v>40</v>
      </c>
      <c r="B49" s="98">
        <v>43651</v>
      </c>
      <c r="C49" s="1">
        <v>5238</v>
      </c>
      <c r="D49" s="86">
        <f t="shared" si="2"/>
        <v>72931</v>
      </c>
      <c r="E49" s="1">
        <v>8944</v>
      </c>
      <c r="F49" s="3">
        <f t="shared" si="0"/>
        <v>858212</v>
      </c>
      <c r="G49" s="6">
        <f t="shared" si="3"/>
        <v>-3706</v>
      </c>
      <c r="H49" s="2">
        <f t="shared" si="1"/>
        <v>-785281</v>
      </c>
    </row>
    <row r="50" spans="1:8" ht="14.4" x14ac:dyDescent="0.3">
      <c r="A50" s="14">
        <v>41</v>
      </c>
      <c r="B50" s="98">
        <v>43658</v>
      </c>
      <c r="C50" s="1">
        <v>5444</v>
      </c>
      <c r="D50" s="86">
        <f t="shared" si="2"/>
        <v>78375</v>
      </c>
      <c r="E50" s="1">
        <v>11769</v>
      </c>
      <c r="F50" s="3">
        <f t="shared" si="0"/>
        <v>869981</v>
      </c>
      <c r="G50" s="6">
        <f t="shared" si="3"/>
        <v>-6325</v>
      </c>
      <c r="H50" s="2">
        <f t="shared" si="1"/>
        <v>-791606</v>
      </c>
    </row>
    <row r="51" spans="1:8" ht="14.4" x14ac:dyDescent="0.3">
      <c r="A51" s="14">
        <v>42</v>
      </c>
      <c r="B51" s="98">
        <v>43665</v>
      </c>
      <c r="C51" s="1">
        <v>6526</v>
      </c>
      <c r="D51" s="86">
        <f t="shared" si="2"/>
        <v>84901</v>
      </c>
      <c r="E51" s="1">
        <v>30722</v>
      </c>
      <c r="F51" s="3">
        <f t="shared" si="0"/>
        <v>900703</v>
      </c>
      <c r="G51" s="6">
        <f t="shared" si="3"/>
        <v>-24196</v>
      </c>
      <c r="H51" s="2">
        <f t="shared" si="1"/>
        <v>-815802</v>
      </c>
    </row>
    <row r="52" spans="1:8" ht="14.4" x14ac:dyDescent="0.3">
      <c r="A52" s="14">
        <v>43</v>
      </c>
      <c r="B52" s="98">
        <v>43672</v>
      </c>
      <c r="C52" s="1">
        <v>4658</v>
      </c>
      <c r="D52" s="86">
        <f t="shared" si="2"/>
        <v>89559</v>
      </c>
      <c r="E52" s="1">
        <v>38760</v>
      </c>
      <c r="F52" s="3">
        <f t="shared" si="0"/>
        <v>939463</v>
      </c>
      <c r="G52" s="6">
        <f t="shared" si="3"/>
        <v>-34102</v>
      </c>
      <c r="H52" s="2">
        <f t="shared" si="1"/>
        <v>-849904</v>
      </c>
    </row>
    <row r="53" spans="1:8" ht="14.4" x14ac:dyDescent="0.3">
      <c r="A53" s="14">
        <v>44</v>
      </c>
      <c r="B53" s="98">
        <v>43679</v>
      </c>
      <c r="C53" s="1">
        <v>6304</v>
      </c>
      <c r="D53" s="86">
        <f t="shared" si="2"/>
        <v>95863</v>
      </c>
      <c r="E53" s="1">
        <v>0</v>
      </c>
      <c r="F53" s="3">
        <f t="shared" si="0"/>
        <v>939463</v>
      </c>
      <c r="G53" s="6">
        <f t="shared" si="3"/>
        <v>6304</v>
      </c>
      <c r="H53" s="2">
        <f t="shared" si="1"/>
        <v>-843600</v>
      </c>
    </row>
    <row r="54" spans="1:8" ht="14.4" x14ac:dyDescent="0.3">
      <c r="A54" s="14">
        <v>45</v>
      </c>
      <c r="B54" s="98">
        <v>43685</v>
      </c>
      <c r="C54" s="1">
        <v>2283</v>
      </c>
      <c r="D54" s="86">
        <f t="shared" si="2"/>
        <v>98146</v>
      </c>
      <c r="E54" s="1">
        <v>30927</v>
      </c>
      <c r="F54" s="3">
        <f t="shared" si="0"/>
        <v>970390</v>
      </c>
      <c r="G54" s="6">
        <f t="shared" si="3"/>
        <v>-28644</v>
      </c>
      <c r="H54" s="2">
        <f t="shared" si="1"/>
        <v>-872244</v>
      </c>
    </row>
    <row r="55" spans="1:8" ht="14.4" x14ac:dyDescent="0.3">
      <c r="A55" s="14">
        <v>46</v>
      </c>
      <c r="B55" s="98">
        <v>43693</v>
      </c>
      <c r="C55" s="1">
        <v>3738</v>
      </c>
      <c r="D55" s="86">
        <f t="shared" si="2"/>
        <v>101884</v>
      </c>
      <c r="E55" s="1">
        <v>27147</v>
      </c>
      <c r="F55" s="3">
        <f t="shared" si="0"/>
        <v>997537</v>
      </c>
      <c r="G55" s="6">
        <f t="shared" si="3"/>
        <v>-23409</v>
      </c>
      <c r="H55" s="2">
        <f t="shared" si="1"/>
        <v>-895653</v>
      </c>
    </row>
    <row r="56" spans="1:8" ht="14.4" x14ac:dyDescent="0.3">
      <c r="A56" s="14">
        <v>47</v>
      </c>
      <c r="B56" s="98">
        <v>43700</v>
      </c>
      <c r="C56" s="1">
        <v>1247</v>
      </c>
      <c r="D56" s="86">
        <f t="shared" si="2"/>
        <v>103131</v>
      </c>
      <c r="E56" s="1">
        <v>1320</v>
      </c>
      <c r="F56" s="3">
        <f t="shared" si="0"/>
        <v>998857</v>
      </c>
      <c r="G56" s="6">
        <f t="shared" si="3"/>
        <v>-73</v>
      </c>
      <c r="H56" s="2">
        <f t="shared" si="1"/>
        <v>-895726</v>
      </c>
    </row>
    <row r="57" spans="1:8" ht="14.4" x14ac:dyDescent="0.3">
      <c r="A57" s="14">
        <v>48</v>
      </c>
      <c r="B57" s="98">
        <v>43707</v>
      </c>
      <c r="C57" s="1">
        <v>1030</v>
      </c>
      <c r="D57" s="86">
        <f t="shared" si="2"/>
        <v>104161</v>
      </c>
      <c r="E57" s="1">
        <v>34206</v>
      </c>
      <c r="F57" s="3">
        <f t="shared" si="0"/>
        <v>1033063</v>
      </c>
      <c r="G57" s="6">
        <f t="shared" si="3"/>
        <v>-33176</v>
      </c>
      <c r="H57" s="2">
        <f t="shared" si="1"/>
        <v>-928902</v>
      </c>
    </row>
    <row r="58" spans="1:8" ht="14.4" x14ac:dyDescent="0.3">
      <c r="A58" s="14">
        <v>49</v>
      </c>
      <c r="B58" s="98">
        <v>43714</v>
      </c>
      <c r="C58" s="1">
        <v>1045</v>
      </c>
      <c r="D58" s="86">
        <f t="shared" si="2"/>
        <v>105206</v>
      </c>
      <c r="E58" s="1">
        <v>28848</v>
      </c>
      <c r="F58" s="3">
        <f t="shared" si="0"/>
        <v>1061911</v>
      </c>
      <c r="G58" s="6">
        <f t="shared" si="3"/>
        <v>-27803</v>
      </c>
      <c r="H58" s="2">
        <f t="shared" si="1"/>
        <v>-956705</v>
      </c>
    </row>
    <row r="59" spans="1:8" ht="14.4" x14ac:dyDescent="0.3">
      <c r="A59" s="14">
        <v>50</v>
      </c>
      <c r="B59" s="98">
        <v>43721</v>
      </c>
      <c r="C59" s="1">
        <v>823</v>
      </c>
      <c r="D59" s="86">
        <f t="shared" si="2"/>
        <v>106029</v>
      </c>
      <c r="E59" s="1">
        <v>78892</v>
      </c>
      <c r="F59" s="3">
        <f t="shared" si="0"/>
        <v>1140803</v>
      </c>
      <c r="G59" s="6">
        <f t="shared" si="3"/>
        <v>-78069</v>
      </c>
      <c r="H59" s="2">
        <f t="shared" si="1"/>
        <v>-1034774</v>
      </c>
    </row>
    <row r="60" spans="1:8" ht="14.4" x14ac:dyDescent="0.3">
      <c r="A60" s="14">
        <v>51</v>
      </c>
      <c r="B60" s="98">
        <v>43728</v>
      </c>
      <c r="C60" s="1">
        <v>1186</v>
      </c>
      <c r="D60" s="86">
        <f t="shared" si="2"/>
        <v>107215</v>
      </c>
      <c r="E60" s="1">
        <v>73282</v>
      </c>
      <c r="F60" s="3">
        <f t="shared" si="0"/>
        <v>1214085</v>
      </c>
      <c r="G60" s="6">
        <f t="shared" si="3"/>
        <v>-72096</v>
      </c>
      <c r="H60" s="2">
        <f t="shared" si="1"/>
        <v>-1106870</v>
      </c>
    </row>
    <row r="61" spans="1:8" ht="15" thickBot="1" x14ac:dyDescent="0.35">
      <c r="A61" s="14">
        <v>52</v>
      </c>
      <c r="B61" s="100">
        <v>43735</v>
      </c>
      <c r="C61" s="58">
        <v>728</v>
      </c>
      <c r="D61" s="57">
        <f t="shared" si="2"/>
        <v>107943</v>
      </c>
      <c r="E61" s="58">
        <v>142546</v>
      </c>
      <c r="F61" s="57">
        <f t="shared" si="0"/>
        <v>1356631</v>
      </c>
      <c r="G61" s="57">
        <f t="shared" si="3"/>
        <v>-141818</v>
      </c>
      <c r="H61" s="57">
        <f t="shared" si="1"/>
        <v>-1248688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91"/>
  <sheetViews>
    <sheetView topLeftCell="A12" workbookViewId="0">
      <selection activeCell="H61" sqref="H61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93</v>
      </c>
    </row>
    <row r="2" spans="1:8" x14ac:dyDescent="0.25">
      <c r="C2" s="4" t="s">
        <v>94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44099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43742</v>
      </c>
      <c r="C10" s="1">
        <v>324</v>
      </c>
      <c r="D10" s="86">
        <f>C10</f>
        <v>324</v>
      </c>
      <c r="E10" s="11">
        <v>20114</v>
      </c>
      <c r="F10" s="3">
        <f>E10</f>
        <v>20114</v>
      </c>
      <c r="G10" s="6">
        <f>+C10-E10</f>
        <v>-19790</v>
      </c>
      <c r="H10" s="2">
        <f>G10</f>
        <v>-19790</v>
      </c>
    </row>
    <row r="11" spans="1:8" ht="14.4" x14ac:dyDescent="0.3">
      <c r="A11" s="14">
        <v>2</v>
      </c>
      <c r="B11" s="98">
        <v>43749</v>
      </c>
      <c r="C11" s="1">
        <v>288</v>
      </c>
      <c r="D11" s="86">
        <f>D10+C11</f>
        <v>612</v>
      </c>
      <c r="E11" s="1">
        <v>102546</v>
      </c>
      <c r="F11" s="3">
        <f t="shared" ref="F11:F61" si="0">F10+E11</f>
        <v>122660</v>
      </c>
      <c r="G11" s="6">
        <f>+C11-E11</f>
        <v>-102258</v>
      </c>
      <c r="H11" s="2">
        <f>H10+G11</f>
        <v>-122048</v>
      </c>
    </row>
    <row r="12" spans="1:8" ht="14.4" x14ac:dyDescent="0.3">
      <c r="A12" s="14">
        <v>3</v>
      </c>
      <c r="B12" s="98">
        <v>43756</v>
      </c>
      <c r="C12" s="1">
        <v>183</v>
      </c>
      <c r="D12" s="86">
        <f>D11+C12</f>
        <v>795</v>
      </c>
      <c r="E12" s="1">
        <v>66671</v>
      </c>
      <c r="F12" s="3">
        <f t="shared" si="0"/>
        <v>189331</v>
      </c>
      <c r="G12" s="6">
        <f>+C12-E12</f>
        <v>-66488</v>
      </c>
      <c r="H12" s="2">
        <f t="shared" ref="H12:H61" si="1">H11+G12</f>
        <v>-188536</v>
      </c>
    </row>
    <row r="13" spans="1:8" ht="14.4" x14ac:dyDescent="0.3">
      <c r="A13" s="14">
        <v>4</v>
      </c>
      <c r="B13" s="98">
        <v>43763</v>
      </c>
      <c r="C13" s="1">
        <v>1031</v>
      </c>
      <c r="D13" s="86">
        <f t="shared" ref="D13:D61" si="2">C13+D12</f>
        <v>1826</v>
      </c>
      <c r="E13" s="1">
        <v>49234</v>
      </c>
      <c r="F13" s="3">
        <f t="shared" si="0"/>
        <v>238565</v>
      </c>
      <c r="G13" s="6">
        <f t="shared" ref="G13:G61" si="3">+C13-E13</f>
        <v>-48203</v>
      </c>
      <c r="H13" s="2">
        <f t="shared" si="1"/>
        <v>-236739</v>
      </c>
    </row>
    <row r="14" spans="1:8" ht="14.4" x14ac:dyDescent="0.3">
      <c r="A14" s="14">
        <v>5</v>
      </c>
      <c r="B14" s="98">
        <v>43770</v>
      </c>
      <c r="C14" s="1">
        <v>34</v>
      </c>
      <c r="D14" s="86">
        <f t="shared" si="2"/>
        <v>1860</v>
      </c>
      <c r="E14" s="1">
        <v>51282</v>
      </c>
      <c r="F14" s="3">
        <f t="shared" si="0"/>
        <v>289847</v>
      </c>
      <c r="G14" s="6">
        <f t="shared" si="3"/>
        <v>-51248</v>
      </c>
      <c r="H14" s="2">
        <f t="shared" si="1"/>
        <v>-287987</v>
      </c>
    </row>
    <row r="15" spans="1:8" ht="14.4" x14ac:dyDescent="0.3">
      <c r="A15" s="14">
        <v>6</v>
      </c>
      <c r="B15" s="98">
        <v>43777</v>
      </c>
      <c r="C15" s="1">
        <v>111</v>
      </c>
      <c r="D15" s="86">
        <f t="shared" si="2"/>
        <v>1971</v>
      </c>
      <c r="E15" s="1">
        <v>53552</v>
      </c>
      <c r="F15" s="3">
        <f t="shared" si="0"/>
        <v>343399</v>
      </c>
      <c r="G15" s="6">
        <f t="shared" si="3"/>
        <v>-53441</v>
      </c>
      <c r="H15" s="2">
        <f t="shared" si="1"/>
        <v>-341428</v>
      </c>
    </row>
    <row r="16" spans="1:8" ht="14.4" x14ac:dyDescent="0.3">
      <c r="A16" s="14">
        <v>7</v>
      </c>
      <c r="B16" s="98">
        <v>43784</v>
      </c>
      <c r="C16" s="1">
        <v>1155</v>
      </c>
      <c r="D16" s="86">
        <f t="shared" si="2"/>
        <v>3126</v>
      </c>
      <c r="E16" s="1">
        <v>17767</v>
      </c>
      <c r="F16" s="3">
        <f t="shared" si="0"/>
        <v>361166</v>
      </c>
      <c r="G16" s="6">
        <f t="shared" si="3"/>
        <v>-16612</v>
      </c>
      <c r="H16" s="2">
        <f t="shared" si="1"/>
        <v>-358040</v>
      </c>
    </row>
    <row r="17" spans="1:14" ht="14.4" x14ac:dyDescent="0.3">
      <c r="A17" s="14">
        <v>8</v>
      </c>
      <c r="B17" s="98">
        <v>43791</v>
      </c>
      <c r="C17" s="1">
        <v>137</v>
      </c>
      <c r="D17" s="86">
        <f t="shared" si="2"/>
        <v>3263</v>
      </c>
      <c r="E17" s="1">
        <v>49487</v>
      </c>
      <c r="F17" s="3">
        <f t="shared" si="0"/>
        <v>410653</v>
      </c>
      <c r="G17" s="6">
        <f t="shared" si="3"/>
        <v>-49350</v>
      </c>
      <c r="H17" s="2">
        <f t="shared" si="1"/>
        <v>-407390</v>
      </c>
    </row>
    <row r="18" spans="1:14" ht="14.4" x14ac:dyDescent="0.3">
      <c r="A18" s="14">
        <v>9</v>
      </c>
      <c r="B18" s="98">
        <v>43798</v>
      </c>
      <c r="C18" s="1">
        <v>2268</v>
      </c>
      <c r="D18" s="86">
        <f t="shared" si="2"/>
        <v>5531</v>
      </c>
      <c r="E18" s="1">
        <v>18350</v>
      </c>
      <c r="F18" s="3">
        <f t="shared" si="0"/>
        <v>429003</v>
      </c>
      <c r="G18" s="6">
        <f t="shared" si="3"/>
        <v>-16082</v>
      </c>
      <c r="H18" s="2">
        <f t="shared" si="1"/>
        <v>-423472</v>
      </c>
    </row>
    <row r="19" spans="1:14" ht="14.4" x14ac:dyDescent="0.3">
      <c r="A19" s="14">
        <v>10</v>
      </c>
      <c r="B19" s="98">
        <v>43805</v>
      </c>
      <c r="C19" s="1">
        <v>39</v>
      </c>
      <c r="D19" s="86">
        <f t="shared" si="2"/>
        <v>5570</v>
      </c>
      <c r="E19" s="1">
        <v>7725</v>
      </c>
      <c r="F19" s="3">
        <f t="shared" si="0"/>
        <v>436728</v>
      </c>
      <c r="G19" s="6">
        <f>+C19-E19</f>
        <v>-7686</v>
      </c>
      <c r="H19" s="2">
        <f t="shared" si="1"/>
        <v>-431158</v>
      </c>
    </row>
    <row r="20" spans="1:14" ht="14.4" x14ac:dyDescent="0.3">
      <c r="A20" s="14">
        <v>11</v>
      </c>
      <c r="B20" s="98">
        <v>43812</v>
      </c>
      <c r="C20" s="1">
        <v>644</v>
      </c>
      <c r="D20" s="86">
        <f t="shared" si="2"/>
        <v>6214</v>
      </c>
      <c r="E20" s="1">
        <v>0</v>
      </c>
      <c r="F20" s="3">
        <f t="shared" si="0"/>
        <v>436728</v>
      </c>
      <c r="G20" s="6">
        <f t="shared" si="3"/>
        <v>644</v>
      </c>
      <c r="H20" s="2">
        <f t="shared" si="1"/>
        <v>-430514</v>
      </c>
    </row>
    <row r="21" spans="1:14" ht="14.4" x14ac:dyDescent="0.3">
      <c r="A21" s="14">
        <v>12</v>
      </c>
      <c r="B21" s="98">
        <v>43819</v>
      </c>
      <c r="C21" s="1">
        <v>1135</v>
      </c>
      <c r="D21" s="86">
        <f t="shared" si="2"/>
        <v>7349</v>
      </c>
      <c r="E21" s="1">
        <v>0</v>
      </c>
      <c r="F21" s="3">
        <f t="shared" si="0"/>
        <v>436728</v>
      </c>
      <c r="G21" s="6">
        <f t="shared" si="3"/>
        <v>1135</v>
      </c>
      <c r="H21" s="2">
        <f t="shared" si="1"/>
        <v>-429379</v>
      </c>
    </row>
    <row r="22" spans="1:14" ht="14.4" x14ac:dyDescent="0.3">
      <c r="A22" s="14">
        <v>13</v>
      </c>
      <c r="B22" s="98">
        <v>43826</v>
      </c>
      <c r="C22" s="1">
        <v>618</v>
      </c>
      <c r="D22" s="86">
        <f t="shared" si="2"/>
        <v>7967</v>
      </c>
      <c r="E22" s="1">
        <v>0</v>
      </c>
      <c r="F22" s="3">
        <f t="shared" si="0"/>
        <v>436728</v>
      </c>
      <c r="G22" s="6">
        <f t="shared" si="3"/>
        <v>618</v>
      </c>
      <c r="H22" s="2">
        <f t="shared" si="1"/>
        <v>-428761</v>
      </c>
    </row>
    <row r="23" spans="1:14" ht="14.4" x14ac:dyDescent="0.3">
      <c r="A23" s="14">
        <v>14</v>
      </c>
      <c r="B23" s="98">
        <v>43833</v>
      </c>
      <c r="C23" s="1">
        <v>570</v>
      </c>
      <c r="D23" s="86">
        <f t="shared" si="2"/>
        <v>8537</v>
      </c>
      <c r="E23" s="1">
        <v>0</v>
      </c>
      <c r="F23" s="3">
        <f t="shared" si="0"/>
        <v>436728</v>
      </c>
      <c r="G23" s="6">
        <f t="shared" si="3"/>
        <v>570</v>
      </c>
      <c r="H23" s="2">
        <f t="shared" si="1"/>
        <v>-428191</v>
      </c>
    </row>
    <row r="24" spans="1:14" ht="14.4" x14ac:dyDescent="0.3">
      <c r="A24" s="14">
        <v>15</v>
      </c>
      <c r="B24" s="98">
        <v>43840</v>
      </c>
      <c r="C24" s="1">
        <v>824</v>
      </c>
      <c r="D24" s="86">
        <f t="shared" si="2"/>
        <v>9361</v>
      </c>
      <c r="E24" s="1">
        <v>0</v>
      </c>
      <c r="F24" s="3">
        <f t="shared" si="0"/>
        <v>436728</v>
      </c>
      <c r="G24" s="6">
        <f t="shared" si="3"/>
        <v>824</v>
      </c>
      <c r="H24" s="2">
        <f t="shared" si="1"/>
        <v>-427367</v>
      </c>
    </row>
    <row r="25" spans="1:14" ht="14.4" x14ac:dyDescent="0.3">
      <c r="A25" s="14">
        <v>16</v>
      </c>
      <c r="B25" s="98">
        <v>43847</v>
      </c>
      <c r="C25" s="1">
        <v>2472</v>
      </c>
      <c r="D25" s="86">
        <f t="shared" si="2"/>
        <v>11833</v>
      </c>
      <c r="E25" s="1">
        <v>0</v>
      </c>
      <c r="F25" s="3">
        <f t="shared" si="0"/>
        <v>436728</v>
      </c>
      <c r="G25" s="6">
        <f t="shared" si="3"/>
        <v>2472</v>
      </c>
      <c r="H25" s="2">
        <f t="shared" si="1"/>
        <v>-424895</v>
      </c>
    </row>
    <row r="26" spans="1:14" ht="14.4" x14ac:dyDescent="0.3">
      <c r="A26" s="14">
        <v>17</v>
      </c>
      <c r="B26" s="98">
        <v>43854</v>
      </c>
      <c r="C26" s="1">
        <v>1705</v>
      </c>
      <c r="D26" s="86">
        <f t="shared" si="2"/>
        <v>13538</v>
      </c>
      <c r="E26" s="1">
        <v>19893</v>
      </c>
      <c r="F26" s="3">
        <f t="shared" si="0"/>
        <v>456621</v>
      </c>
      <c r="G26" s="6">
        <f t="shared" si="3"/>
        <v>-18188</v>
      </c>
      <c r="H26" s="2">
        <f t="shared" si="1"/>
        <v>-443083</v>
      </c>
      <c r="N26" s="85"/>
    </row>
    <row r="27" spans="1:14" ht="14.4" x14ac:dyDescent="0.3">
      <c r="A27" s="14">
        <v>18</v>
      </c>
      <c r="B27" s="98">
        <v>43861</v>
      </c>
      <c r="C27" s="1">
        <v>2227</v>
      </c>
      <c r="D27" s="86">
        <f t="shared" si="2"/>
        <v>15765</v>
      </c>
      <c r="E27" s="1">
        <v>82447</v>
      </c>
      <c r="F27" s="3">
        <f t="shared" si="0"/>
        <v>539068</v>
      </c>
      <c r="G27" s="6">
        <f t="shared" si="3"/>
        <v>-80220</v>
      </c>
      <c r="H27" s="2">
        <f t="shared" si="1"/>
        <v>-523303</v>
      </c>
    </row>
    <row r="28" spans="1:14" ht="14.4" x14ac:dyDescent="0.3">
      <c r="A28" s="14">
        <v>19</v>
      </c>
      <c r="B28" s="98">
        <v>43868</v>
      </c>
      <c r="C28" s="1">
        <v>2190</v>
      </c>
      <c r="D28" s="86">
        <f t="shared" si="2"/>
        <v>17955</v>
      </c>
      <c r="E28" s="1">
        <v>0</v>
      </c>
      <c r="F28" s="3">
        <f t="shared" si="0"/>
        <v>539068</v>
      </c>
      <c r="G28" s="6">
        <f t="shared" si="3"/>
        <v>2190</v>
      </c>
      <c r="H28" s="2">
        <f t="shared" si="1"/>
        <v>-521113</v>
      </c>
    </row>
    <row r="29" spans="1:14" ht="14.4" x14ac:dyDescent="0.3">
      <c r="A29" s="14">
        <v>20</v>
      </c>
      <c r="B29" s="98">
        <v>43875</v>
      </c>
      <c r="C29" s="1">
        <v>4848</v>
      </c>
      <c r="D29" s="86">
        <f t="shared" si="2"/>
        <v>22803</v>
      </c>
      <c r="E29" s="1">
        <v>30215</v>
      </c>
      <c r="F29" s="3">
        <f>F28+E29</f>
        <v>569283</v>
      </c>
      <c r="G29" s="6">
        <f t="shared" si="3"/>
        <v>-25367</v>
      </c>
      <c r="H29" s="2">
        <f t="shared" si="1"/>
        <v>-546480</v>
      </c>
    </row>
    <row r="30" spans="1:14" ht="14.4" x14ac:dyDescent="0.3">
      <c r="A30" s="14">
        <v>21</v>
      </c>
      <c r="B30" s="98">
        <v>43882</v>
      </c>
      <c r="C30" s="1">
        <v>1700</v>
      </c>
      <c r="D30" s="86">
        <f t="shared" si="2"/>
        <v>24503</v>
      </c>
      <c r="E30" s="1">
        <v>67232</v>
      </c>
      <c r="F30" s="3">
        <f t="shared" si="0"/>
        <v>636515</v>
      </c>
      <c r="G30" s="6">
        <f t="shared" si="3"/>
        <v>-65532</v>
      </c>
      <c r="H30" s="2">
        <f t="shared" si="1"/>
        <v>-612012</v>
      </c>
    </row>
    <row r="31" spans="1:14" ht="14.4" x14ac:dyDescent="0.3">
      <c r="A31" s="14">
        <v>22</v>
      </c>
      <c r="B31" s="98">
        <v>43889</v>
      </c>
      <c r="C31" s="1">
        <v>2137</v>
      </c>
      <c r="D31" s="86">
        <f t="shared" si="2"/>
        <v>26640</v>
      </c>
      <c r="E31" s="1">
        <v>54246</v>
      </c>
      <c r="F31" s="3">
        <f t="shared" si="0"/>
        <v>690761</v>
      </c>
      <c r="G31" s="6">
        <f t="shared" si="3"/>
        <v>-52109</v>
      </c>
      <c r="H31" s="2">
        <f t="shared" si="1"/>
        <v>-664121</v>
      </c>
    </row>
    <row r="32" spans="1:14" ht="14.4" x14ac:dyDescent="0.3">
      <c r="A32" s="14">
        <v>23</v>
      </c>
      <c r="B32" s="98">
        <v>43896</v>
      </c>
      <c r="C32" s="1">
        <v>409</v>
      </c>
      <c r="D32" s="86">
        <f t="shared" si="2"/>
        <v>27049</v>
      </c>
      <c r="E32" s="1">
        <v>21575</v>
      </c>
      <c r="F32" s="3">
        <f t="shared" si="0"/>
        <v>712336</v>
      </c>
      <c r="G32" s="6">
        <f t="shared" si="3"/>
        <v>-21166</v>
      </c>
      <c r="H32" s="2">
        <f t="shared" si="1"/>
        <v>-685287</v>
      </c>
    </row>
    <row r="33" spans="1:11" ht="14.4" x14ac:dyDescent="0.3">
      <c r="A33" s="14">
        <v>24</v>
      </c>
      <c r="B33" s="98">
        <v>43903</v>
      </c>
      <c r="C33" s="1">
        <v>2593</v>
      </c>
      <c r="D33" s="86">
        <f t="shared" si="2"/>
        <v>29642</v>
      </c>
      <c r="E33" s="1">
        <v>0</v>
      </c>
      <c r="F33" s="3">
        <f t="shared" si="0"/>
        <v>712336</v>
      </c>
      <c r="G33" s="6">
        <f t="shared" si="3"/>
        <v>2593</v>
      </c>
      <c r="H33" s="2">
        <f t="shared" si="1"/>
        <v>-682694</v>
      </c>
    </row>
    <row r="34" spans="1:11" ht="14.4" x14ac:dyDescent="0.3">
      <c r="A34" s="14">
        <v>25</v>
      </c>
      <c r="B34" s="98">
        <v>43910</v>
      </c>
      <c r="C34" s="1">
        <v>3599</v>
      </c>
      <c r="D34" s="86">
        <f t="shared" si="2"/>
        <v>33241</v>
      </c>
      <c r="E34" s="1">
        <v>0</v>
      </c>
      <c r="F34" s="3">
        <f t="shared" si="0"/>
        <v>712336</v>
      </c>
      <c r="G34" s="6">
        <f t="shared" si="3"/>
        <v>3599</v>
      </c>
      <c r="H34" s="2">
        <f t="shared" si="1"/>
        <v>-679095</v>
      </c>
    </row>
    <row r="35" spans="1:11" ht="14.4" x14ac:dyDescent="0.3">
      <c r="A35" s="14">
        <v>26</v>
      </c>
      <c r="B35" s="98">
        <v>43917</v>
      </c>
      <c r="C35" s="1">
        <v>859</v>
      </c>
      <c r="D35" s="86">
        <f t="shared" si="2"/>
        <v>34100</v>
      </c>
      <c r="E35" s="1">
        <v>22207</v>
      </c>
      <c r="F35" s="3">
        <f t="shared" si="0"/>
        <v>734543</v>
      </c>
      <c r="G35" s="6">
        <f t="shared" si="3"/>
        <v>-21348</v>
      </c>
      <c r="H35" s="2">
        <f t="shared" si="1"/>
        <v>-700443</v>
      </c>
    </row>
    <row r="36" spans="1:11" ht="14.4" x14ac:dyDescent="0.3">
      <c r="A36" s="14">
        <v>27</v>
      </c>
      <c r="B36" s="98">
        <v>43924</v>
      </c>
      <c r="C36" s="1">
        <v>4022</v>
      </c>
      <c r="D36" s="86">
        <f t="shared" si="2"/>
        <v>38122</v>
      </c>
      <c r="E36" s="1">
        <v>8764</v>
      </c>
      <c r="F36" s="3">
        <f t="shared" si="0"/>
        <v>743307</v>
      </c>
      <c r="G36" s="6">
        <f t="shared" si="3"/>
        <v>-4742</v>
      </c>
      <c r="H36" s="2">
        <f t="shared" si="1"/>
        <v>-705185</v>
      </c>
    </row>
    <row r="37" spans="1:11" ht="14.4" x14ac:dyDescent="0.3">
      <c r="A37" s="14">
        <v>28</v>
      </c>
      <c r="B37" s="98">
        <v>43931</v>
      </c>
      <c r="C37" s="1">
        <v>2907</v>
      </c>
      <c r="D37" s="86">
        <f t="shared" si="2"/>
        <v>41029</v>
      </c>
      <c r="E37" s="1">
        <v>16150</v>
      </c>
      <c r="F37" s="3">
        <f t="shared" si="0"/>
        <v>759457</v>
      </c>
      <c r="G37" s="6">
        <f t="shared" si="3"/>
        <v>-13243</v>
      </c>
      <c r="H37" s="2">
        <f t="shared" si="1"/>
        <v>-718428</v>
      </c>
    </row>
    <row r="38" spans="1:11" ht="14.4" x14ac:dyDescent="0.3">
      <c r="A38" s="14">
        <v>29</v>
      </c>
      <c r="B38" s="98">
        <v>43938</v>
      </c>
      <c r="C38" s="1">
        <v>2745</v>
      </c>
      <c r="D38" s="86">
        <f t="shared" si="2"/>
        <v>43774</v>
      </c>
      <c r="E38" s="1">
        <v>39605</v>
      </c>
      <c r="F38" s="3">
        <f t="shared" si="0"/>
        <v>799062</v>
      </c>
      <c r="G38" s="6">
        <f t="shared" si="3"/>
        <v>-36860</v>
      </c>
      <c r="H38" s="2">
        <f t="shared" si="1"/>
        <v>-755288</v>
      </c>
    </row>
    <row r="39" spans="1:11" ht="14.4" x14ac:dyDescent="0.3">
      <c r="A39" s="14">
        <v>30</v>
      </c>
      <c r="B39" s="98">
        <v>43945</v>
      </c>
      <c r="C39" s="1">
        <v>1348</v>
      </c>
      <c r="D39" s="86">
        <f t="shared" si="2"/>
        <v>45122</v>
      </c>
      <c r="E39" s="1">
        <v>109212</v>
      </c>
      <c r="F39" s="3">
        <f t="shared" si="0"/>
        <v>908274</v>
      </c>
      <c r="G39" s="6">
        <f t="shared" si="3"/>
        <v>-107864</v>
      </c>
      <c r="H39" s="2">
        <f t="shared" si="1"/>
        <v>-863152</v>
      </c>
    </row>
    <row r="40" spans="1:11" ht="14.4" x14ac:dyDescent="0.3">
      <c r="A40" s="14">
        <v>31</v>
      </c>
      <c r="B40" s="98">
        <v>43952</v>
      </c>
      <c r="C40" s="1">
        <v>2746</v>
      </c>
      <c r="D40" s="86">
        <f t="shared" si="2"/>
        <v>47868</v>
      </c>
      <c r="E40" s="1">
        <v>80139</v>
      </c>
      <c r="F40" s="3">
        <f t="shared" si="0"/>
        <v>988413</v>
      </c>
      <c r="G40" s="6">
        <f t="shared" si="3"/>
        <v>-77393</v>
      </c>
      <c r="H40" s="2">
        <f t="shared" si="1"/>
        <v>-940545</v>
      </c>
    </row>
    <row r="41" spans="1:11" ht="14.4" x14ac:dyDescent="0.3">
      <c r="A41" s="14">
        <v>32</v>
      </c>
      <c r="B41" s="98">
        <v>43959</v>
      </c>
      <c r="C41" s="1">
        <v>4825</v>
      </c>
      <c r="D41" s="86">
        <f t="shared" si="2"/>
        <v>52693</v>
      </c>
      <c r="E41" s="1">
        <v>78720</v>
      </c>
      <c r="F41" s="3">
        <f t="shared" si="0"/>
        <v>1067133</v>
      </c>
      <c r="G41" s="6">
        <f t="shared" si="3"/>
        <v>-73895</v>
      </c>
      <c r="H41" s="2">
        <f t="shared" si="1"/>
        <v>-1014440</v>
      </c>
    </row>
    <row r="42" spans="1:11" ht="14.4" x14ac:dyDescent="0.3">
      <c r="A42" s="14">
        <v>33</v>
      </c>
      <c r="B42" s="98">
        <v>43966</v>
      </c>
      <c r="C42" s="1">
        <v>153</v>
      </c>
      <c r="D42" s="86">
        <f t="shared" si="2"/>
        <v>52846</v>
      </c>
      <c r="E42" s="1">
        <v>102882</v>
      </c>
      <c r="F42" s="3">
        <f t="shared" si="0"/>
        <v>1170015</v>
      </c>
      <c r="G42" s="6">
        <f t="shared" si="3"/>
        <v>-102729</v>
      </c>
      <c r="H42" s="2">
        <f t="shared" si="1"/>
        <v>-1117169</v>
      </c>
    </row>
    <row r="43" spans="1:11" ht="14.4" x14ac:dyDescent="0.3">
      <c r="A43" s="14">
        <v>34</v>
      </c>
      <c r="B43" s="98">
        <v>43973</v>
      </c>
      <c r="C43" s="1">
        <v>1263</v>
      </c>
      <c r="D43" s="86">
        <f t="shared" si="2"/>
        <v>54109</v>
      </c>
      <c r="E43" s="1">
        <v>61180</v>
      </c>
      <c r="F43" s="3">
        <f t="shared" si="0"/>
        <v>1231195</v>
      </c>
      <c r="G43" s="6">
        <f t="shared" si="3"/>
        <v>-59917</v>
      </c>
      <c r="H43" s="2">
        <f t="shared" si="1"/>
        <v>-1177086</v>
      </c>
    </row>
    <row r="44" spans="1:11" ht="14.4" x14ac:dyDescent="0.3">
      <c r="A44" s="14">
        <v>35</v>
      </c>
      <c r="B44" s="98">
        <v>43980</v>
      </c>
      <c r="C44" s="1">
        <v>5333</v>
      </c>
      <c r="D44" s="86">
        <f t="shared" si="2"/>
        <v>59442</v>
      </c>
      <c r="E44" s="1">
        <v>71370</v>
      </c>
      <c r="F44" s="3">
        <f t="shared" si="0"/>
        <v>1302565</v>
      </c>
      <c r="G44" s="6">
        <f t="shared" si="3"/>
        <v>-66037</v>
      </c>
      <c r="H44" s="2">
        <f t="shared" si="1"/>
        <v>-1243123</v>
      </c>
    </row>
    <row r="45" spans="1:11" ht="14.4" x14ac:dyDescent="0.3">
      <c r="A45" s="14">
        <v>36</v>
      </c>
      <c r="B45" s="98">
        <v>43987</v>
      </c>
      <c r="C45" s="1">
        <v>1499</v>
      </c>
      <c r="D45" s="86">
        <f t="shared" si="2"/>
        <v>60941</v>
      </c>
      <c r="E45" s="1">
        <v>88442</v>
      </c>
      <c r="F45" s="3">
        <f t="shared" si="0"/>
        <v>1391007</v>
      </c>
      <c r="G45" s="6">
        <f t="shared" si="3"/>
        <v>-86943</v>
      </c>
      <c r="H45" s="2">
        <f t="shared" si="1"/>
        <v>-1330066</v>
      </c>
    </row>
    <row r="46" spans="1:11" ht="14.4" x14ac:dyDescent="0.3">
      <c r="A46" s="14">
        <v>37</v>
      </c>
      <c r="B46" s="98">
        <v>43994</v>
      </c>
      <c r="C46" s="1">
        <v>2879</v>
      </c>
      <c r="D46" s="86">
        <f t="shared" si="2"/>
        <v>63820</v>
      </c>
      <c r="E46" s="1">
        <v>55625</v>
      </c>
      <c r="F46" s="3">
        <f t="shared" si="0"/>
        <v>1446632</v>
      </c>
      <c r="G46" s="6">
        <f t="shared" si="3"/>
        <v>-52746</v>
      </c>
      <c r="H46" s="2">
        <f t="shared" si="1"/>
        <v>-1382812</v>
      </c>
    </row>
    <row r="47" spans="1:11" ht="14.4" x14ac:dyDescent="0.3">
      <c r="A47" s="14">
        <v>38</v>
      </c>
      <c r="B47" s="98">
        <v>44001</v>
      </c>
      <c r="C47" s="1">
        <v>481</v>
      </c>
      <c r="D47" s="86">
        <f t="shared" si="2"/>
        <v>64301</v>
      </c>
      <c r="E47" s="1">
        <v>35382</v>
      </c>
      <c r="F47" s="3">
        <f t="shared" si="0"/>
        <v>1482014</v>
      </c>
      <c r="G47" s="6">
        <f t="shared" si="3"/>
        <v>-34901</v>
      </c>
      <c r="H47" s="2">
        <f t="shared" si="1"/>
        <v>-1417713</v>
      </c>
    </row>
    <row r="48" spans="1:11" ht="14.4" x14ac:dyDescent="0.3">
      <c r="A48" s="14">
        <v>39</v>
      </c>
      <c r="B48" s="98">
        <v>44008</v>
      </c>
      <c r="C48" s="1">
        <v>2083</v>
      </c>
      <c r="D48" s="86">
        <f t="shared" si="2"/>
        <v>66384</v>
      </c>
      <c r="E48" s="1">
        <v>29702</v>
      </c>
      <c r="F48" s="3">
        <f t="shared" si="0"/>
        <v>1511716</v>
      </c>
      <c r="G48" s="6">
        <f t="shared" si="3"/>
        <v>-27619</v>
      </c>
      <c r="H48" s="2">
        <f t="shared" si="1"/>
        <v>-1445332</v>
      </c>
      <c r="K48" s="12"/>
    </row>
    <row r="49" spans="1:8" ht="14.4" x14ac:dyDescent="0.3">
      <c r="A49" s="14">
        <v>40</v>
      </c>
      <c r="B49" s="98">
        <v>44015</v>
      </c>
      <c r="C49" s="1">
        <v>3262</v>
      </c>
      <c r="D49" s="86">
        <f t="shared" si="2"/>
        <v>69646</v>
      </c>
      <c r="E49" s="1">
        <v>14707</v>
      </c>
      <c r="F49" s="3">
        <f t="shared" si="0"/>
        <v>1526423</v>
      </c>
      <c r="G49" s="6">
        <f t="shared" si="3"/>
        <v>-11445</v>
      </c>
      <c r="H49" s="2">
        <f t="shared" si="1"/>
        <v>-1456777</v>
      </c>
    </row>
    <row r="50" spans="1:8" ht="14.4" x14ac:dyDescent="0.3">
      <c r="A50" s="14">
        <v>41</v>
      </c>
      <c r="B50" s="98">
        <v>44022</v>
      </c>
      <c r="C50" s="1">
        <v>623</v>
      </c>
      <c r="D50" s="86">
        <f t="shared" si="2"/>
        <v>70269</v>
      </c>
      <c r="E50" s="1">
        <v>12319</v>
      </c>
      <c r="F50" s="3">
        <f t="shared" si="0"/>
        <v>1538742</v>
      </c>
      <c r="G50" s="6">
        <f t="shared" si="3"/>
        <v>-11696</v>
      </c>
      <c r="H50" s="2">
        <f t="shared" si="1"/>
        <v>-1468473</v>
      </c>
    </row>
    <row r="51" spans="1:8" ht="14.4" x14ac:dyDescent="0.3">
      <c r="A51" s="14">
        <v>42</v>
      </c>
      <c r="B51" s="98">
        <v>44029</v>
      </c>
      <c r="C51" s="1">
        <v>926</v>
      </c>
      <c r="D51" s="86">
        <f t="shared" si="2"/>
        <v>71195</v>
      </c>
      <c r="E51" s="1">
        <v>8499</v>
      </c>
      <c r="F51" s="3">
        <f t="shared" si="0"/>
        <v>1547241</v>
      </c>
      <c r="G51" s="6">
        <f t="shared" si="3"/>
        <v>-7573</v>
      </c>
      <c r="H51" s="2">
        <f t="shared" si="1"/>
        <v>-1476046</v>
      </c>
    </row>
    <row r="52" spans="1:8" ht="14.4" x14ac:dyDescent="0.3">
      <c r="A52" s="14">
        <v>43</v>
      </c>
      <c r="B52" s="98">
        <v>44036</v>
      </c>
      <c r="C52" s="1">
        <v>363</v>
      </c>
      <c r="D52" s="86">
        <f t="shared" si="2"/>
        <v>71558</v>
      </c>
      <c r="E52" s="1">
        <v>4834</v>
      </c>
      <c r="F52" s="3">
        <f t="shared" si="0"/>
        <v>1552075</v>
      </c>
      <c r="G52" s="6">
        <f t="shared" si="3"/>
        <v>-4471</v>
      </c>
      <c r="H52" s="2">
        <f t="shared" si="1"/>
        <v>-1480517</v>
      </c>
    </row>
    <row r="53" spans="1:8" ht="14.4" x14ac:dyDescent="0.3">
      <c r="A53" s="14">
        <v>44</v>
      </c>
      <c r="B53" s="98">
        <v>44043</v>
      </c>
      <c r="C53" s="1">
        <v>1933</v>
      </c>
      <c r="D53" s="86">
        <f t="shared" si="2"/>
        <v>73491</v>
      </c>
      <c r="E53" s="1">
        <v>26460</v>
      </c>
      <c r="F53" s="3">
        <f t="shared" si="0"/>
        <v>1578535</v>
      </c>
      <c r="G53" s="6">
        <f t="shared" si="3"/>
        <v>-24527</v>
      </c>
      <c r="H53" s="2">
        <f t="shared" si="1"/>
        <v>-1505044</v>
      </c>
    </row>
    <row r="54" spans="1:8" ht="14.4" x14ac:dyDescent="0.3">
      <c r="A54" s="14">
        <v>45</v>
      </c>
      <c r="B54" s="98">
        <v>44050</v>
      </c>
      <c r="C54" s="1">
        <v>307</v>
      </c>
      <c r="D54" s="86">
        <f t="shared" si="2"/>
        <v>73798</v>
      </c>
      <c r="E54" s="1">
        <v>13524</v>
      </c>
      <c r="F54" s="3">
        <f t="shared" si="0"/>
        <v>1592059</v>
      </c>
      <c r="G54" s="6">
        <f t="shared" si="3"/>
        <v>-13217</v>
      </c>
      <c r="H54" s="2">
        <f t="shared" si="1"/>
        <v>-1518261</v>
      </c>
    </row>
    <row r="55" spans="1:8" ht="14.4" x14ac:dyDescent="0.3">
      <c r="A55" s="14">
        <v>46</v>
      </c>
      <c r="B55" s="98">
        <v>44057</v>
      </c>
      <c r="C55" s="1">
        <v>220</v>
      </c>
      <c r="D55" s="86">
        <f t="shared" si="2"/>
        <v>74018</v>
      </c>
      <c r="E55" s="1">
        <v>9798</v>
      </c>
      <c r="F55" s="3">
        <f t="shared" si="0"/>
        <v>1601857</v>
      </c>
      <c r="G55" s="6">
        <f t="shared" si="3"/>
        <v>-9578</v>
      </c>
      <c r="H55" s="2">
        <f t="shared" si="1"/>
        <v>-1527839</v>
      </c>
    </row>
    <row r="56" spans="1:8" ht="14.4" x14ac:dyDescent="0.3">
      <c r="A56" s="14">
        <v>47</v>
      </c>
      <c r="B56" s="98">
        <v>44064</v>
      </c>
      <c r="C56" s="1">
        <v>474</v>
      </c>
      <c r="D56" s="86">
        <f t="shared" si="2"/>
        <v>74492</v>
      </c>
      <c r="E56" s="1">
        <v>3550</v>
      </c>
      <c r="F56" s="3">
        <f t="shared" si="0"/>
        <v>1605407</v>
      </c>
      <c r="G56" s="6">
        <f t="shared" si="3"/>
        <v>-3076</v>
      </c>
      <c r="H56" s="2">
        <f t="shared" si="1"/>
        <v>-1530915</v>
      </c>
    </row>
    <row r="57" spans="1:8" ht="14.4" x14ac:dyDescent="0.3">
      <c r="A57" s="14">
        <v>48</v>
      </c>
      <c r="B57" s="98">
        <v>44071</v>
      </c>
      <c r="C57" s="1">
        <v>3708</v>
      </c>
      <c r="D57" s="86">
        <f t="shared" si="2"/>
        <v>78200</v>
      </c>
      <c r="E57" s="1">
        <v>9022</v>
      </c>
      <c r="F57" s="3">
        <f t="shared" si="0"/>
        <v>1614429</v>
      </c>
      <c r="G57" s="6">
        <f t="shared" si="3"/>
        <v>-5314</v>
      </c>
      <c r="H57" s="2">
        <f t="shared" si="1"/>
        <v>-1536229</v>
      </c>
    </row>
    <row r="58" spans="1:8" ht="14.4" x14ac:dyDescent="0.3">
      <c r="A58" s="14">
        <v>49</v>
      </c>
      <c r="B58" s="98">
        <v>44078</v>
      </c>
      <c r="C58" s="1">
        <v>34</v>
      </c>
      <c r="D58" s="86">
        <f t="shared" si="2"/>
        <v>78234</v>
      </c>
      <c r="E58" s="1">
        <v>49457</v>
      </c>
      <c r="F58" s="3">
        <f t="shared" si="0"/>
        <v>1663886</v>
      </c>
      <c r="G58" s="6">
        <f t="shared" si="3"/>
        <v>-49423</v>
      </c>
      <c r="H58" s="2">
        <f t="shared" si="1"/>
        <v>-1585652</v>
      </c>
    </row>
    <row r="59" spans="1:8" ht="14.4" x14ac:dyDescent="0.3">
      <c r="A59" s="14">
        <v>50</v>
      </c>
      <c r="B59" s="98">
        <v>44085</v>
      </c>
      <c r="C59" s="1">
        <v>710</v>
      </c>
      <c r="D59" s="86">
        <f t="shared" si="2"/>
        <v>78944</v>
      </c>
      <c r="E59" s="1">
        <v>67270</v>
      </c>
      <c r="F59" s="3">
        <f t="shared" si="0"/>
        <v>1731156</v>
      </c>
      <c r="G59" s="6">
        <f t="shared" si="3"/>
        <v>-66560</v>
      </c>
      <c r="H59" s="2">
        <f t="shared" si="1"/>
        <v>-1652212</v>
      </c>
    </row>
    <row r="60" spans="1:8" ht="14.4" x14ac:dyDescent="0.3">
      <c r="A60" s="14">
        <v>51</v>
      </c>
      <c r="B60" s="98">
        <v>44092</v>
      </c>
      <c r="C60" s="1">
        <v>1221</v>
      </c>
      <c r="D60" s="86">
        <f t="shared" si="2"/>
        <v>80165</v>
      </c>
      <c r="E60" s="1">
        <v>46145</v>
      </c>
      <c r="F60" s="3">
        <f t="shared" si="0"/>
        <v>1777301</v>
      </c>
      <c r="G60" s="6">
        <f t="shared" si="3"/>
        <v>-44924</v>
      </c>
      <c r="H60" s="2">
        <f t="shared" si="1"/>
        <v>-1697136</v>
      </c>
    </row>
    <row r="61" spans="1:8" ht="15" thickBot="1" x14ac:dyDescent="0.35">
      <c r="A61" s="14">
        <v>52</v>
      </c>
      <c r="B61" s="100">
        <v>44099</v>
      </c>
      <c r="C61" s="58">
        <v>1238</v>
      </c>
      <c r="D61" s="57">
        <f t="shared" si="2"/>
        <v>81403</v>
      </c>
      <c r="E61" s="58">
        <v>87580</v>
      </c>
      <c r="F61" s="57">
        <f t="shared" si="0"/>
        <v>1864881</v>
      </c>
      <c r="G61" s="57">
        <f t="shared" si="3"/>
        <v>-86342</v>
      </c>
      <c r="H61" s="57">
        <f t="shared" si="1"/>
        <v>-1783478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91"/>
  <sheetViews>
    <sheetView topLeftCell="A11" workbookViewId="0">
      <selection activeCell="A13" sqref="A13:XFD13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96</v>
      </c>
    </row>
    <row r="2" spans="1:8" x14ac:dyDescent="0.25">
      <c r="C2" s="4" t="s">
        <v>97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44463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44106</v>
      </c>
      <c r="C10" s="1">
        <v>134</v>
      </c>
      <c r="D10" s="86">
        <f>C10</f>
        <v>134</v>
      </c>
      <c r="E10" s="11">
        <v>30469</v>
      </c>
      <c r="F10" s="3">
        <f>E10</f>
        <v>30469</v>
      </c>
      <c r="G10" s="6">
        <f>+C10-E10</f>
        <v>-30335</v>
      </c>
      <c r="H10" s="2">
        <f>G10</f>
        <v>-30335</v>
      </c>
    </row>
    <row r="11" spans="1:8" ht="14.4" x14ac:dyDescent="0.3">
      <c r="A11" s="14">
        <v>2</v>
      </c>
      <c r="B11" s="98">
        <v>44113</v>
      </c>
      <c r="C11" s="1">
        <v>307</v>
      </c>
      <c r="D11" s="86">
        <f>D10+C11</f>
        <v>441</v>
      </c>
      <c r="E11" s="1">
        <v>38918</v>
      </c>
      <c r="F11" s="3">
        <f t="shared" ref="F11:F61" si="0">F10+E11</f>
        <v>69387</v>
      </c>
      <c r="G11" s="6">
        <f>+C11-E11</f>
        <v>-38611</v>
      </c>
      <c r="H11" s="2">
        <f>H10+G11</f>
        <v>-68946</v>
      </c>
    </row>
    <row r="12" spans="1:8" ht="14.4" x14ac:dyDescent="0.3">
      <c r="A12" s="14">
        <v>3</v>
      </c>
      <c r="B12" s="98">
        <v>44120</v>
      </c>
      <c r="C12" s="1">
        <v>100</v>
      </c>
      <c r="D12" s="86">
        <f>D11+C12</f>
        <v>541</v>
      </c>
      <c r="E12" s="1">
        <v>101819</v>
      </c>
      <c r="F12" s="3">
        <f t="shared" si="0"/>
        <v>171206</v>
      </c>
      <c r="G12" s="6">
        <f>+C12-E12</f>
        <v>-101719</v>
      </c>
      <c r="H12" s="2">
        <f t="shared" ref="H12:H61" si="1">H11+G12</f>
        <v>-170665</v>
      </c>
    </row>
    <row r="13" spans="1:8" ht="14.4" x14ac:dyDescent="0.3">
      <c r="A13" s="14">
        <v>4</v>
      </c>
      <c r="B13" s="98">
        <v>44127</v>
      </c>
      <c r="C13" s="1">
        <v>304</v>
      </c>
      <c r="D13" s="86">
        <f t="shared" ref="D13:D61" si="2">C13+D12</f>
        <v>845</v>
      </c>
      <c r="E13" s="1">
        <v>44894</v>
      </c>
      <c r="F13" s="3">
        <f t="shared" si="0"/>
        <v>216100</v>
      </c>
      <c r="G13" s="6">
        <f t="shared" ref="G13:G61" si="3">+C13-E13</f>
        <v>-44590</v>
      </c>
      <c r="H13" s="2">
        <f t="shared" si="1"/>
        <v>-215255</v>
      </c>
    </row>
    <row r="14" spans="1:8" ht="14.4" x14ac:dyDescent="0.3">
      <c r="A14" s="14">
        <v>5</v>
      </c>
      <c r="B14" s="98">
        <v>44134</v>
      </c>
      <c r="C14" s="1">
        <v>565</v>
      </c>
      <c r="D14" s="86">
        <f t="shared" si="2"/>
        <v>1410</v>
      </c>
      <c r="E14" s="1">
        <v>61122</v>
      </c>
      <c r="F14" s="3">
        <f t="shared" si="0"/>
        <v>277222</v>
      </c>
      <c r="G14" s="6">
        <f t="shared" si="3"/>
        <v>-60557</v>
      </c>
      <c r="H14" s="2">
        <f t="shared" si="1"/>
        <v>-275812</v>
      </c>
    </row>
    <row r="15" spans="1:8" ht="14.4" x14ac:dyDescent="0.3">
      <c r="A15" s="14">
        <v>6</v>
      </c>
      <c r="B15" s="98">
        <v>44141</v>
      </c>
      <c r="C15" s="1">
        <v>624</v>
      </c>
      <c r="D15" s="86">
        <f t="shared" si="2"/>
        <v>2034</v>
      </c>
      <c r="E15" s="1">
        <v>65945</v>
      </c>
      <c r="F15" s="3">
        <f t="shared" si="0"/>
        <v>343167</v>
      </c>
      <c r="G15" s="6">
        <f t="shared" si="3"/>
        <v>-65321</v>
      </c>
      <c r="H15" s="2">
        <f t="shared" si="1"/>
        <v>-341133</v>
      </c>
    </row>
    <row r="16" spans="1:8" ht="14.4" x14ac:dyDescent="0.3">
      <c r="A16" s="14">
        <v>7</v>
      </c>
      <c r="B16" s="98">
        <v>44148</v>
      </c>
      <c r="C16" s="1">
        <v>376</v>
      </c>
      <c r="D16" s="86">
        <f t="shared" si="2"/>
        <v>2410</v>
      </c>
      <c r="E16" s="1">
        <v>56854</v>
      </c>
      <c r="F16" s="3">
        <f t="shared" si="0"/>
        <v>400021</v>
      </c>
      <c r="G16" s="6">
        <f t="shared" si="3"/>
        <v>-56478</v>
      </c>
      <c r="H16" s="2">
        <f t="shared" si="1"/>
        <v>-397611</v>
      </c>
    </row>
    <row r="17" spans="1:14" ht="14.4" x14ac:dyDescent="0.3">
      <c r="A17" s="14">
        <v>8</v>
      </c>
      <c r="B17" s="98">
        <v>44155</v>
      </c>
      <c r="C17" s="1">
        <v>1022</v>
      </c>
      <c r="D17" s="86">
        <f t="shared" si="2"/>
        <v>3432</v>
      </c>
      <c r="E17" s="1">
        <v>17610</v>
      </c>
      <c r="F17" s="3">
        <f t="shared" si="0"/>
        <v>417631</v>
      </c>
      <c r="G17" s="6">
        <f t="shared" si="3"/>
        <v>-16588</v>
      </c>
      <c r="H17" s="2">
        <f t="shared" si="1"/>
        <v>-414199</v>
      </c>
    </row>
    <row r="18" spans="1:14" ht="14.4" x14ac:dyDescent="0.3">
      <c r="A18" s="14">
        <v>9</v>
      </c>
      <c r="B18" s="98">
        <v>44162</v>
      </c>
      <c r="C18" s="1">
        <v>376</v>
      </c>
      <c r="D18" s="86">
        <f t="shared" si="2"/>
        <v>3808</v>
      </c>
      <c r="E18" s="1">
        <v>10309</v>
      </c>
      <c r="F18" s="3">
        <f t="shared" si="0"/>
        <v>427940</v>
      </c>
      <c r="G18" s="6">
        <f t="shared" si="3"/>
        <v>-9933</v>
      </c>
      <c r="H18" s="2">
        <f t="shared" si="1"/>
        <v>-424132</v>
      </c>
    </row>
    <row r="19" spans="1:14" ht="14.4" x14ac:dyDescent="0.3">
      <c r="A19" s="14">
        <v>10</v>
      </c>
      <c r="B19" s="98">
        <v>44169</v>
      </c>
      <c r="C19" s="1">
        <v>171</v>
      </c>
      <c r="D19" s="86">
        <f t="shared" si="2"/>
        <v>3979</v>
      </c>
      <c r="E19" s="1">
        <v>0</v>
      </c>
      <c r="F19" s="3">
        <f t="shared" si="0"/>
        <v>427940</v>
      </c>
      <c r="G19" s="6">
        <f>+C19-E19</f>
        <v>171</v>
      </c>
      <c r="H19" s="2">
        <f t="shared" si="1"/>
        <v>-423961</v>
      </c>
    </row>
    <row r="20" spans="1:14" ht="14.4" x14ac:dyDescent="0.3">
      <c r="A20" s="14">
        <v>11</v>
      </c>
      <c r="B20" s="98">
        <v>44176</v>
      </c>
      <c r="C20" s="1">
        <v>238</v>
      </c>
      <c r="D20" s="86">
        <f t="shared" si="2"/>
        <v>4217</v>
      </c>
      <c r="E20" s="1">
        <v>0</v>
      </c>
      <c r="F20" s="3">
        <f t="shared" si="0"/>
        <v>427940</v>
      </c>
      <c r="G20" s="6">
        <f t="shared" si="3"/>
        <v>238</v>
      </c>
      <c r="H20" s="2">
        <f t="shared" si="1"/>
        <v>-423723</v>
      </c>
    </row>
    <row r="21" spans="1:14" ht="14.4" x14ac:dyDescent="0.3">
      <c r="A21" s="14">
        <v>12</v>
      </c>
      <c r="B21" s="98">
        <v>44183</v>
      </c>
      <c r="C21" s="1">
        <v>358</v>
      </c>
      <c r="D21" s="86">
        <f t="shared" si="2"/>
        <v>4575</v>
      </c>
      <c r="E21" s="1">
        <v>0</v>
      </c>
      <c r="F21" s="3">
        <f t="shared" si="0"/>
        <v>427940</v>
      </c>
      <c r="G21" s="6">
        <f t="shared" si="3"/>
        <v>358</v>
      </c>
      <c r="H21" s="2">
        <f t="shared" si="1"/>
        <v>-423365</v>
      </c>
    </row>
    <row r="22" spans="1:14" ht="14.4" x14ac:dyDescent="0.3">
      <c r="A22" s="14">
        <v>13</v>
      </c>
      <c r="B22" s="98">
        <v>44190</v>
      </c>
      <c r="C22" s="1">
        <v>757</v>
      </c>
      <c r="D22" s="86">
        <f t="shared" si="2"/>
        <v>5332</v>
      </c>
      <c r="E22" s="1">
        <v>0</v>
      </c>
      <c r="F22" s="3">
        <f t="shared" si="0"/>
        <v>427940</v>
      </c>
      <c r="G22" s="6">
        <f t="shared" si="3"/>
        <v>757</v>
      </c>
      <c r="H22" s="2">
        <f t="shared" si="1"/>
        <v>-422608</v>
      </c>
    </row>
    <row r="23" spans="1:14" ht="14.4" x14ac:dyDescent="0.3">
      <c r="A23" s="14">
        <v>14</v>
      </c>
      <c r="B23" s="98">
        <v>44197</v>
      </c>
      <c r="C23" s="1">
        <v>774</v>
      </c>
      <c r="D23" s="86">
        <f t="shared" si="2"/>
        <v>6106</v>
      </c>
      <c r="E23" s="1">
        <v>0</v>
      </c>
      <c r="F23" s="3">
        <f t="shared" si="0"/>
        <v>427940</v>
      </c>
      <c r="G23" s="6">
        <f t="shared" si="3"/>
        <v>774</v>
      </c>
      <c r="H23" s="2">
        <f t="shared" si="1"/>
        <v>-421834</v>
      </c>
    </row>
    <row r="24" spans="1:14" ht="14.4" x14ac:dyDescent="0.3">
      <c r="A24" s="14">
        <v>15</v>
      </c>
      <c r="B24" s="98">
        <v>44204</v>
      </c>
      <c r="C24" s="1">
        <v>696</v>
      </c>
      <c r="D24" s="86">
        <f t="shared" si="2"/>
        <v>6802</v>
      </c>
      <c r="E24" s="1">
        <v>0</v>
      </c>
      <c r="F24" s="3">
        <f t="shared" si="0"/>
        <v>427940</v>
      </c>
      <c r="G24" s="6">
        <f t="shared" si="3"/>
        <v>696</v>
      </c>
      <c r="H24" s="2">
        <f t="shared" si="1"/>
        <v>-421138</v>
      </c>
    </row>
    <row r="25" spans="1:14" ht="14.4" x14ac:dyDescent="0.3">
      <c r="A25" s="14">
        <v>16</v>
      </c>
      <c r="B25" s="98">
        <v>44211</v>
      </c>
      <c r="C25" s="1">
        <v>214</v>
      </c>
      <c r="D25" s="86">
        <f t="shared" si="2"/>
        <v>7016</v>
      </c>
      <c r="E25" s="1">
        <v>0</v>
      </c>
      <c r="F25" s="3">
        <f t="shared" si="0"/>
        <v>427940</v>
      </c>
      <c r="G25" s="6">
        <f t="shared" si="3"/>
        <v>214</v>
      </c>
      <c r="H25" s="2">
        <f t="shared" si="1"/>
        <v>-420924</v>
      </c>
    </row>
    <row r="26" spans="1:14" ht="14.4" x14ac:dyDescent="0.3">
      <c r="A26" s="14">
        <v>17</v>
      </c>
      <c r="B26" s="98">
        <v>44218</v>
      </c>
      <c r="C26" s="1">
        <v>3748</v>
      </c>
      <c r="D26" s="86">
        <f t="shared" si="2"/>
        <v>10764</v>
      </c>
      <c r="E26" s="1">
        <v>2155</v>
      </c>
      <c r="F26" s="3">
        <f t="shared" si="0"/>
        <v>430095</v>
      </c>
      <c r="G26" s="6">
        <f t="shared" si="3"/>
        <v>1593</v>
      </c>
      <c r="H26" s="2">
        <f t="shared" si="1"/>
        <v>-419331</v>
      </c>
      <c r="N26" s="85"/>
    </row>
    <row r="27" spans="1:14" ht="14.4" x14ac:dyDescent="0.3">
      <c r="A27" s="14">
        <v>18</v>
      </c>
      <c r="B27" s="98">
        <v>44225</v>
      </c>
      <c r="C27" s="1">
        <v>6372</v>
      </c>
      <c r="D27" s="86">
        <f t="shared" si="2"/>
        <v>17136</v>
      </c>
      <c r="E27" s="1">
        <v>18150</v>
      </c>
      <c r="F27" s="3">
        <f t="shared" si="0"/>
        <v>448245</v>
      </c>
      <c r="G27" s="6">
        <f t="shared" si="3"/>
        <v>-11778</v>
      </c>
      <c r="H27" s="2">
        <f t="shared" si="1"/>
        <v>-431109</v>
      </c>
    </row>
    <row r="28" spans="1:14" ht="14.4" x14ac:dyDescent="0.3">
      <c r="A28" s="14">
        <v>19</v>
      </c>
      <c r="B28" s="98">
        <v>44232</v>
      </c>
      <c r="C28" s="1">
        <v>3615</v>
      </c>
      <c r="D28" s="86">
        <f t="shared" si="2"/>
        <v>20751</v>
      </c>
      <c r="E28" s="1">
        <v>0</v>
      </c>
      <c r="F28" s="3">
        <f t="shared" si="0"/>
        <v>448245</v>
      </c>
      <c r="G28" s="6">
        <f t="shared" si="3"/>
        <v>3615</v>
      </c>
      <c r="H28" s="2">
        <f t="shared" si="1"/>
        <v>-427494</v>
      </c>
    </row>
    <row r="29" spans="1:14" ht="14.4" x14ac:dyDescent="0.3">
      <c r="A29" s="14">
        <v>20</v>
      </c>
      <c r="B29" s="98">
        <v>44239</v>
      </c>
      <c r="C29" s="1">
        <v>2465</v>
      </c>
      <c r="D29" s="86">
        <f t="shared" si="2"/>
        <v>23216</v>
      </c>
      <c r="E29" s="1">
        <v>12684</v>
      </c>
      <c r="F29" s="3">
        <f>F28+E29</f>
        <v>460929</v>
      </c>
      <c r="G29" s="6">
        <f t="shared" si="3"/>
        <v>-10219</v>
      </c>
      <c r="H29" s="2">
        <f t="shared" si="1"/>
        <v>-437713</v>
      </c>
    </row>
    <row r="30" spans="1:14" ht="14.4" x14ac:dyDescent="0.3">
      <c r="A30" s="14">
        <v>21</v>
      </c>
      <c r="B30" s="98">
        <v>44246</v>
      </c>
      <c r="C30" s="1">
        <v>2714</v>
      </c>
      <c r="D30" s="86">
        <f t="shared" si="2"/>
        <v>25930</v>
      </c>
      <c r="E30" s="1">
        <v>53504</v>
      </c>
      <c r="F30" s="3">
        <f t="shared" si="0"/>
        <v>514433</v>
      </c>
      <c r="G30" s="6">
        <f t="shared" si="3"/>
        <v>-50790</v>
      </c>
      <c r="H30" s="2">
        <f t="shared" si="1"/>
        <v>-488503</v>
      </c>
    </row>
    <row r="31" spans="1:14" ht="14.4" x14ac:dyDescent="0.3">
      <c r="A31" s="14">
        <v>22</v>
      </c>
      <c r="B31" s="98">
        <v>44253</v>
      </c>
      <c r="C31" s="1">
        <v>2633</v>
      </c>
      <c r="D31" s="86">
        <f t="shared" si="2"/>
        <v>28563</v>
      </c>
      <c r="E31" s="1">
        <v>52935</v>
      </c>
      <c r="F31" s="3">
        <f t="shared" si="0"/>
        <v>567368</v>
      </c>
      <c r="G31" s="6">
        <f t="shared" si="3"/>
        <v>-50302</v>
      </c>
      <c r="H31" s="2">
        <f t="shared" si="1"/>
        <v>-538805</v>
      </c>
    </row>
    <row r="32" spans="1:14" ht="14.4" x14ac:dyDescent="0.3">
      <c r="A32" s="14">
        <v>23</v>
      </c>
      <c r="B32" s="98">
        <v>44260</v>
      </c>
      <c r="C32" s="1">
        <v>1242</v>
      </c>
      <c r="D32" s="86">
        <f t="shared" si="2"/>
        <v>29805</v>
      </c>
      <c r="E32" s="1">
        <v>59755</v>
      </c>
      <c r="F32" s="3">
        <f t="shared" si="0"/>
        <v>627123</v>
      </c>
      <c r="G32" s="6">
        <f t="shared" si="3"/>
        <v>-58513</v>
      </c>
      <c r="H32" s="2">
        <f t="shared" si="1"/>
        <v>-597318</v>
      </c>
    </row>
    <row r="33" spans="1:11" ht="14.4" x14ac:dyDescent="0.3">
      <c r="A33" s="14">
        <v>24</v>
      </c>
      <c r="B33" s="98">
        <v>44267</v>
      </c>
      <c r="C33" s="1">
        <v>1478</v>
      </c>
      <c r="D33" s="86">
        <f t="shared" si="2"/>
        <v>31283</v>
      </c>
      <c r="E33" s="1">
        <v>30446</v>
      </c>
      <c r="F33" s="3">
        <f t="shared" si="0"/>
        <v>657569</v>
      </c>
      <c r="G33" s="6">
        <f t="shared" si="3"/>
        <v>-28968</v>
      </c>
      <c r="H33" s="2">
        <f t="shared" si="1"/>
        <v>-626286</v>
      </c>
    </row>
    <row r="34" spans="1:11" ht="14.4" x14ac:dyDescent="0.3">
      <c r="A34" s="14">
        <v>25</v>
      </c>
      <c r="B34" s="98">
        <v>44274</v>
      </c>
      <c r="C34" s="1">
        <v>8057</v>
      </c>
      <c r="D34" s="86">
        <f t="shared" si="2"/>
        <v>39340</v>
      </c>
      <c r="E34" s="1">
        <v>43876</v>
      </c>
      <c r="F34" s="3">
        <f t="shared" si="0"/>
        <v>701445</v>
      </c>
      <c r="G34" s="6">
        <f t="shared" si="3"/>
        <v>-35819</v>
      </c>
      <c r="H34" s="2">
        <f t="shared" si="1"/>
        <v>-662105</v>
      </c>
    </row>
    <row r="35" spans="1:11" ht="14.4" x14ac:dyDescent="0.3">
      <c r="A35" s="14">
        <v>26</v>
      </c>
      <c r="B35" s="98">
        <v>44281</v>
      </c>
      <c r="C35" s="1">
        <v>3217</v>
      </c>
      <c r="D35" s="86">
        <f t="shared" si="2"/>
        <v>42557</v>
      </c>
      <c r="E35" s="1">
        <v>2803</v>
      </c>
      <c r="F35" s="3">
        <f t="shared" si="0"/>
        <v>704248</v>
      </c>
      <c r="G35" s="6">
        <f t="shared" si="3"/>
        <v>414</v>
      </c>
      <c r="H35" s="2">
        <f t="shared" si="1"/>
        <v>-661691</v>
      </c>
    </row>
    <row r="36" spans="1:11" ht="14.4" x14ac:dyDescent="0.3">
      <c r="A36" s="14">
        <v>27</v>
      </c>
      <c r="B36" s="98">
        <v>44288</v>
      </c>
      <c r="C36" s="1">
        <v>1600</v>
      </c>
      <c r="D36" s="86">
        <f t="shared" si="2"/>
        <v>44157</v>
      </c>
      <c r="E36" s="1">
        <v>33140</v>
      </c>
      <c r="F36" s="3">
        <f t="shared" si="0"/>
        <v>737388</v>
      </c>
      <c r="G36" s="6">
        <f t="shared" si="3"/>
        <v>-31540</v>
      </c>
      <c r="H36" s="2">
        <f t="shared" si="1"/>
        <v>-693231</v>
      </c>
    </row>
    <row r="37" spans="1:11" ht="14.4" x14ac:dyDescent="0.3">
      <c r="A37" s="14">
        <v>28</v>
      </c>
      <c r="B37" s="98">
        <v>44295</v>
      </c>
      <c r="C37" s="1">
        <v>906</v>
      </c>
      <c r="D37" s="86">
        <f t="shared" si="2"/>
        <v>45063</v>
      </c>
      <c r="E37" s="1">
        <v>48293</v>
      </c>
      <c r="F37" s="3">
        <f t="shared" si="0"/>
        <v>785681</v>
      </c>
      <c r="G37" s="6">
        <f t="shared" si="3"/>
        <v>-47387</v>
      </c>
      <c r="H37" s="2">
        <f t="shared" si="1"/>
        <v>-740618</v>
      </c>
    </row>
    <row r="38" spans="1:11" ht="14.4" x14ac:dyDescent="0.3">
      <c r="A38" s="14">
        <v>29</v>
      </c>
      <c r="B38" s="98">
        <v>44302</v>
      </c>
      <c r="C38" s="1">
        <v>591</v>
      </c>
      <c r="D38" s="86">
        <f t="shared" si="2"/>
        <v>45654</v>
      </c>
      <c r="E38" s="1">
        <v>108807</v>
      </c>
      <c r="F38" s="3">
        <f t="shared" si="0"/>
        <v>894488</v>
      </c>
      <c r="G38" s="6">
        <f t="shared" si="3"/>
        <v>-108216</v>
      </c>
      <c r="H38" s="2">
        <f t="shared" si="1"/>
        <v>-848834</v>
      </c>
    </row>
    <row r="39" spans="1:11" ht="14.4" x14ac:dyDescent="0.3">
      <c r="A39" s="14">
        <v>30</v>
      </c>
      <c r="B39" s="98">
        <v>44309</v>
      </c>
      <c r="C39" s="1">
        <v>2680</v>
      </c>
      <c r="D39" s="86">
        <f t="shared" si="2"/>
        <v>48334</v>
      </c>
      <c r="E39" s="1">
        <v>6756</v>
      </c>
      <c r="F39" s="3">
        <f t="shared" si="0"/>
        <v>901244</v>
      </c>
      <c r="G39" s="6">
        <f t="shared" si="3"/>
        <v>-4076</v>
      </c>
      <c r="H39" s="2">
        <f t="shared" si="1"/>
        <v>-852910</v>
      </c>
    </row>
    <row r="40" spans="1:11" ht="14.4" x14ac:dyDescent="0.3">
      <c r="A40" s="14">
        <v>31</v>
      </c>
      <c r="B40" s="98">
        <v>44316</v>
      </c>
      <c r="C40" s="1">
        <v>1709</v>
      </c>
      <c r="D40" s="86">
        <f t="shared" si="2"/>
        <v>50043</v>
      </c>
      <c r="E40" s="1">
        <v>20171</v>
      </c>
      <c r="F40" s="3">
        <f t="shared" si="0"/>
        <v>921415</v>
      </c>
      <c r="G40" s="6">
        <f t="shared" si="3"/>
        <v>-18462</v>
      </c>
      <c r="H40" s="2">
        <f t="shared" si="1"/>
        <v>-871372</v>
      </c>
    </row>
    <row r="41" spans="1:11" ht="14.4" x14ac:dyDescent="0.3">
      <c r="A41" s="14">
        <v>32</v>
      </c>
      <c r="B41" s="98">
        <v>44323</v>
      </c>
      <c r="C41" s="1">
        <v>3948</v>
      </c>
      <c r="D41" s="86">
        <f t="shared" si="2"/>
        <v>53991</v>
      </c>
      <c r="E41" s="1">
        <v>15513</v>
      </c>
      <c r="F41" s="3">
        <f t="shared" si="0"/>
        <v>936928</v>
      </c>
      <c r="G41" s="6">
        <f t="shared" si="3"/>
        <v>-11565</v>
      </c>
      <c r="H41" s="2">
        <f t="shared" si="1"/>
        <v>-882937</v>
      </c>
    </row>
    <row r="42" spans="1:11" ht="14.4" x14ac:dyDescent="0.3">
      <c r="A42" s="14">
        <v>33</v>
      </c>
      <c r="B42" s="98">
        <v>44330</v>
      </c>
      <c r="C42" s="1">
        <v>4462</v>
      </c>
      <c r="D42" s="86">
        <f t="shared" si="2"/>
        <v>58453</v>
      </c>
      <c r="E42" s="1">
        <v>57770</v>
      </c>
      <c r="F42" s="3">
        <f t="shared" si="0"/>
        <v>994698</v>
      </c>
      <c r="G42" s="6">
        <f t="shared" si="3"/>
        <v>-53308</v>
      </c>
      <c r="H42" s="2">
        <f t="shared" si="1"/>
        <v>-936245</v>
      </c>
    </row>
    <row r="43" spans="1:11" ht="14.4" x14ac:dyDescent="0.3">
      <c r="A43" s="14">
        <v>34</v>
      </c>
      <c r="B43" s="98">
        <f t="shared" ref="B43:B61" si="4">B42+7</f>
        <v>44337</v>
      </c>
      <c r="C43" s="1">
        <v>4694</v>
      </c>
      <c r="D43" s="86">
        <f t="shared" si="2"/>
        <v>63147</v>
      </c>
      <c r="E43" s="1">
        <v>14706</v>
      </c>
      <c r="F43" s="3">
        <f t="shared" si="0"/>
        <v>1009404</v>
      </c>
      <c r="G43" s="6">
        <f t="shared" si="3"/>
        <v>-10012</v>
      </c>
      <c r="H43" s="2">
        <f t="shared" si="1"/>
        <v>-946257</v>
      </c>
    </row>
    <row r="44" spans="1:11" ht="14.4" x14ac:dyDescent="0.3">
      <c r="A44" s="14">
        <v>35</v>
      </c>
      <c r="B44" s="98">
        <f t="shared" si="4"/>
        <v>44344</v>
      </c>
      <c r="C44" s="1">
        <v>3287</v>
      </c>
      <c r="D44" s="86">
        <f t="shared" si="2"/>
        <v>66434</v>
      </c>
      <c r="E44" s="1">
        <v>72</v>
      </c>
      <c r="F44" s="3">
        <f t="shared" si="0"/>
        <v>1009476</v>
      </c>
      <c r="G44" s="6">
        <f t="shared" si="3"/>
        <v>3215</v>
      </c>
      <c r="H44" s="2">
        <f t="shared" si="1"/>
        <v>-943042</v>
      </c>
    </row>
    <row r="45" spans="1:11" ht="14.4" x14ac:dyDescent="0.3">
      <c r="A45" s="14">
        <v>36</v>
      </c>
      <c r="B45" s="98">
        <f t="shared" si="4"/>
        <v>44351</v>
      </c>
      <c r="C45" s="1">
        <v>3141</v>
      </c>
      <c r="D45" s="86">
        <f t="shared" si="2"/>
        <v>69575</v>
      </c>
      <c r="E45" s="1">
        <v>26096</v>
      </c>
      <c r="F45" s="3">
        <f t="shared" si="0"/>
        <v>1035572</v>
      </c>
      <c r="G45" s="6">
        <f t="shared" si="3"/>
        <v>-22955</v>
      </c>
      <c r="H45" s="2">
        <f t="shared" si="1"/>
        <v>-965997</v>
      </c>
    </row>
    <row r="46" spans="1:11" ht="14.4" x14ac:dyDescent="0.3">
      <c r="A46" s="14">
        <v>37</v>
      </c>
      <c r="B46" s="98">
        <f t="shared" si="4"/>
        <v>44358</v>
      </c>
      <c r="C46" s="1">
        <v>2151</v>
      </c>
      <c r="D46" s="86">
        <f t="shared" si="2"/>
        <v>71726</v>
      </c>
      <c r="E46" s="1">
        <v>40805</v>
      </c>
      <c r="F46" s="3">
        <f t="shared" si="0"/>
        <v>1076377</v>
      </c>
      <c r="G46" s="6">
        <f t="shared" si="3"/>
        <v>-38654</v>
      </c>
      <c r="H46" s="2">
        <f t="shared" si="1"/>
        <v>-1004651</v>
      </c>
    </row>
    <row r="47" spans="1:11" ht="14.4" x14ac:dyDescent="0.3">
      <c r="A47" s="14">
        <v>38</v>
      </c>
      <c r="B47" s="98">
        <f t="shared" si="4"/>
        <v>44365</v>
      </c>
      <c r="C47" s="1">
        <v>647</v>
      </c>
      <c r="D47" s="86">
        <f t="shared" si="2"/>
        <v>72373</v>
      </c>
      <c r="E47" s="1">
        <v>5996</v>
      </c>
      <c r="F47" s="3">
        <f t="shared" si="0"/>
        <v>1082373</v>
      </c>
      <c r="G47" s="6">
        <f t="shared" si="3"/>
        <v>-5349</v>
      </c>
      <c r="H47" s="2">
        <f t="shared" si="1"/>
        <v>-1010000</v>
      </c>
    </row>
    <row r="48" spans="1:11" ht="14.4" x14ac:dyDescent="0.3">
      <c r="A48" s="14">
        <v>39</v>
      </c>
      <c r="B48" s="98">
        <f t="shared" si="4"/>
        <v>44372</v>
      </c>
      <c r="C48" s="1">
        <v>709</v>
      </c>
      <c r="D48" s="86">
        <f t="shared" si="2"/>
        <v>73082</v>
      </c>
      <c r="E48" s="1">
        <v>99819</v>
      </c>
      <c r="F48" s="3">
        <f t="shared" si="0"/>
        <v>1182192</v>
      </c>
      <c r="G48" s="6">
        <f t="shared" si="3"/>
        <v>-99110</v>
      </c>
      <c r="H48" s="2">
        <f t="shared" si="1"/>
        <v>-1109110</v>
      </c>
      <c r="K48" s="12"/>
    </row>
    <row r="49" spans="1:8" ht="14.4" x14ac:dyDescent="0.3">
      <c r="A49" s="14">
        <v>40</v>
      </c>
      <c r="B49" s="98">
        <f t="shared" si="4"/>
        <v>44379</v>
      </c>
      <c r="C49" s="1">
        <v>217</v>
      </c>
      <c r="D49" s="86">
        <f t="shared" si="2"/>
        <v>73299</v>
      </c>
      <c r="E49" s="1">
        <v>86911</v>
      </c>
      <c r="F49" s="3">
        <f t="shared" si="0"/>
        <v>1269103</v>
      </c>
      <c r="G49" s="6">
        <f t="shared" si="3"/>
        <v>-86694</v>
      </c>
      <c r="H49" s="2">
        <f t="shared" si="1"/>
        <v>-1195804</v>
      </c>
    </row>
    <row r="50" spans="1:8" ht="14.4" x14ac:dyDescent="0.3">
      <c r="A50" s="14">
        <v>41</v>
      </c>
      <c r="B50" s="98">
        <f t="shared" si="4"/>
        <v>44386</v>
      </c>
      <c r="C50" s="1">
        <v>1717</v>
      </c>
      <c r="D50" s="86">
        <f t="shared" si="2"/>
        <v>75016</v>
      </c>
      <c r="E50" s="1">
        <v>53218</v>
      </c>
      <c r="F50" s="3">
        <f t="shared" si="0"/>
        <v>1322321</v>
      </c>
      <c r="G50" s="6">
        <f t="shared" si="3"/>
        <v>-51501</v>
      </c>
      <c r="H50" s="2">
        <f t="shared" si="1"/>
        <v>-1247305</v>
      </c>
    </row>
    <row r="51" spans="1:8" ht="14.4" x14ac:dyDescent="0.3">
      <c r="A51" s="14">
        <v>42</v>
      </c>
      <c r="B51" s="98">
        <f t="shared" si="4"/>
        <v>44393</v>
      </c>
      <c r="C51" s="1">
        <v>1209</v>
      </c>
      <c r="D51" s="86">
        <f t="shared" si="2"/>
        <v>76225</v>
      </c>
      <c r="E51" s="1">
        <v>7568</v>
      </c>
      <c r="F51" s="3">
        <f t="shared" si="0"/>
        <v>1329889</v>
      </c>
      <c r="G51" s="6">
        <f t="shared" si="3"/>
        <v>-6359</v>
      </c>
      <c r="H51" s="2">
        <f t="shared" si="1"/>
        <v>-1253664</v>
      </c>
    </row>
    <row r="52" spans="1:8" ht="14.4" x14ac:dyDescent="0.3">
      <c r="A52" s="14">
        <v>43</v>
      </c>
      <c r="B52" s="98">
        <f t="shared" si="4"/>
        <v>44400</v>
      </c>
      <c r="C52" s="1">
        <v>1206</v>
      </c>
      <c r="D52" s="86">
        <f t="shared" si="2"/>
        <v>77431</v>
      </c>
      <c r="E52" s="1">
        <v>9027</v>
      </c>
      <c r="F52" s="3">
        <f t="shared" si="0"/>
        <v>1338916</v>
      </c>
      <c r="G52" s="6">
        <f t="shared" si="3"/>
        <v>-7821</v>
      </c>
      <c r="H52" s="2">
        <f t="shared" si="1"/>
        <v>-1261485</v>
      </c>
    </row>
    <row r="53" spans="1:8" ht="14.4" x14ac:dyDescent="0.3">
      <c r="A53" s="14">
        <v>44</v>
      </c>
      <c r="B53" s="98">
        <f t="shared" si="4"/>
        <v>44407</v>
      </c>
      <c r="C53" s="1">
        <v>2298</v>
      </c>
      <c r="D53" s="86">
        <f t="shared" si="2"/>
        <v>79729</v>
      </c>
      <c r="E53" s="1">
        <v>39698</v>
      </c>
      <c r="F53" s="3">
        <f t="shared" si="0"/>
        <v>1378614</v>
      </c>
      <c r="G53" s="6">
        <f t="shared" si="3"/>
        <v>-37400</v>
      </c>
      <c r="H53" s="2">
        <f t="shared" si="1"/>
        <v>-1298885</v>
      </c>
    </row>
    <row r="54" spans="1:8" ht="14.4" x14ac:dyDescent="0.3">
      <c r="A54" s="14">
        <v>45</v>
      </c>
      <c r="B54" s="98">
        <f t="shared" si="4"/>
        <v>44414</v>
      </c>
      <c r="C54" s="1">
        <v>577</v>
      </c>
      <c r="D54" s="86">
        <f t="shared" si="2"/>
        <v>80306</v>
      </c>
      <c r="E54" s="1">
        <v>0</v>
      </c>
      <c r="F54" s="3">
        <f t="shared" si="0"/>
        <v>1378614</v>
      </c>
      <c r="G54" s="6">
        <f t="shared" si="3"/>
        <v>577</v>
      </c>
      <c r="H54" s="2">
        <f t="shared" si="1"/>
        <v>-1298308</v>
      </c>
    </row>
    <row r="55" spans="1:8" ht="14.4" x14ac:dyDescent="0.3">
      <c r="A55" s="14">
        <v>46</v>
      </c>
      <c r="B55" s="98">
        <f t="shared" si="4"/>
        <v>44421</v>
      </c>
      <c r="C55" s="1">
        <v>702</v>
      </c>
      <c r="D55" s="86">
        <f t="shared" si="2"/>
        <v>81008</v>
      </c>
      <c r="E55" s="1">
        <v>0</v>
      </c>
      <c r="F55" s="3">
        <f t="shared" si="0"/>
        <v>1378614</v>
      </c>
      <c r="G55" s="6">
        <f t="shared" si="3"/>
        <v>702</v>
      </c>
      <c r="H55" s="2">
        <f t="shared" si="1"/>
        <v>-1297606</v>
      </c>
    </row>
    <row r="56" spans="1:8" ht="14.4" x14ac:dyDescent="0.3">
      <c r="A56" s="14">
        <v>47</v>
      </c>
      <c r="B56" s="98">
        <f t="shared" si="4"/>
        <v>44428</v>
      </c>
      <c r="C56" s="1">
        <v>708</v>
      </c>
      <c r="D56" s="86">
        <f t="shared" si="2"/>
        <v>81716</v>
      </c>
      <c r="E56" s="1">
        <v>0</v>
      </c>
      <c r="F56" s="3">
        <f t="shared" si="0"/>
        <v>1378614</v>
      </c>
      <c r="G56" s="6">
        <f t="shared" si="3"/>
        <v>708</v>
      </c>
      <c r="H56" s="2">
        <f t="shared" si="1"/>
        <v>-1296898</v>
      </c>
    </row>
    <row r="57" spans="1:8" ht="14.4" x14ac:dyDescent="0.3">
      <c r="A57" s="14">
        <v>48</v>
      </c>
      <c r="B57" s="98">
        <f t="shared" si="4"/>
        <v>44435</v>
      </c>
      <c r="C57" s="1">
        <v>3900</v>
      </c>
      <c r="D57" s="86">
        <f t="shared" si="2"/>
        <v>85616</v>
      </c>
      <c r="E57" s="1">
        <v>2571</v>
      </c>
      <c r="F57" s="3">
        <f t="shared" si="0"/>
        <v>1381185</v>
      </c>
      <c r="G57" s="6">
        <f t="shared" si="3"/>
        <v>1329</v>
      </c>
      <c r="H57" s="2">
        <f t="shared" si="1"/>
        <v>-1295569</v>
      </c>
    </row>
    <row r="58" spans="1:8" ht="14.4" x14ac:dyDescent="0.3">
      <c r="A58" s="14">
        <v>49</v>
      </c>
      <c r="B58" s="98">
        <f t="shared" si="4"/>
        <v>44442</v>
      </c>
      <c r="C58" s="1">
        <v>848</v>
      </c>
      <c r="D58" s="86">
        <f t="shared" si="2"/>
        <v>86464</v>
      </c>
      <c r="E58" s="1">
        <v>26554</v>
      </c>
      <c r="F58" s="3">
        <f t="shared" si="0"/>
        <v>1407739</v>
      </c>
      <c r="G58" s="6">
        <f t="shared" si="3"/>
        <v>-25706</v>
      </c>
      <c r="H58" s="2">
        <f t="shared" si="1"/>
        <v>-1321275</v>
      </c>
    </row>
    <row r="59" spans="1:8" ht="14.4" x14ac:dyDescent="0.3">
      <c r="A59" s="14">
        <v>50</v>
      </c>
      <c r="B59" s="98">
        <f t="shared" si="4"/>
        <v>44449</v>
      </c>
      <c r="C59" s="1">
        <v>1651</v>
      </c>
      <c r="D59" s="86">
        <f t="shared" si="2"/>
        <v>88115</v>
      </c>
      <c r="E59" s="1">
        <v>0</v>
      </c>
      <c r="F59" s="3">
        <f t="shared" si="0"/>
        <v>1407739</v>
      </c>
      <c r="G59" s="6">
        <f t="shared" si="3"/>
        <v>1651</v>
      </c>
      <c r="H59" s="2">
        <f t="shared" si="1"/>
        <v>-1319624</v>
      </c>
    </row>
    <row r="60" spans="1:8" ht="14.4" x14ac:dyDescent="0.3">
      <c r="A60" s="14">
        <v>51</v>
      </c>
      <c r="B60" s="98">
        <f t="shared" si="4"/>
        <v>44456</v>
      </c>
      <c r="C60" s="1">
        <v>1438</v>
      </c>
      <c r="D60" s="86">
        <f t="shared" si="2"/>
        <v>89553</v>
      </c>
      <c r="E60" s="1">
        <v>0</v>
      </c>
      <c r="F60" s="3">
        <f t="shared" si="0"/>
        <v>1407739</v>
      </c>
      <c r="G60" s="6">
        <f t="shared" si="3"/>
        <v>1438</v>
      </c>
      <c r="H60" s="2">
        <f t="shared" si="1"/>
        <v>-1318186</v>
      </c>
    </row>
    <row r="61" spans="1:8" ht="15" thickBot="1" x14ac:dyDescent="0.35">
      <c r="A61" s="103">
        <v>52</v>
      </c>
      <c r="B61" s="100">
        <f t="shared" si="4"/>
        <v>44463</v>
      </c>
      <c r="C61" s="58">
        <v>779</v>
      </c>
      <c r="D61" s="57">
        <f t="shared" si="2"/>
        <v>90332</v>
      </c>
      <c r="E61" s="58">
        <v>68063</v>
      </c>
      <c r="F61" s="57">
        <f t="shared" si="0"/>
        <v>1475802</v>
      </c>
      <c r="G61" s="57">
        <f t="shared" si="3"/>
        <v>-67284</v>
      </c>
      <c r="H61" s="57">
        <f t="shared" si="1"/>
        <v>-1385470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91"/>
  <sheetViews>
    <sheetView topLeftCell="A12" workbookViewId="0">
      <selection activeCell="M17" sqref="M1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B56</f>
        <v>44792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44470</v>
      </c>
      <c r="C10" s="1">
        <v>34</v>
      </c>
      <c r="D10" s="86">
        <f>C10</f>
        <v>34</v>
      </c>
      <c r="E10" s="11">
        <v>4370</v>
      </c>
      <c r="F10" s="3">
        <f>E10</f>
        <v>4370</v>
      </c>
      <c r="G10" s="6">
        <f>+C10-E10</f>
        <v>-4336</v>
      </c>
      <c r="H10" s="2">
        <f>G10</f>
        <v>-4336</v>
      </c>
    </row>
    <row r="11" spans="1:8" ht="14.4" x14ac:dyDescent="0.3">
      <c r="A11" s="14">
        <v>2</v>
      </c>
      <c r="B11" s="98">
        <f t="shared" ref="B11:B57" si="0">B10+7</f>
        <v>44477</v>
      </c>
      <c r="C11" s="1">
        <v>702</v>
      </c>
      <c r="D11" s="86">
        <f>D10+C11</f>
        <v>736</v>
      </c>
      <c r="E11" s="1">
        <v>84243</v>
      </c>
      <c r="F11" s="3">
        <f t="shared" ref="F11:F61" si="1">F10+E11</f>
        <v>88613</v>
      </c>
      <c r="G11" s="6">
        <f>+C11-E11</f>
        <v>-83541</v>
      </c>
      <c r="H11" s="2">
        <f>H10+G11</f>
        <v>-87877</v>
      </c>
    </row>
    <row r="12" spans="1:8" ht="14.4" x14ac:dyDescent="0.3">
      <c r="A12" s="14">
        <v>3</v>
      </c>
      <c r="B12" s="98">
        <f t="shared" si="0"/>
        <v>44484</v>
      </c>
      <c r="C12" s="1">
        <v>1628</v>
      </c>
      <c r="D12" s="86">
        <f>D11+C12</f>
        <v>2364</v>
      </c>
      <c r="E12" s="1">
        <v>17245</v>
      </c>
      <c r="F12" s="3">
        <f t="shared" si="1"/>
        <v>105858</v>
      </c>
      <c r="G12" s="6">
        <f>+C12-E12</f>
        <v>-15617</v>
      </c>
      <c r="H12" s="2">
        <f t="shared" ref="H12:H61" si="2">H11+G12</f>
        <v>-103494</v>
      </c>
    </row>
    <row r="13" spans="1:8" ht="14.4" x14ac:dyDescent="0.3">
      <c r="A13" s="14">
        <v>4</v>
      </c>
      <c r="B13" s="98">
        <f t="shared" si="0"/>
        <v>44491</v>
      </c>
      <c r="C13" s="1">
        <v>528</v>
      </c>
      <c r="D13" s="86">
        <f t="shared" ref="D13:D61" si="3">C13+D12</f>
        <v>2892</v>
      </c>
      <c r="E13" s="1">
        <v>62073</v>
      </c>
      <c r="F13" s="3">
        <f t="shared" si="1"/>
        <v>167931</v>
      </c>
      <c r="G13" s="6">
        <f t="shared" ref="G13:G61" si="4">+C13-E13</f>
        <v>-61545</v>
      </c>
      <c r="H13" s="2">
        <f t="shared" si="2"/>
        <v>-165039</v>
      </c>
    </row>
    <row r="14" spans="1:8" ht="14.4" x14ac:dyDescent="0.3">
      <c r="A14" s="14">
        <v>5</v>
      </c>
      <c r="B14" s="98">
        <f t="shared" si="0"/>
        <v>44498</v>
      </c>
      <c r="C14" s="1">
        <v>0</v>
      </c>
      <c r="D14" s="86">
        <f t="shared" si="3"/>
        <v>2892</v>
      </c>
      <c r="E14" s="1">
        <v>60795</v>
      </c>
      <c r="F14" s="3">
        <f t="shared" si="1"/>
        <v>228726</v>
      </c>
      <c r="G14" s="6">
        <f t="shared" si="4"/>
        <v>-60795</v>
      </c>
      <c r="H14" s="2">
        <f t="shared" si="2"/>
        <v>-225834</v>
      </c>
    </row>
    <row r="15" spans="1:8" ht="14.4" x14ac:dyDescent="0.3">
      <c r="A15" s="14">
        <v>6</v>
      </c>
      <c r="B15" s="98">
        <f t="shared" si="0"/>
        <v>44505</v>
      </c>
      <c r="C15" s="1">
        <v>599</v>
      </c>
      <c r="D15" s="86">
        <f t="shared" si="3"/>
        <v>3491</v>
      </c>
      <c r="E15" s="1">
        <v>27543</v>
      </c>
      <c r="F15" s="3">
        <f t="shared" si="1"/>
        <v>256269</v>
      </c>
      <c r="G15" s="6">
        <f t="shared" si="4"/>
        <v>-26944</v>
      </c>
      <c r="H15" s="2">
        <f t="shared" si="2"/>
        <v>-252778</v>
      </c>
    </row>
    <row r="16" spans="1:8" ht="14.4" x14ac:dyDescent="0.3">
      <c r="A16" s="14">
        <v>7</v>
      </c>
      <c r="B16" s="98">
        <f t="shared" si="0"/>
        <v>44512</v>
      </c>
      <c r="C16" s="1">
        <v>1452</v>
      </c>
      <c r="D16" s="86">
        <f t="shared" si="3"/>
        <v>4943</v>
      </c>
      <c r="E16" s="1">
        <v>30053</v>
      </c>
      <c r="F16" s="3">
        <f t="shared" si="1"/>
        <v>286322</v>
      </c>
      <c r="G16" s="6">
        <f t="shared" si="4"/>
        <v>-28601</v>
      </c>
      <c r="H16" s="2">
        <f t="shared" si="2"/>
        <v>-281379</v>
      </c>
    </row>
    <row r="17" spans="1:14" ht="14.4" x14ac:dyDescent="0.3">
      <c r="A17" s="14">
        <v>8</v>
      </c>
      <c r="B17" s="98">
        <f t="shared" si="0"/>
        <v>44519</v>
      </c>
      <c r="C17" s="1">
        <v>1249</v>
      </c>
      <c r="D17" s="86">
        <f t="shared" si="3"/>
        <v>6192</v>
      </c>
      <c r="E17" s="1">
        <v>39190</v>
      </c>
      <c r="F17" s="3">
        <f t="shared" si="1"/>
        <v>325512</v>
      </c>
      <c r="G17" s="6">
        <f t="shared" si="4"/>
        <v>-37941</v>
      </c>
      <c r="H17" s="2">
        <f t="shared" si="2"/>
        <v>-319320</v>
      </c>
    </row>
    <row r="18" spans="1:14" ht="14.4" x14ac:dyDescent="0.3">
      <c r="A18" s="14">
        <v>9</v>
      </c>
      <c r="B18" s="98">
        <f t="shared" si="0"/>
        <v>44526</v>
      </c>
      <c r="C18" s="1">
        <v>2526</v>
      </c>
      <c r="D18" s="86">
        <f t="shared" si="3"/>
        <v>8718</v>
      </c>
      <c r="E18" s="1">
        <v>11527</v>
      </c>
      <c r="F18" s="3">
        <f t="shared" si="1"/>
        <v>337039</v>
      </c>
      <c r="G18" s="6">
        <f t="shared" si="4"/>
        <v>-9001</v>
      </c>
      <c r="H18" s="2">
        <f t="shared" si="2"/>
        <v>-328321</v>
      </c>
    </row>
    <row r="19" spans="1:14" ht="14.4" x14ac:dyDescent="0.3">
      <c r="A19" s="14">
        <v>10</v>
      </c>
      <c r="B19" s="98">
        <f t="shared" si="0"/>
        <v>44533</v>
      </c>
      <c r="C19" s="1">
        <v>1878</v>
      </c>
      <c r="D19" s="86">
        <f t="shared" si="3"/>
        <v>10596</v>
      </c>
      <c r="E19" s="1">
        <v>0</v>
      </c>
      <c r="F19" s="3">
        <f t="shared" si="1"/>
        <v>337039</v>
      </c>
      <c r="G19" s="6">
        <f>+C19-E19</f>
        <v>1878</v>
      </c>
      <c r="H19" s="2">
        <f t="shared" si="2"/>
        <v>-326443</v>
      </c>
    </row>
    <row r="20" spans="1:14" ht="14.4" x14ac:dyDescent="0.3">
      <c r="A20" s="14">
        <v>11</v>
      </c>
      <c r="B20" s="98">
        <f t="shared" si="0"/>
        <v>44540</v>
      </c>
      <c r="C20" s="1">
        <v>1966</v>
      </c>
      <c r="D20" s="86">
        <f t="shared" si="3"/>
        <v>12562</v>
      </c>
      <c r="E20" s="1">
        <v>0</v>
      </c>
      <c r="F20" s="3">
        <f t="shared" si="1"/>
        <v>337039</v>
      </c>
      <c r="G20" s="6">
        <f t="shared" si="4"/>
        <v>1966</v>
      </c>
      <c r="H20" s="2">
        <f t="shared" si="2"/>
        <v>-324477</v>
      </c>
    </row>
    <row r="21" spans="1:14" ht="14.4" x14ac:dyDescent="0.3">
      <c r="A21" s="14">
        <v>12</v>
      </c>
      <c r="B21" s="98">
        <f t="shared" si="0"/>
        <v>44547</v>
      </c>
      <c r="C21" s="1">
        <v>3550</v>
      </c>
      <c r="D21" s="86">
        <f t="shared" si="3"/>
        <v>16112</v>
      </c>
      <c r="E21" s="1">
        <v>0</v>
      </c>
      <c r="F21" s="3">
        <f t="shared" si="1"/>
        <v>337039</v>
      </c>
      <c r="G21" s="6">
        <f t="shared" si="4"/>
        <v>3550</v>
      </c>
      <c r="H21" s="2">
        <f t="shared" si="2"/>
        <v>-320927</v>
      </c>
    </row>
    <row r="22" spans="1:14" ht="14.4" x14ac:dyDescent="0.3">
      <c r="A22" s="14">
        <v>13</v>
      </c>
      <c r="B22" s="98">
        <f t="shared" si="0"/>
        <v>44554</v>
      </c>
      <c r="C22" s="1">
        <v>4481</v>
      </c>
      <c r="D22" s="86">
        <f t="shared" si="3"/>
        <v>20593</v>
      </c>
      <c r="E22" s="1">
        <v>0</v>
      </c>
      <c r="F22" s="3">
        <f t="shared" si="1"/>
        <v>337039</v>
      </c>
      <c r="G22" s="6">
        <f t="shared" si="4"/>
        <v>4481</v>
      </c>
      <c r="H22" s="2">
        <f t="shared" si="2"/>
        <v>-316446</v>
      </c>
    </row>
    <row r="23" spans="1:14" ht="14.4" x14ac:dyDescent="0.3">
      <c r="A23" s="14">
        <v>14</v>
      </c>
      <c r="B23" s="98">
        <f t="shared" si="0"/>
        <v>44561</v>
      </c>
      <c r="C23" s="1">
        <v>4163</v>
      </c>
      <c r="D23" s="86">
        <f t="shared" si="3"/>
        <v>24756</v>
      </c>
      <c r="E23" s="1">
        <v>0</v>
      </c>
      <c r="F23" s="3">
        <f t="shared" si="1"/>
        <v>337039</v>
      </c>
      <c r="G23" s="6">
        <f t="shared" si="4"/>
        <v>4163</v>
      </c>
      <c r="H23" s="2">
        <f t="shared" si="2"/>
        <v>-312283</v>
      </c>
    </row>
    <row r="24" spans="1:14" ht="14.4" x14ac:dyDescent="0.3">
      <c r="A24" s="14">
        <v>15</v>
      </c>
      <c r="B24" s="98">
        <f t="shared" si="0"/>
        <v>44568</v>
      </c>
      <c r="C24" s="1">
        <v>4049</v>
      </c>
      <c r="D24" s="86">
        <f t="shared" si="3"/>
        <v>28805</v>
      </c>
      <c r="E24" s="1">
        <v>0</v>
      </c>
      <c r="F24" s="3">
        <f t="shared" si="1"/>
        <v>337039</v>
      </c>
      <c r="G24" s="6">
        <f t="shared" si="4"/>
        <v>4049</v>
      </c>
      <c r="H24" s="2">
        <f t="shared" si="2"/>
        <v>-308234</v>
      </c>
    </row>
    <row r="25" spans="1:14" ht="14.4" x14ac:dyDescent="0.3">
      <c r="A25" s="14">
        <v>16</v>
      </c>
      <c r="B25" s="98">
        <f t="shared" si="0"/>
        <v>44575</v>
      </c>
      <c r="C25" s="1">
        <v>7015</v>
      </c>
      <c r="D25" s="86">
        <f t="shared" si="3"/>
        <v>35820</v>
      </c>
      <c r="E25" s="1">
        <v>8010</v>
      </c>
      <c r="F25" s="3">
        <f t="shared" si="1"/>
        <v>345049</v>
      </c>
      <c r="G25" s="6">
        <f t="shared" si="4"/>
        <v>-995</v>
      </c>
      <c r="H25" s="2">
        <f t="shared" si="2"/>
        <v>-309229</v>
      </c>
    </row>
    <row r="26" spans="1:14" ht="14.4" x14ac:dyDescent="0.3">
      <c r="A26" s="14">
        <v>17</v>
      </c>
      <c r="B26" s="98">
        <f t="shared" si="0"/>
        <v>44582</v>
      </c>
      <c r="C26" s="1">
        <v>5153</v>
      </c>
      <c r="D26" s="86">
        <f t="shared" si="3"/>
        <v>40973</v>
      </c>
      <c r="E26" s="1">
        <v>0</v>
      </c>
      <c r="F26" s="3">
        <f t="shared" si="1"/>
        <v>345049</v>
      </c>
      <c r="G26" s="6">
        <f t="shared" si="4"/>
        <v>5153</v>
      </c>
      <c r="H26" s="2">
        <f t="shared" si="2"/>
        <v>-304076</v>
      </c>
      <c r="N26" s="85"/>
    </row>
    <row r="27" spans="1:14" ht="14.4" x14ac:dyDescent="0.3">
      <c r="A27" s="14">
        <v>18</v>
      </c>
      <c r="B27" s="98">
        <f t="shared" si="0"/>
        <v>44589</v>
      </c>
      <c r="C27" s="1">
        <v>6607</v>
      </c>
      <c r="D27" s="86">
        <f t="shared" si="3"/>
        <v>47580</v>
      </c>
      <c r="E27" s="1">
        <v>29014</v>
      </c>
      <c r="F27" s="3">
        <f t="shared" si="1"/>
        <v>374063</v>
      </c>
      <c r="G27" s="6">
        <f t="shared" si="4"/>
        <v>-22407</v>
      </c>
      <c r="H27" s="2">
        <f t="shared" si="2"/>
        <v>-326483</v>
      </c>
    </row>
    <row r="28" spans="1:14" ht="14.4" x14ac:dyDescent="0.3">
      <c r="A28" s="14">
        <v>19</v>
      </c>
      <c r="B28" s="98">
        <f t="shared" si="0"/>
        <v>44596</v>
      </c>
      <c r="C28" s="1">
        <v>5247</v>
      </c>
      <c r="D28" s="86">
        <f t="shared" si="3"/>
        <v>52827</v>
      </c>
      <c r="E28" s="1">
        <v>37461</v>
      </c>
      <c r="F28" s="3">
        <f t="shared" si="1"/>
        <v>411524</v>
      </c>
      <c r="G28" s="6">
        <f t="shared" si="4"/>
        <v>-32214</v>
      </c>
      <c r="H28" s="2">
        <f t="shared" si="2"/>
        <v>-358697</v>
      </c>
    </row>
    <row r="29" spans="1:14" ht="14.4" x14ac:dyDescent="0.3">
      <c r="A29" s="14">
        <v>20</v>
      </c>
      <c r="B29" s="98">
        <f t="shared" si="0"/>
        <v>44603</v>
      </c>
      <c r="C29" s="1">
        <v>7615</v>
      </c>
      <c r="D29" s="86">
        <f t="shared" si="3"/>
        <v>60442</v>
      </c>
      <c r="E29" s="1">
        <v>49325</v>
      </c>
      <c r="F29" s="3">
        <f>F28+E29</f>
        <v>460849</v>
      </c>
      <c r="G29" s="6">
        <f t="shared" si="4"/>
        <v>-41710</v>
      </c>
      <c r="H29" s="2">
        <f t="shared" si="2"/>
        <v>-400407</v>
      </c>
    </row>
    <row r="30" spans="1:14" ht="14.4" x14ac:dyDescent="0.3">
      <c r="A30" s="14">
        <v>21</v>
      </c>
      <c r="B30" s="98">
        <f t="shared" si="0"/>
        <v>44610</v>
      </c>
      <c r="C30" s="1">
        <v>6070</v>
      </c>
      <c r="D30" s="86">
        <f t="shared" si="3"/>
        <v>66512</v>
      </c>
      <c r="E30" s="1">
        <v>34952</v>
      </c>
      <c r="F30" s="3">
        <f t="shared" si="1"/>
        <v>495801</v>
      </c>
      <c r="G30" s="6">
        <f t="shared" si="4"/>
        <v>-28882</v>
      </c>
      <c r="H30" s="2">
        <f t="shared" si="2"/>
        <v>-429289</v>
      </c>
    </row>
    <row r="31" spans="1:14" ht="14.4" x14ac:dyDescent="0.3">
      <c r="A31" s="14">
        <v>22</v>
      </c>
      <c r="B31" s="98">
        <f t="shared" si="0"/>
        <v>44617</v>
      </c>
      <c r="C31" s="1">
        <v>5581</v>
      </c>
      <c r="D31" s="86">
        <f t="shared" si="3"/>
        <v>72093</v>
      </c>
      <c r="E31" s="1">
        <v>83867</v>
      </c>
      <c r="F31" s="3">
        <f t="shared" si="1"/>
        <v>579668</v>
      </c>
      <c r="G31" s="6">
        <f t="shared" si="4"/>
        <v>-78286</v>
      </c>
      <c r="H31" s="2">
        <f t="shared" si="2"/>
        <v>-507575</v>
      </c>
    </row>
    <row r="32" spans="1:14" ht="14.4" x14ac:dyDescent="0.3">
      <c r="A32" s="14">
        <v>23</v>
      </c>
      <c r="B32" s="98">
        <f t="shared" si="0"/>
        <v>44624</v>
      </c>
      <c r="C32" s="1">
        <v>3344</v>
      </c>
      <c r="D32" s="86">
        <f t="shared" si="3"/>
        <v>75437</v>
      </c>
      <c r="E32" s="1">
        <v>75986</v>
      </c>
      <c r="F32" s="3">
        <f t="shared" si="1"/>
        <v>655654</v>
      </c>
      <c r="G32" s="6">
        <f t="shared" si="4"/>
        <v>-72642</v>
      </c>
      <c r="H32" s="2">
        <f t="shared" si="2"/>
        <v>-580217</v>
      </c>
    </row>
    <row r="33" spans="1:11" ht="14.4" x14ac:dyDescent="0.3">
      <c r="A33" s="14">
        <v>24</v>
      </c>
      <c r="B33" s="98">
        <f t="shared" si="0"/>
        <v>44631</v>
      </c>
      <c r="C33" s="1">
        <v>2572</v>
      </c>
      <c r="D33" s="86">
        <f t="shared" si="3"/>
        <v>78009</v>
      </c>
      <c r="E33" s="1">
        <v>43958</v>
      </c>
      <c r="F33" s="3">
        <f t="shared" si="1"/>
        <v>699612</v>
      </c>
      <c r="G33" s="6">
        <f t="shared" si="4"/>
        <v>-41386</v>
      </c>
      <c r="H33" s="2">
        <f t="shared" si="2"/>
        <v>-621603</v>
      </c>
    </row>
    <row r="34" spans="1:11" ht="14.4" x14ac:dyDescent="0.3">
      <c r="A34" s="14">
        <v>25</v>
      </c>
      <c r="B34" s="98">
        <f t="shared" si="0"/>
        <v>44638</v>
      </c>
      <c r="C34" s="1">
        <v>9949</v>
      </c>
      <c r="D34" s="86">
        <f t="shared" si="3"/>
        <v>87958</v>
      </c>
      <c r="E34" s="1">
        <v>28043</v>
      </c>
      <c r="F34" s="3">
        <f t="shared" si="1"/>
        <v>727655</v>
      </c>
      <c r="G34" s="6">
        <f t="shared" si="4"/>
        <v>-18094</v>
      </c>
      <c r="H34" s="2">
        <f t="shared" si="2"/>
        <v>-639697</v>
      </c>
    </row>
    <row r="35" spans="1:11" ht="14.4" x14ac:dyDescent="0.3">
      <c r="A35" s="14">
        <v>26</v>
      </c>
      <c r="B35" s="98">
        <f t="shared" si="0"/>
        <v>44645</v>
      </c>
      <c r="C35" s="1">
        <v>4117</v>
      </c>
      <c r="D35" s="86">
        <f t="shared" si="3"/>
        <v>92075</v>
      </c>
      <c r="E35" s="1">
        <v>36386</v>
      </c>
      <c r="F35" s="3">
        <f t="shared" si="1"/>
        <v>764041</v>
      </c>
      <c r="G35" s="6">
        <f t="shared" si="4"/>
        <v>-32269</v>
      </c>
      <c r="H35" s="2">
        <f t="shared" si="2"/>
        <v>-671966</v>
      </c>
    </row>
    <row r="36" spans="1:11" ht="14.4" x14ac:dyDescent="0.3">
      <c r="A36" s="14">
        <v>27</v>
      </c>
      <c r="B36" s="98">
        <f t="shared" si="0"/>
        <v>44652</v>
      </c>
      <c r="C36" s="1">
        <v>5893</v>
      </c>
      <c r="D36" s="86">
        <f t="shared" si="3"/>
        <v>97968</v>
      </c>
      <c r="E36" s="1">
        <v>60325</v>
      </c>
      <c r="F36" s="3">
        <f t="shared" si="1"/>
        <v>824366</v>
      </c>
      <c r="G36" s="6">
        <f t="shared" si="4"/>
        <v>-54432</v>
      </c>
      <c r="H36" s="2">
        <f t="shared" si="2"/>
        <v>-726398</v>
      </c>
    </row>
    <row r="37" spans="1:11" ht="14.4" x14ac:dyDescent="0.3">
      <c r="A37" s="14">
        <v>28</v>
      </c>
      <c r="B37" s="98">
        <f t="shared" si="0"/>
        <v>44659</v>
      </c>
      <c r="C37" s="1">
        <v>5408</v>
      </c>
      <c r="D37" s="86">
        <f t="shared" si="3"/>
        <v>103376</v>
      </c>
      <c r="E37" s="1">
        <v>0</v>
      </c>
      <c r="F37" s="3">
        <f t="shared" si="1"/>
        <v>824366</v>
      </c>
      <c r="G37" s="6">
        <f t="shared" si="4"/>
        <v>5408</v>
      </c>
      <c r="H37" s="2">
        <f t="shared" si="2"/>
        <v>-720990</v>
      </c>
    </row>
    <row r="38" spans="1:11" ht="14.4" x14ac:dyDescent="0.3">
      <c r="A38" s="14">
        <v>29</v>
      </c>
      <c r="B38" s="98">
        <f t="shared" si="0"/>
        <v>44666</v>
      </c>
      <c r="C38" s="1">
        <v>4833</v>
      </c>
      <c r="D38" s="86">
        <f t="shared" si="3"/>
        <v>108209</v>
      </c>
      <c r="E38" s="1">
        <v>16392</v>
      </c>
      <c r="F38" s="3">
        <f t="shared" si="1"/>
        <v>840758</v>
      </c>
      <c r="G38" s="6">
        <f t="shared" si="4"/>
        <v>-11559</v>
      </c>
      <c r="H38" s="2">
        <f t="shared" si="2"/>
        <v>-732549</v>
      </c>
    </row>
    <row r="39" spans="1:11" ht="14.4" x14ac:dyDescent="0.3">
      <c r="A39" s="14">
        <v>30</v>
      </c>
      <c r="B39" s="98">
        <f t="shared" si="0"/>
        <v>44673</v>
      </c>
      <c r="C39" s="1">
        <v>5067</v>
      </c>
      <c r="D39" s="86">
        <f t="shared" si="3"/>
        <v>113276</v>
      </c>
      <c r="E39" s="1">
        <v>56493</v>
      </c>
      <c r="F39" s="3">
        <f t="shared" si="1"/>
        <v>897251</v>
      </c>
      <c r="G39" s="6">
        <f t="shared" si="4"/>
        <v>-51426</v>
      </c>
      <c r="H39" s="2">
        <f t="shared" si="2"/>
        <v>-783975</v>
      </c>
    </row>
    <row r="40" spans="1:11" ht="14.4" x14ac:dyDescent="0.3">
      <c r="A40" s="14">
        <v>31</v>
      </c>
      <c r="B40" s="98">
        <f t="shared" si="0"/>
        <v>44680</v>
      </c>
      <c r="C40" s="1">
        <v>8122</v>
      </c>
      <c r="D40" s="86">
        <f t="shared" si="3"/>
        <v>121398</v>
      </c>
      <c r="E40" s="1">
        <v>22494</v>
      </c>
      <c r="F40" s="3">
        <f t="shared" si="1"/>
        <v>919745</v>
      </c>
      <c r="G40" s="6">
        <f t="shared" si="4"/>
        <v>-14372</v>
      </c>
      <c r="H40" s="2">
        <f t="shared" si="2"/>
        <v>-798347</v>
      </c>
    </row>
    <row r="41" spans="1:11" ht="14.4" x14ac:dyDescent="0.3">
      <c r="A41" s="14">
        <v>32</v>
      </c>
      <c r="B41" s="98">
        <f t="shared" si="0"/>
        <v>44687</v>
      </c>
      <c r="C41" s="1">
        <v>7417</v>
      </c>
      <c r="D41" s="86">
        <f t="shared" si="3"/>
        <v>128815</v>
      </c>
      <c r="E41" s="1">
        <v>40850</v>
      </c>
      <c r="F41" s="3">
        <f t="shared" si="1"/>
        <v>960595</v>
      </c>
      <c r="G41" s="6">
        <f t="shared" si="4"/>
        <v>-33433</v>
      </c>
      <c r="H41" s="2">
        <f t="shared" si="2"/>
        <v>-831780</v>
      </c>
    </row>
    <row r="42" spans="1:11" ht="14.4" x14ac:dyDescent="0.3">
      <c r="A42" s="14">
        <v>33</v>
      </c>
      <c r="B42" s="98">
        <f t="shared" si="0"/>
        <v>44694</v>
      </c>
      <c r="C42" s="1">
        <v>6611</v>
      </c>
      <c r="D42" s="86">
        <f t="shared" si="3"/>
        <v>135426</v>
      </c>
      <c r="E42" s="1">
        <v>48169</v>
      </c>
      <c r="F42" s="3">
        <f t="shared" si="1"/>
        <v>1008764</v>
      </c>
      <c r="G42" s="6">
        <f t="shared" si="4"/>
        <v>-41558</v>
      </c>
      <c r="H42" s="2">
        <f t="shared" si="2"/>
        <v>-873338</v>
      </c>
    </row>
    <row r="43" spans="1:11" ht="14.4" x14ac:dyDescent="0.3">
      <c r="A43" s="14">
        <v>34</v>
      </c>
      <c r="B43" s="98">
        <f t="shared" si="0"/>
        <v>44701</v>
      </c>
      <c r="C43" s="1">
        <v>6489</v>
      </c>
      <c r="D43" s="86">
        <f t="shared" si="3"/>
        <v>141915</v>
      </c>
      <c r="E43" s="1">
        <v>19437</v>
      </c>
      <c r="F43" s="3">
        <f t="shared" si="1"/>
        <v>1028201</v>
      </c>
      <c r="G43" s="6">
        <f t="shared" si="4"/>
        <v>-12948</v>
      </c>
      <c r="H43" s="2">
        <f t="shared" si="2"/>
        <v>-886286</v>
      </c>
    </row>
    <row r="44" spans="1:11" ht="14.4" x14ac:dyDescent="0.3">
      <c r="A44" s="14">
        <v>35</v>
      </c>
      <c r="B44" s="98">
        <f t="shared" si="0"/>
        <v>44708</v>
      </c>
      <c r="C44" s="1">
        <v>6756</v>
      </c>
      <c r="D44" s="86">
        <f t="shared" si="3"/>
        <v>148671</v>
      </c>
      <c r="E44" s="1">
        <v>38653</v>
      </c>
      <c r="F44" s="3">
        <f t="shared" si="1"/>
        <v>1066854</v>
      </c>
      <c r="G44" s="6">
        <f t="shared" si="4"/>
        <v>-31897</v>
      </c>
      <c r="H44" s="2">
        <f t="shared" si="2"/>
        <v>-918183</v>
      </c>
    </row>
    <row r="45" spans="1:11" ht="14.4" x14ac:dyDescent="0.3">
      <c r="A45" s="14">
        <v>36</v>
      </c>
      <c r="B45" s="98">
        <f t="shared" si="0"/>
        <v>44715</v>
      </c>
      <c r="C45" s="1">
        <v>8097</v>
      </c>
      <c r="D45" s="86">
        <f t="shared" si="3"/>
        <v>156768</v>
      </c>
      <c r="E45" s="1">
        <v>39192</v>
      </c>
      <c r="F45" s="3">
        <f t="shared" si="1"/>
        <v>1106046</v>
      </c>
      <c r="G45" s="6">
        <f t="shared" si="4"/>
        <v>-31095</v>
      </c>
      <c r="H45" s="2">
        <f t="shared" si="2"/>
        <v>-949278</v>
      </c>
    </row>
    <row r="46" spans="1:11" ht="14.4" x14ac:dyDescent="0.3">
      <c r="A46" s="14">
        <v>37</v>
      </c>
      <c r="B46" s="98">
        <f t="shared" si="0"/>
        <v>44722</v>
      </c>
      <c r="C46" s="1">
        <v>8357</v>
      </c>
      <c r="D46" s="86">
        <f t="shared" si="3"/>
        <v>165125</v>
      </c>
      <c r="E46" s="1">
        <v>39710</v>
      </c>
      <c r="F46" s="3">
        <f t="shared" si="1"/>
        <v>1145756</v>
      </c>
      <c r="G46" s="6">
        <f t="shared" si="4"/>
        <v>-31353</v>
      </c>
      <c r="H46" s="2">
        <f t="shared" si="2"/>
        <v>-980631</v>
      </c>
    </row>
    <row r="47" spans="1:11" ht="14.4" x14ac:dyDescent="0.3">
      <c r="A47" s="14">
        <v>38</v>
      </c>
      <c r="B47" s="98">
        <f t="shared" si="0"/>
        <v>44729</v>
      </c>
      <c r="C47" s="1">
        <v>6683</v>
      </c>
      <c r="D47" s="86">
        <f t="shared" si="3"/>
        <v>171808</v>
      </c>
      <c r="E47" s="1">
        <v>14195</v>
      </c>
      <c r="F47" s="3">
        <f t="shared" si="1"/>
        <v>1159951</v>
      </c>
      <c r="G47" s="6">
        <f t="shared" si="4"/>
        <v>-7512</v>
      </c>
      <c r="H47" s="2">
        <f t="shared" si="2"/>
        <v>-988143</v>
      </c>
    </row>
    <row r="48" spans="1:11" ht="14.4" x14ac:dyDescent="0.3">
      <c r="A48" s="14">
        <v>39</v>
      </c>
      <c r="B48" s="98">
        <f t="shared" si="0"/>
        <v>44736</v>
      </c>
      <c r="C48" s="1">
        <v>6240</v>
      </c>
      <c r="D48" s="86">
        <f t="shared" si="3"/>
        <v>178048</v>
      </c>
      <c r="E48" s="1">
        <v>47229</v>
      </c>
      <c r="F48" s="3">
        <f t="shared" si="1"/>
        <v>1207180</v>
      </c>
      <c r="G48" s="6">
        <f t="shared" si="4"/>
        <v>-40989</v>
      </c>
      <c r="H48" s="2">
        <f t="shared" si="2"/>
        <v>-1029132</v>
      </c>
      <c r="K48" s="12"/>
    </row>
    <row r="49" spans="1:8" ht="14.4" x14ac:dyDescent="0.3">
      <c r="A49" s="14">
        <v>40</v>
      </c>
      <c r="B49" s="98">
        <f t="shared" si="0"/>
        <v>44743</v>
      </c>
      <c r="C49" s="1">
        <v>9324</v>
      </c>
      <c r="D49" s="86">
        <f t="shared" si="3"/>
        <v>187372</v>
      </c>
      <c r="E49" s="1">
        <v>29530</v>
      </c>
      <c r="F49" s="3">
        <f t="shared" si="1"/>
        <v>1236710</v>
      </c>
      <c r="G49" s="6">
        <f t="shared" si="4"/>
        <v>-20206</v>
      </c>
      <c r="H49" s="2">
        <f t="shared" si="2"/>
        <v>-1049338</v>
      </c>
    </row>
    <row r="50" spans="1:8" ht="14.4" x14ac:dyDescent="0.3">
      <c r="A50" s="14">
        <v>41</v>
      </c>
      <c r="B50" s="98">
        <f t="shared" si="0"/>
        <v>44750</v>
      </c>
      <c r="C50" s="1">
        <v>7378</v>
      </c>
      <c r="D50" s="86">
        <f t="shared" si="3"/>
        <v>194750</v>
      </c>
      <c r="E50" s="1">
        <v>30977</v>
      </c>
      <c r="F50" s="3">
        <f t="shared" si="1"/>
        <v>1267687</v>
      </c>
      <c r="G50" s="6">
        <f t="shared" si="4"/>
        <v>-23599</v>
      </c>
      <c r="H50" s="2">
        <f t="shared" si="2"/>
        <v>-1072937</v>
      </c>
    </row>
    <row r="51" spans="1:8" ht="14.4" x14ac:dyDescent="0.3">
      <c r="A51" s="14">
        <v>42</v>
      </c>
      <c r="B51" s="98">
        <f t="shared" si="0"/>
        <v>44757</v>
      </c>
      <c r="C51" s="1">
        <v>8187</v>
      </c>
      <c r="D51" s="86">
        <f t="shared" si="3"/>
        <v>202937</v>
      </c>
      <c r="E51" s="1">
        <v>50870</v>
      </c>
      <c r="F51" s="3">
        <f t="shared" si="1"/>
        <v>1318557</v>
      </c>
      <c r="G51" s="6">
        <f t="shared" si="4"/>
        <v>-42683</v>
      </c>
      <c r="H51" s="2">
        <f t="shared" si="2"/>
        <v>-1115620</v>
      </c>
    </row>
    <row r="52" spans="1:8" ht="14.4" x14ac:dyDescent="0.3">
      <c r="A52" s="14">
        <v>43</v>
      </c>
      <c r="B52" s="98">
        <f t="shared" si="0"/>
        <v>44764</v>
      </c>
      <c r="C52" s="1">
        <v>7006</v>
      </c>
      <c r="D52" s="86">
        <f t="shared" si="3"/>
        <v>209943</v>
      </c>
      <c r="E52" s="1">
        <v>62186</v>
      </c>
      <c r="F52" s="3">
        <f t="shared" si="1"/>
        <v>1380743</v>
      </c>
      <c r="G52" s="6">
        <f t="shared" si="4"/>
        <v>-55180</v>
      </c>
      <c r="H52" s="2">
        <f t="shared" si="2"/>
        <v>-1170800</v>
      </c>
    </row>
    <row r="53" spans="1:8" ht="14.4" x14ac:dyDescent="0.3">
      <c r="A53" s="14">
        <v>44</v>
      </c>
      <c r="B53" s="98">
        <f t="shared" si="0"/>
        <v>44771</v>
      </c>
      <c r="C53" s="1">
        <v>7312</v>
      </c>
      <c r="D53" s="86">
        <f t="shared" si="3"/>
        <v>217255</v>
      </c>
      <c r="E53" s="1">
        <v>0</v>
      </c>
      <c r="F53" s="3">
        <f t="shared" si="1"/>
        <v>1380743</v>
      </c>
      <c r="G53" s="6">
        <f t="shared" si="4"/>
        <v>7312</v>
      </c>
      <c r="H53" s="2">
        <f t="shared" si="2"/>
        <v>-1163488</v>
      </c>
    </row>
    <row r="54" spans="1:8" ht="14.4" x14ac:dyDescent="0.3">
      <c r="A54" s="14">
        <v>45</v>
      </c>
      <c r="B54" s="98">
        <f t="shared" si="0"/>
        <v>44778</v>
      </c>
      <c r="C54" s="1">
        <v>5456</v>
      </c>
      <c r="D54" s="86">
        <f t="shared" si="3"/>
        <v>222711</v>
      </c>
      <c r="E54" s="1">
        <v>0</v>
      </c>
      <c r="F54" s="3">
        <f t="shared" si="1"/>
        <v>1380743</v>
      </c>
      <c r="G54" s="6">
        <f t="shared" si="4"/>
        <v>5456</v>
      </c>
      <c r="H54" s="2">
        <f t="shared" si="2"/>
        <v>-1158032</v>
      </c>
    </row>
    <row r="55" spans="1:8" ht="14.4" x14ac:dyDescent="0.3">
      <c r="A55" s="14">
        <v>46</v>
      </c>
      <c r="B55" s="98">
        <f t="shared" si="0"/>
        <v>44785</v>
      </c>
      <c r="C55" s="1">
        <v>5195</v>
      </c>
      <c r="D55" s="86">
        <f t="shared" si="3"/>
        <v>227906</v>
      </c>
      <c r="E55" s="1">
        <v>8961</v>
      </c>
      <c r="F55" s="3">
        <f t="shared" si="1"/>
        <v>1389704</v>
      </c>
      <c r="G55" s="6">
        <f t="shared" si="4"/>
        <v>-3766</v>
      </c>
      <c r="H55" s="2">
        <f t="shared" si="2"/>
        <v>-1161798</v>
      </c>
    </row>
    <row r="56" spans="1:8" ht="14.4" x14ac:dyDescent="0.3">
      <c r="A56" s="14">
        <v>47</v>
      </c>
      <c r="B56" s="98">
        <f t="shared" si="0"/>
        <v>44792</v>
      </c>
      <c r="C56" s="1">
        <v>5581</v>
      </c>
      <c r="D56" s="86">
        <f t="shared" si="3"/>
        <v>233487</v>
      </c>
      <c r="E56" s="1">
        <v>11054</v>
      </c>
      <c r="F56" s="3">
        <f t="shared" si="1"/>
        <v>1400758</v>
      </c>
      <c r="G56" s="6">
        <f t="shared" si="4"/>
        <v>-5473</v>
      </c>
      <c r="H56" s="2">
        <f t="shared" si="2"/>
        <v>-1167271</v>
      </c>
    </row>
    <row r="57" spans="1:8" ht="14.4" x14ac:dyDescent="0.3">
      <c r="A57" s="14">
        <v>48</v>
      </c>
      <c r="B57" s="98">
        <f t="shared" si="0"/>
        <v>44799</v>
      </c>
      <c r="C57" s="1"/>
      <c r="D57" s="86">
        <f t="shared" si="3"/>
        <v>233487</v>
      </c>
      <c r="E57" s="1"/>
      <c r="F57" s="3">
        <f t="shared" si="1"/>
        <v>1400758</v>
      </c>
      <c r="G57" s="6">
        <f t="shared" si="4"/>
        <v>0</v>
      </c>
      <c r="H57" s="2">
        <f t="shared" si="2"/>
        <v>-1167271</v>
      </c>
    </row>
    <row r="58" spans="1:8" ht="14.4" x14ac:dyDescent="0.3">
      <c r="A58" s="14">
        <v>49</v>
      </c>
      <c r="B58" s="98"/>
      <c r="C58" s="1"/>
      <c r="D58" s="86">
        <f t="shared" si="3"/>
        <v>233487</v>
      </c>
      <c r="E58" s="1"/>
      <c r="F58" s="3">
        <f t="shared" si="1"/>
        <v>1400758</v>
      </c>
      <c r="G58" s="6">
        <f t="shared" si="4"/>
        <v>0</v>
      </c>
      <c r="H58" s="2">
        <f t="shared" si="2"/>
        <v>-1167271</v>
      </c>
    </row>
    <row r="59" spans="1:8" ht="14.4" x14ac:dyDescent="0.3">
      <c r="A59" s="14">
        <v>50</v>
      </c>
      <c r="B59" s="98"/>
      <c r="C59" s="1"/>
      <c r="D59" s="86">
        <f t="shared" si="3"/>
        <v>233487</v>
      </c>
      <c r="E59" s="1"/>
      <c r="F59" s="3">
        <f t="shared" si="1"/>
        <v>1400758</v>
      </c>
      <c r="G59" s="6">
        <f t="shared" si="4"/>
        <v>0</v>
      </c>
      <c r="H59" s="2">
        <f t="shared" si="2"/>
        <v>-1167271</v>
      </c>
    </row>
    <row r="60" spans="1:8" ht="14.4" x14ac:dyDescent="0.3">
      <c r="A60" s="14">
        <v>51</v>
      </c>
      <c r="B60" s="98"/>
      <c r="C60" s="1"/>
      <c r="D60" s="86">
        <f t="shared" si="3"/>
        <v>233487</v>
      </c>
      <c r="E60" s="1"/>
      <c r="F60" s="3">
        <f t="shared" si="1"/>
        <v>1400758</v>
      </c>
      <c r="G60" s="6">
        <f t="shared" si="4"/>
        <v>0</v>
      </c>
      <c r="H60" s="2">
        <f t="shared" si="2"/>
        <v>-1167271</v>
      </c>
    </row>
    <row r="61" spans="1:8" ht="15" thickBot="1" x14ac:dyDescent="0.35">
      <c r="A61" s="103">
        <v>52</v>
      </c>
      <c r="B61" s="100"/>
      <c r="C61" s="58"/>
      <c r="D61" s="57">
        <f t="shared" si="3"/>
        <v>233487</v>
      </c>
      <c r="E61" s="58"/>
      <c r="F61" s="57">
        <f t="shared" si="1"/>
        <v>1400758</v>
      </c>
      <c r="G61" s="57">
        <f t="shared" si="4"/>
        <v>0</v>
      </c>
      <c r="H61" s="2">
        <f t="shared" si="2"/>
        <v>-1167271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8705-EA2A-44DA-B7CF-F6A6D2B68CF1}">
  <dimension ref="A1:N1391"/>
  <sheetViews>
    <sheetView workbookViewId="0">
      <selection activeCell="L22" sqref="L22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45198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44841</v>
      </c>
      <c r="C10" s="1">
        <v>4081</v>
      </c>
      <c r="D10" s="86">
        <f>C10</f>
        <v>4081</v>
      </c>
      <c r="E10" s="1">
        <v>41293</v>
      </c>
      <c r="F10" s="3">
        <f>E10</f>
        <v>41293</v>
      </c>
      <c r="G10" s="6">
        <f>C10-E10</f>
        <v>-37212</v>
      </c>
      <c r="H10" s="2">
        <f>G10</f>
        <v>-37212</v>
      </c>
    </row>
    <row r="11" spans="1:8" ht="14.4" x14ac:dyDescent="0.3">
      <c r="A11" s="14">
        <v>2</v>
      </c>
      <c r="B11" s="98">
        <f t="shared" ref="B11:B61" si="0">B10+7</f>
        <v>44848</v>
      </c>
      <c r="C11" s="1">
        <v>4526</v>
      </c>
      <c r="D11" s="86">
        <f>D10+C11</f>
        <v>8607</v>
      </c>
      <c r="E11" s="1">
        <v>74943</v>
      </c>
      <c r="F11" s="3">
        <f>F10+E11</f>
        <v>116236</v>
      </c>
      <c r="G11" s="6">
        <f t="shared" ref="G11:G22" si="1">C11-E11</f>
        <v>-70417</v>
      </c>
      <c r="H11" s="2">
        <f>G10+H10</f>
        <v>-74424</v>
      </c>
    </row>
    <row r="12" spans="1:8" ht="14.4" x14ac:dyDescent="0.3">
      <c r="A12" s="14">
        <v>3</v>
      </c>
      <c r="B12" s="98">
        <f t="shared" si="0"/>
        <v>44855</v>
      </c>
      <c r="C12" s="1">
        <v>3491</v>
      </c>
      <c r="D12" s="86">
        <f t="shared" ref="D12:D15" si="2">D11+C12</f>
        <v>12098</v>
      </c>
      <c r="E12" s="1">
        <v>16457</v>
      </c>
      <c r="F12" s="3">
        <f t="shared" ref="F12:F22" si="3">F11+E12</f>
        <v>132693</v>
      </c>
      <c r="G12" s="6">
        <f t="shared" si="1"/>
        <v>-12966</v>
      </c>
      <c r="H12" s="2">
        <f t="shared" ref="H12:H15" si="4">G11+H11</f>
        <v>-144841</v>
      </c>
    </row>
    <row r="13" spans="1:8" ht="14.4" x14ac:dyDescent="0.3">
      <c r="A13" s="14">
        <v>4</v>
      </c>
      <c r="B13" s="98">
        <f t="shared" si="0"/>
        <v>44862</v>
      </c>
      <c r="C13" s="1">
        <v>4003</v>
      </c>
      <c r="D13" s="86">
        <f t="shared" si="2"/>
        <v>16101</v>
      </c>
      <c r="E13" s="1">
        <v>27377</v>
      </c>
      <c r="F13" s="3">
        <f t="shared" si="3"/>
        <v>160070</v>
      </c>
      <c r="G13" s="6">
        <f t="shared" si="1"/>
        <v>-23374</v>
      </c>
      <c r="H13" s="2">
        <f t="shared" si="4"/>
        <v>-157807</v>
      </c>
    </row>
    <row r="14" spans="1:8" ht="14.4" x14ac:dyDescent="0.3">
      <c r="A14" s="14">
        <v>5</v>
      </c>
      <c r="B14" s="98">
        <f t="shared" si="0"/>
        <v>44869</v>
      </c>
      <c r="C14" s="1">
        <v>3508</v>
      </c>
      <c r="D14" s="86">
        <f t="shared" si="2"/>
        <v>19609</v>
      </c>
      <c r="E14" s="1">
        <v>52930</v>
      </c>
      <c r="F14" s="3">
        <f t="shared" si="3"/>
        <v>213000</v>
      </c>
      <c r="G14" s="6">
        <f t="shared" si="1"/>
        <v>-49422</v>
      </c>
      <c r="H14" s="2">
        <f t="shared" si="4"/>
        <v>-181181</v>
      </c>
    </row>
    <row r="15" spans="1:8" ht="14.4" x14ac:dyDescent="0.3">
      <c r="A15" s="14">
        <v>6</v>
      </c>
      <c r="B15" s="98">
        <f t="shared" si="0"/>
        <v>44876</v>
      </c>
      <c r="C15" s="1">
        <v>2587</v>
      </c>
      <c r="D15" s="86">
        <f t="shared" si="2"/>
        <v>22196</v>
      </c>
      <c r="E15" s="1">
        <v>51992</v>
      </c>
      <c r="F15" s="3">
        <f t="shared" si="3"/>
        <v>264992</v>
      </c>
      <c r="G15" s="6">
        <f t="shared" si="1"/>
        <v>-49405</v>
      </c>
      <c r="H15" s="2">
        <f t="shared" si="4"/>
        <v>-230603</v>
      </c>
    </row>
    <row r="16" spans="1:8" ht="14.4" x14ac:dyDescent="0.3">
      <c r="A16" s="14">
        <v>7</v>
      </c>
      <c r="B16" s="98">
        <f t="shared" si="0"/>
        <v>44883</v>
      </c>
      <c r="C16" s="1">
        <v>3090</v>
      </c>
      <c r="D16" s="86">
        <f t="shared" ref="D16:D32" si="5">D15+C16</f>
        <v>25286</v>
      </c>
      <c r="E16" s="1">
        <v>37586</v>
      </c>
      <c r="F16" s="3">
        <f t="shared" si="3"/>
        <v>302578</v>
      </c>
      <c r="G16" s="6">
        <f t="shared" si="1"/>
        <v>-34496</v>
      </c>
      <c r="H16" s="2">
        <f t="shared" ref="H16:H17" si="6">G15+H15</f>
        <v>-280008</v>
      </c>
    </row>
    <row r="17" spans="1:14" ht="14.4" x14ac:dyDescent="0.3">
      <c r="A17" s="14">
        <v>8</v>
      </c>
      <c r="B17" s="98">
        <f t="shared" si="0"/>
        <v>44890</v>
      </c>
      <c r="C17" s="1">
        <v>2221</v>
      </c>
      <c r="D17" s="86">
        <f t="shared" si="5"/>
        <v>27507</v>
      </c>
      <c r="E17" s="1">
        <v>34539</v>
      </c>
      <c r="F17" s="3">
        <f t="shared" si="3"/>
        <v>337117</v>
      </c>
      <c r="G17" s="6">
        <f t="shared" si="1"/>
        <v>-32318</v>
      </c>
      <c r="H17" s="2">
        <f t="shared" si="6"/>
        <v>-314504</v>
      </c>
    </row>
    <row r="18" spans="1:14" ht="14.4" x14ac:dyDescent="0.3">
      <c r="A18" s="14">
        <v>9</v>
      </c>
      <c r="B18" s="98">
        <f t="shared" si="0"/>
        <v>44897</v>
      </c>
      <c r="C18" s="1">
        <v>2774</v>
      </c>
      <c r="D18" s="86">
        <f t="shared" si="5"/>
        <v>30281</v>
      </c>
      <c r="E18" s="1">
        <v>9797</v>
      </c>
      <c r="F18" s="3">
        <f t="shared" si="3"/>
        <v>346914</v>
      </c>
      <c r="G18" s="6">
        <f t="shared" si="1"/>
        <v>-7023</v>
      </c>
      <c r="H18" s="2">
        <f t="shared" ref="H18" si="7">G17+H17</f>
        <v>-346822</v>
      </c>
    </row>
    <row r="19" spans="1:14" ht="14.4" x14ac:dyDescent="0.3">
      <c r="A19" s="14">
        <v>10</v>
      </c>
      <c r="B19" s="98">
        <f t="shared" si="0"/>
        <v>44904</v>
      </c>
      <c r="C19" s="1">
        <v>3257</v>
      </c>
      <c r="D19" s="86">
        <f t="shared" si="5"/>
        <v>33538</v>
      </c>
      <c r="E19" s="1">
        <v>36619</v>
      </c>
      <c r="F19" s="3">
        <f t="shared" si="3"/>
        <v>383533</v>
      </c>
      <c r="G19" s="6">
        <f t="shared" si="1"/>
        <v>-33362</v>
      </c>
      <c r="H19" s="2">
        <f t="shared" ref="H19:H22" si="8">G18+H18</f>
        <v>-353845</v>
      </c>
    </row>
    <row r="20" spans="1:14" ht="14.4" x14ac:dyDescent="0.3">
      <c r="A20" s="14">
        <v>11</v>
      </c>
      <c r="B20" s="98">
        <f t="shared" si="0"/>
        <v>44911</v>
      </c>
      <c r="C20" s="1">
        <v>4100</v>
      </c>
      <c r="D20" s="86">
        <f t="shared" si="5"/>
        <v>37638</v>
      </c>
      <c r="E20" s="1">
        <v>0</v>
      </c>
      <c r="F20" s="3">
        <f t="shared" si="3"/>
        <v>383533</v>
      </c>
      <c r="G20" s="6">
        <f t="shared" si="1"/>
        <v>4100</v>
      </c>
      <c r="H20" s="2">
        <f t="shared" si="8"/>
        <v>-387207</v>
      </c>
    </row>
    <row r="21" spans="1:14" ht="14.4" x14ac:dyDescent="0.3">
      <c r="A21" s="14">
        <v>12</v>
      </c>
      <c r="B21" s="98">
        <f t="shared" si="0"/>
        <v>44918</v>
      </c>
      <c r="C21" s="1">
        <v>4167</v>
      </c>
      <c r="D21" s="86">
        <f t="shared" si="5"/>
        <v>41805</v>
      </c>
      <c r="E21" s="1">
        <v>0</v>
      </c>
      <c r="F21" s="3">
        <f t="shared" si="3"/>
        <v>383533</v>
      </c>
      <c r="G21" s="6">
        <f t="shared" si="1"/>
        <v>4167</v>
      </c>
      <c r="H21" s="2">
        <f t="shared" si="8"/>
        <v>-383107</v>
      </c>
    </row>
    <row r="22" spans="1:14" ht="14.4" x14ac:dyDescent="0.3">
      <c r="A22" s="14">
        <v>13</v>
      </c>
      <c r="B22" s="98">
        <f t="shared" si="0"/>
        <v>44925</v>
      </c>
      <c r="C22" s="1">
        <v>1474</v>
      </c>
      <c r="D22" s="86">
        <f t="shared" si="5"/>
        <v>43279</v>
      </c>
      <c r="E22" s="1">
        <v>0</v>
      </c>
      <c r="F22" s="3">
        <f t="shared" si="3"/>
        <v>383533</v>
      </c>
      <c r="G22" s="6">
        <f t="shared" si="1"/>
        <v>1474</v>
      </c>
      <c r="H22" s="2">
        <f t="shared" si="8"/>
        <v>-378940</v>
      </c>
    </row>
    <row r="23" spans="1:14" ht="14.4" x14ac:dyDescent="0.3">
      <c r="A23" s="14">
        <v>14</v>
      </c>
      <c r="B23" s="98">
        <f t="shared" si="0"/>
        <v>44932</v>
      </c>
      <c r="C23" s="1">
        <v>4644</v>
      </c>
      <c r="D23" s="86">
        <f t="shared" si="5"/>
        <v>47923</v>
      </c>
      <c r="E23" s="1">
        <v>13857</v>
      </c>
      <c r="F23" s="3">
        <f t="shared" ref="F23:F27" si="9">F22+E23</f>
        <v>397390</v>
      </c>
      <c r="G23" s="6">
        <f t="shared" ref="G23:G32" si="10">C23-E23</f>
        <v>-9213</v>
      </c>
      <c r="H23" s="2">
        <f t="shared" ref="H23:H27" si="11">G22+H22</f>
        <v>-377466</v>
      </c>
    </row>
    <row r="24" spans="1:14" ht="14.4" x14ac:dyDescent="0.3">
      <c r="A24" s="14">
        <v>15</v>
      </c>
      <c r="B24" s="98">
        <f t="shared" si="0"/>
        <v>44939</v>
      </c>
      <c r="C24" s="1">
        <v>7101</v>
      </c>
      <c r="D24" s="86">
        <f t="shared" si="5"/>
        <v>55024</v>
      </c>
      <c r="E24" s="1">
        <v>59796</v>
      </c>
      <c r="F24" s="3">
        <f t="shared" si="9"/>
        <v>457186</v>
      </c>
      <c r="G24" s="6">
        <f t="shared" si="10"/>
        <v>-52695</v>
      </c>
      <c r="H24" s="2">
        <f t="shared" si="11"/>
        <v>-386679</v>
      </c>
    </row>
    <row r="25" spans="1:14" ht="14.4" x14ac:dyDescent="0.3">
      <c r="A25" s="14">
        <v>16</v>
      </c>
      <c r="B25" s="98">
        <f t="shared" si="0"/>
        <v>44946</v>
      </c>
      <c r="C25" s="1">
        <v>6392</v>
      </c>
      <c r="D25" s="86">
        <f t="shared" si="5"/>
        <v>61416</v>
      </c>
      <c r="E25" s="1">
        <v>44340</v>
      </c>
      <c r="F25" s="3">
        <f t="shared" si="9"/>
        <v>501526</v>
      </c>
      <c r="G25" s="6">
        <f t="shared" si="10"/>
        <v>-37948</v>
      </c>
      <c r="H25" s="2">
        <f t="shared" si="11"/>
        <v>-439374</v>
      </c>
    </row>
    <row r="26" spans="1:14" ht="14.4" x14ac:dyDescent="0.3">
      <c r="A26" s="14">
        <v>17</v>
      </c>
      <c r="B26" s="98">
        <f t="shared" si="0"/>
        <v>44953</v>
      </c>
      <c r="C26" s="1">
        <v>6984</v>
      </c>
      <c r="D26" s="86">
        <f t="shared" si="5"/>
        <v>68400</v>
      </c>
      <c r="E26" s="1">
        <v>0</v>
      </c>
      <c r="F26" s="3">
        <f t="shared" si="9"/>
        <v>501526</v>
      </c>
      <c r="G26" s="6">
        <f t="shared" si="10"/>
        <v>6984</v>
      </c>
      <c r="H26" s="2">
        <f t="shared" si="11"/>
        <v>-477322</v>
      </c>
      <c r="N26" s="85"/>
    </row>
    <row r="27" spans="1:14" ht="14.4" x14ac:dyDescent="0.3">
      <c r="A27" s="14">
        <v>18</v>
      </c>
      <c r="B27" s="98">
        <f t="shared" si="0"/>
        <v>44960</v>
      </c>
      <c r="C27" s="1">
        <v>6200</v>
      </c>
      <c r="D27" s="86">
        <f t="shared" si="5"/>
        <v>74600</v>
      </c>
      <c r="E27" s="1">
        <v>15660</v>
      </c>
      <c r="F27" s="3">
        <f t="shared" si="9"/>
        <v>517186</v>
      </c>
      <c r="G27" s="6">
        <f t="shared" si="10"/>
        <v>-9460</v>
      </c>
      <c r="H27" s="2">
        <f t="shared" si="11"/>
        <v>-470338</v>
      </c>
    </row>
    <row r="28" spans="1:14" ht="14.4" x14ac:dyDescent="0.3">
      <c r="A28" s="14">
        <v>19</v>
      </c>
      <c r="B28" s="98">
        <f t="shared" si="0"/>
        <v>44967</v>
      </c>
      <c r="C28" s="1">
        <v>5334</v>
      </c>
      <c r="D28" s="86">
        <f t="shared" si="5"/>
        <v>79934</v>
      </c>
      <c r="E28" s="1">
        <v>35899</v>
      </c>
      <c r="F28" s="3">
        <f t="shared" ref="F28:F32" si="12">F27+E28</f>
        <v>553085</v>
      </c>
      <c r="G28" s="6">
        <f t="shared" si="10"/>
        <v>-30565</v>
      </c>
      <c r="H28" s="2">
        <f t="shared" ref="H28:H32" si="13">G27+H27</f>
        <v>-479798</v>
      </c>
    </row>
    <row r="29" spans="1:14" ht="14.4" x14ac:dyDescent="0.3">
      <c r="A29" s="14">
        <v>20</v>
      </c>
      <c r="B29" s="98">
        <f t="shared" si="0"/>
        <v>44974</v>
      </c>
      <c r="C29" s="1">
        <v>5751</v>
      </c>
      <c r="D29" s="86">
        <f t="shared" si="5"/>
        <v>85685</v>
      </c>
      <c r="E29" s="1">
        <v>0</v>
      </c>
      <c r="F29" s="3">
        <f t="shared" si="12"/>
        <v>553085</v>
      </c>
      <c r="G29" s="6">
        <f t="shared" si="10"/>
        <v>5751</v>
      </c>
      <c r="H29" s="2">
        <f t="shared" si="13"/>
        <v>-510363</v>
      </c>
    </row>
    <row r="30" spans="1:14" ht="14.4" x14ac:dyDescent="0.3">
      <c r="A30" s="14">
        <v>21</v>
      </c>
      <c r="B30" s="98">
        <f t="shared" si="0"/>
        <v>44981</v>
      </c>
      <c r="C30" s="1">
        <v>8905</v>
      </c>
      <c r="D30" s="86">
        <f t="shared" si="5"/>
        <v>94590</v>
      </c>
      <c r="E30" s="1">
        <v>7663</v>
      </c>
      <c r="F30" s="3">
        <f t="shared" si="12"/>
        <v>560748</v>
      </c>
      <c r="G30" s="6">
        <f t="shared" si="10"/>
        <v>1242</v>
      </c>
      <c r="H30" s="2">
        <f t="shared" si="13"/>
        <v>-504612</v>
      </c>
    </row>
    <row r="31" spans="1:14" ht="14.4" x14ac:dyDescent="0.3">
      <c r="A31" s="14">
        <v>22</v>
      </c>
      <c r="B31" s="98">
        <f t="shared" si="0"/>
        <v>44988</v>
      </c>
      <c r="C31" s="1">
        <v>8788</v>
      </c>
      <c r="D31" s="86">
        <f t="shared" si="5"/>
        <v>103378</v>
      </c>
      <c r="E31" s="1">
        <v>10424</v>
      </c>
      <c r="F31" s="3">
        <f t="shared" si="12"/>
        <v>571172</v>
      </c>
      <c r="G31" s="6">
        <f t="shared" si="10"/>
        <v>-1636</v>
      </c>
      <c r="H31" s="2">
        <f t="shared" si="13"/>
        <v>-503370</v>
      </c>
    </row>
    <row r="32" spans="1:14" ht="14.4" x14ac:dyDescent="0.3">
      <c r="A32" s="14">
        <v>23</v>
      </c>
      <c r="B32" s="98">
        <f t="shared" si="0"/>
        <v>44995</v>
      </c>
      <c r="C32" s="1">
        <v>6548</v>
      </c>
      <c r="D32" s="86">
        <f t="shared" si="5"/>
        <v>109926</v>
      </c>
      <c r="E32" s="1">
        <v>46915</v>
      </c>
      <c r="F32" s="3">
        <f t="shared" si="12"/>
        <v>618087</v>
      </c>
      <c r="G32" s="6">
        <f t="shared" si="10"/>
        <v>-40367</v>
      </c>
      <c r="H32" s="2">
        <f t="shared" si="13"/>
        <v>-505006</v>
      </c>
    </row>
    <row r="33" spans="1:12" ht="14.4" x14ac:dyDescent="0.3">
      <c r="A33" s="14">
        <v>24</v>
      </c>
      <c r="B33" s="98">
        <f t="shared" si="0"/>
        <v>45002</v>
      </c>
      <c r="C33" s="1">
        <v>5953</v>
      </c>
      <c r="D33" s="86">
        <f t="shared" ref="D33:D39" si="14">D32+C33</f>
        <v>115879</v>
      </c>
      <c r="E33" s="1">
        <v>43201</v>
      </c>
      <c r="F33" s="3">
        <f t="shared" ref="F33" si="15">F32+E33</f>
        <v>661288</v>
      </c>
      <c r="G33" s="6">
        <f t="shared" ref="G33" si="16">C33-E33</f>
        <v>-37248</v>
      </c>
      <c r="H33" s="2">
        <f t="shared" ref="H33" si="17">G32+H32</f>
        <v>-545373</v>
      </c>
    </row>
    <row r="34" spans="1:12" ht="14.4" x14ac:dyDescent="0.3">
      <c r="A34" s="14">
        <v>25</v>
      </c>
      <c r="B34" s="98">
        <f t="shared" si="0"/>
        <v>45009</v>
      </c>
      <c r="C34" s="1">
        <v>5360</v>
      </c>
      <c r="D34" s="86">
        <f t="shared" si="14"/>
        <v>121239</v>
      </c>
      <c r="E34" s="1">
        <v>29080</v>
      </c>
      <c r="F34" s="3">
        <f t="shared" ref="F34" si="18">F33+E34</f>
        <v>690368</v>
      </c>
      <c r="G34" s="6">
        <f t="shared" ref="G34" si="19">C34-E34</f>
        <v>-23720</v>
      </c>
      <c r="H34" s="2">
        <f t="shared" ref="H34" si="20">G33+H33</f>
        <v>-582621</v>
      </c>
    </row>
    <row r="35" spans="1:12" ht="14.4" x14ac:dyDescent="0.3">
      <c r="A35" s="14">
        <v>26</v>
      </c>
      <c r="B35" s="98">
        <f t="shared" si="0"/>
        <v>45016</v>
      </c>
      <c r="C35" s="1">
        <v>6304</v>
      </c>
      <c r="D35" s="86">
        <f t="shared" si="14"/>
        <v>127543</v>
      </c>
      <c r="E35" s="1">
        <v>59014</v>
      </c>
      <c r="F35" s="3">
        <f t="shared" ref="F35" si="21">F34+E35</f>
        <v>749382</v>
      </c>
      <c r="G35" s="6">
        <f t="shared" ref="G35" si="22">C35-E35</f>
        <v>-52710</v>
      </c>
      <c r="H35" s="2">
        <f t="shared" ref="H35" si="23">G34+H34</f>
        <v>-606341</v>
      </c>
    </row>
    <row r="36" spans="1:12" ht="14.4" x14ac:dyDescent="0.3">
      <c r="A36" s="14">
        <v>27</v>
      </c>
      <c r="B36" s="98">
        <f t="shared" si="0"/>
        <v>45023</v>
      </c>
      <c r="C36" s="1">
        <v>4913</v>
      </c>
      <c r="D36" s="86">
        <f t="shared" si="14"/>
        <v>132456</v>
      </c>
      <c r="E36" s="1">
        <v>6815</v>
      </c>
      <c r="F36" s="3">
        <f t="shared" ref="F36" si="24">F35+E36</f>
        <v>756197</v>
      </c>
      <c r="G36" s="6">
        <f t="shared" ref="G36" si="25">C36-E36</f>
        <v>-1902</v>
      </c>
      <c r="H36" s="2">
        <f t="shared" ref="H36" si="26">G35+H35</f>
        <v>-659051</v>
      </c>
    </row>
    <row r="37" spans="1:12" ht="14.4" x14ac:dyDescent="0.3">
      <c r="A37" s="14">
        <v>28</v>
      </c>
      <c r="B37" s="98">
        <f t="shared" si="0"/>
        <v>45030</v>
      </c>
      <c r="C37" s="1">
        <v>6434</v>
      </c>
      <c r="D37" s="86">
        <f t="shared" si="14"/>
        <v>138890</v>
      </c>
      <c r="E37" s="1">
        <v>21482</v>
      </c>
      <c r="F37" s="3">
        <f t="shared" ref="F37:F38" si="27">F36+E37</f>
        <v>777679</v>
      </c>
      <c r="G37" s="6">
        <f t="shared" ref="G37:G38" si="28">C37-E37</f>
        <v>-15048</v>
      </c>
      <c r="H37" s="2">
        <f t="shared" ref="H37:H38" si="29">G36+H36</f>
        <v>-660953</v>
      </c>
    </row>
    <row r="38" spans="1:12" ht="14.4" x14ac:dyDescent="0.3">
      <c r="A38" s="14">
        <v>29</v>
      </c>
      <c r="B38" s="98">
        <f t="shared" si="0"/>
        <v>45037</v>
      </c>
      <c r="C38" s="1">
        <v>6809</v>
      </c>
      <c r="D38" s="86">
        <f t="shared" si="14"/>
        <v>145699</v>
      </c>
      <c r="E38" s="1">
        <v>30740</v>
      </c>
      <c r="F38" s="3">
        <f t="shared" si="27"/>
        <v>808419</v>
      </c>
      <c r="G38" s="6">
        <f t="shared" si="28"/>
        <v>-23931</v>
      </c>
      <c r="H38" s="2">
        <f t="shared" si="29"/>
        <v>-676001</v>
      </c>
    </row>
    <row r="39" spans="1:12" ht="14.4" x14ac:dyDescent="0.3">
      <c r="A39" s="14">
        <v>30</v>
      </c>
      <c r="B39" s="98">
        <f t="shared" si="0"/>
        <v>45044</v>
      </c>
      <c r="C39" s="1">
        <v>5633</v>
      </c>
      <c r="D39" s="86">
        <f t="shared" si="14"/>
        <v>151332</v>
      </c>
      <c r="E39" s="1">
        <v>5290</v>
      </c>
      <c r="F39" s="3">
        <f t="shared" ref="F39" si="30">F38+E39</f>
        <v>813709</v>
      </c>
      <c r="G39" s="6">
        <f t="shared" ref="G39" si="31">C39-E39</f>
        <v>343</v>
      </c>
      <c r="H39" s="2">
        <f t="shared" ref="H39" si="32">G38+H38</f>
        <v>-699932</v>
      </c>
    </row>
    <row r="40" spans="1:12" ht="14.4" x14ac:dyDescent="0.3">
      <c r="A40" s="14">
        <v>31</v>
      </c>
      <c r="B40" s="98">
        <f t="shared" si="0"/>
        <v>45051</v>
      </c>
      <c r="C40" s="1">
        <v>6071</v>
      </c>
      <c r="D40" s="86">
        <f t="shared" ref="D40:D42" si="33">D39+C40</f>
        <v>157403</v>
      </c>
      <c r="E40" s="1">
        <v>46700</v>
      </c>
      <c r="F40" s="3">
        <f t="shared" ref="F40:F42" si="34">F39+E40</f>
        <v>860409</v>
      </c>
      <c r="G40" s="6">
        <f t="shared" ref="G40:G42" si="35">C40-E40</f>
        <v>-40629</v>
      </c>
      <c r="H40" s="2">
        <f t="shared" ref="H40:H42" si="36">G39+H39</f>
        <v>-699589</v>
      </c>
    </row>
    <row r="41" spans="1:12" ht="14.4" x14ac:dyDescent="0.3">
      <c r="A41" s="14">
        <v>32</v>
      </c>
      <c r="B41" s="98">
        <f t="shared" si="0"/>
        <v>45058</v>
      </c>
      <c r="C41" s="1">
        <v>7897</v>
      </c>
      <c r="D41" s="86">
        <f t="shared" si="33"/>
        <v>165300</v>
      </c>
      <c r="E41" s="1">
        <v>6007</v>
      </c>
      <c r="F41" s="3">
        <f t="shared" si="34"/>
        <v>866416</v>
      </c>
      <c r="G41" s="6">
        <f t="shared" si="35"/>
        <v>1890</v>
      </c>
      <c r="H41" s="2">
        <f t="shared" si="36"/>
        <v>-740218</v>
      </c>
    </row>
    <row r="42" spans="1:12" ht="14.4" x14ac:dyDescent="0.3">
      <c r="A42" s="14">
        <v>33</v>
      </c>
      <c r="B42" s="98">
        <f t="shared" si="0"/>
        <v>45065</v>
      </c>
      <c r="C42" s="1">
        <v>7951</v>
      </c>
      <c r="D42" s="86">
        <f t="shared" si="33"/>
        <v>173251</v>
      </c>
      <c r="E42" s="1">
        <v>45727</v>
      </c>
      <c r="F42" s="3">
        <f t="shared" si="34"/>
        <v>912143</v>
      </c>
      <c r="G42" s="6">
        <f t="shared" si="35"/>
        <v>-37776</v>
      </c>
      <c r="H42" s="2">
        <f t="shared" si="36"/>
        <v>-738328</v>
      </c>
    </row>
    <row r="43" spans="1:12" ht="14.4" x14ac:dyDescent="0.3">
      <c r="A43" s="14">
        <v>34</v>
      </c>
      <c r="B43" s="98">
        <f t="shared" si="0"/>
        <v>45072</v>
      </c>
      <c r="C43" s="1">
        <v>7714</v>
      </c>
      <c r="D43" s="86">
        <f t="shared" ref="D43:D51" si="37">D42+C43</f>
        <v>180965</v>
      </c>
      <c r="E43" s="1">
        <v>16539</v>
      </c>
      <c r="F43" s="3">
        <f t="shared" ref="F43" si="38">F42+E43</f>
        <v>928682</v>
      </c>
      <c r="G43" s="6">
        <f t="shared" ref="G43" si="39">C43-E43</f>
        <v>-8825</v>
      </c>
      <c r="H43" s="2">
        <f t="shared" ref="H43" si="40">G42+H42</f>
        <v>-776104</v>
      </c>
    </row>
    <row r="44" spans="1:12" ht="14.4" x14ac:dyDescent="0.3">
      <c r="A44" s="14">
        <v>35</v>
      </c>
      <c r="B44" s="98">
        <f t="shared" si="0"/>
        <v>45079</v>
      </c>
      <c r="C44" s="1">
        <v>10979</v>
      </c>
      <c r="D44" s="86">
        <f t="shared" si="37"/>
        <v>191944</v>
      </c>
      <c r="E44" s="1">
        <v>39274</v>
      </c>
      <c r="F44" s="3">
        <f t="shared" ref="F44:F45" si="41">F43+E44</f>
        <v>967956</v>
      </c>
      <c r="G44" s="6">
        <f t="shared" ref="G44:G45" si="42">C44-E44</f>
        <v>-28295</v>
      </c>
      <c r="H44" s="2">
        <f t="shared" ref="H44:H45" si="43">G43+H43</f>
        <v>-784929</v>
      </c>
    </row>
    <row r="45" spans="1:12" ht="14.4" x14ac:dyDescent="0.3">
      <c r="A45" s="14">
        <v>36</v>
      </c>
      <c r="B45" s="98">
        <f t="shared" si="0"/>
        <v>45086</v>
      </c>
      <c r="C45" s="1">
        <v>6812</v>
      </c>
      <c r="D45" s="86">
        <f t="shared" si="37"/>
        <v>198756</v>
      </c>
      <c r="E45" s="1">
        <v>0</v>
      </c>
      <c r="F45" s="3">
        <f t="shared" si="41"/>
        <v>967956</v>
      </c>
      <c r="G45" s="6">
        <f t="shared" si="42"/>
        <v>6812</v>
      </c>
      <c r="H45" s="2">
        <f t="shared" si="43"/>
        <v>-813224</v>
      </c>
      <c r="L45" s="104"/>
    </row>
    <row r="46" spans="1:12" ht="14.4" x14ac:dyDescent="0.3">
      <c r="A46" s="14">
        <v>37</v>
      </c>
      <c r="B46" s="98">
        <f t="shared" si="0"/>
        <v>45093</v>
      </c>
      <c r="C46" s="1">
        <v>4773</v>
      </c>
      <c r="D46" s="86">
        <f t="shared" si="37"/>
        <v>203529</v>
      </c>
      <c r="E46" s="1">
        <v>11609</v>
      </c>
      <c r="F46" s="3">
        <f t="shared" ref="F46:F51" si="44">F45+E46</f>
        <v>979565</v>
      </c>
      <c r="G46" s="6">
        <f t="shared" ref="G46" si="45">C46-E46</f>
        <v>-6836</v>
      </c>
      <c r="H46" s="2">
        <f t="shared" ref="H46" si="46">G45+H45</f>
        <v>-806412</v>
      </c>
    </row>
    <row r="47" spans="1:12" ht="14.4" x14ac:dyDescent="0.3">
      <c r="A47" s="14">
        <v>38</v>
      </c>
      <c r="B47" s="98">
        <f t="shared" si="0"/>
        <v>45100</v>
      </c>
      <c r="C47" s="1">
        <v>3334</v>
      </c>
      <c r="D47" s="86">
        <f t="shared" si="37"/>
        <v>206863</v>
      </c>
      <c r="E47" s="1">
        <v>3452</v>
      </c>
      <c r="F47" s="3">
        <f t="shared" si="44"/>
        <v>983017</v>
      </c>
      <c r="G47" s="6">
        <f t="shared" ref="G47" si="47">C47-E47</f>
        <v>-118</v>
      </c>
      <c r="H47" s="2">
        <f t="shared" ref="H47" si="48">G46+H46</f>
        <v>-813248</v>
      </c>
    </row>
    <row r="48" spans="1:12" ht="14.4" x14ac:dyDescent="0.3">
      <c r="A48" s="14">
        <v>39</v>
      </c>
      <c r="B48" s="98">
        <f t="shared" si="0"/>
        <v>45107</v>
      </c>
      <c r="C48" s="1">
        <v>3087</v>
      </c>
      <c r="D48" s="86">
        <f t="shared" si="37"/>
        <v>209950</v>
      </c>
      <c r="E48" s="1">
        <v>52165</v>
      </c>
      <c r="F48" s="3">
        <f t="shared" si="44"/>
        <v>1035182</v>
      </c>
      <c r="G48" s="6">
        <f t="shared" ref="G48" si="49">C48-E48</f>
        <v>-49078</v>
      </c>
      <c r="H48" s="2">
        <f t="shared" ref="H48" si="50">G47+H47</f>
        <v>-813366</v>
      </c>
      <c r="K48" s="12"/>
    </row>
    <row r="49" spans="1:8" ht="14.4" x14ac:dyDescent="0.3">
      <c r="A49" s="14">
        <v>40</v>
      </c>
      <c r="B49" s="98">
        <f t="shared" si="0"/>
        <v>45114</v>
      </c>
      <c r="C49" s="1">
        <v>4425</v>
      </c>
      <c r="D49" s="86">
        <f t="shared" si="37"/>
        <v>214375</v>
      </c>
      <c r="E49" s="1">
        <v>60890</v>
      </c>
      <c r="F49" s="3">
        <f t="shared" si="44"/>
        <v>1096072</v>
      </c>
      <c r="G49" s="6">
        <f t="shared" ref="G49" si="51">C49-E49</f>
        <v>-56465</v>
      </c>
      <c r="H49" s="2">
        <f t="shared" ref="H49" si="52">G48+H48</f>
        <v>-862444</v>
      </c>
    </row>
    <row r="50" spans="1:8" ht="14.4" x14ac:dyDescent="0.3">
      <c r="A50" s="14">
        <v>41</v>
      </c>
      <c r="B50" s="98">
        <f t="shared" si="0"/>
        <v>45121</v>
      </c>
      <c r="C50" s="1">
        <v>2232</v>
      </c>
      <c r="D50" s="86">
        <f t="shared" si="37"/>
        <v>216607</v>
      </c>
      <c r="E50" s="1">
        <v>36054</v>
      </c>
      <c r="F50" s="3">
        <f t="shared" si="44"/>
        <v>1132126</v>
      </c>
      <c r="G50" s="6">
        <f t="shared" ref="G50" si="53">C50-E50</f>
        <v>-33822</v>
      </c>
      <c r="H50" s="2">
        <f t="shared" ref="H50" si="54">G49+H49</f>
        <v>-918909</v>
      </c>
    </row>
    <row r="51" spans="1:8" ht="14.4" x14ac:dyDescent="0.3">
      <c r="A51" s="14">
        <v>42</v>
      </c>
      <c r="B51" s="98">
        <f t="shared" si="0"/>
        <v>45128</v>
      </c>
      <c r="C51" s="1">
        <v>5467</v>
      </c>
      <c r="D51" s="86">
        <f t="shared" si="37"/>
        <v>222074</v>
      </c>
      <c r="E51" s="1">
        <v>53155</v>
      </c>
      <c r="F51" s="3">
        <f t="shared" si="44"/>
        <v>1185281</v>
      </c>
      <c r="G51" s="6">
        <f t="shared" ref="G51" si="55">C51-E51</f>
        <v>-47688</v>
      </c>
      <c r="H51" s="2">
        <f t="shared" ref="H51" si="56">G50+H50</f>
        <v>-952731</v>
      </c>
    </row>
    <row r="52" spans="1:8" ht="14.4" x14ac:dyDescent="0.3">
      <c r="A52" s="14">
        <v>43</v>
      </c>
      <c r="B52" s="98">
        <f t="shared" si="0"/>
        <v>45135</v>
      </c>
      <c r="C52" s="1">
        <v>6943</v>
      </c>
      <c r="D52" s="86">
        <f t="shared" ref="D52:D61" si="57">D51+C52</f>
        <v>229017</v>
      </c>
      <c r="E52" s="1">
        <v>42626</v>
      </c>
      <c r="F52" s="3">
        <f t="shared" ref="F52" si="58">F51+E52</f>
        <v>1227907</v>
      </c>
      <c r="G52" s="6">
        <f t="shared" ref="G52" si="59">C52-E52</f>
        <v>-35683</v>
      </c>
      <c r="H52" s="2">
        <f t="shared" ref="H52" si="60">G51+H51</f>
        <v>-1000419</v>
      </c>
    </row>
    <row r="53" spans="1:8" ht="14.4" x14ac:dyDescent="0.3">
      <c r="A53" s="14">
        <v>44</v>
      </c>
      <c r="B53" s="98">
        <f t="shared" si="0"/>
        <v>45142</v>
      </c>
      <c r="C53" s="1">
        <v>5579</v>
      </c>
      <c r="D53" s="86">
        <f t="shared" si="57"/>
        <v>234596</v>
      </c>
      <c r="E53" s="1">
        <v>14604</v>
      </c>
      <c r="F53" s="3">
        <f t="shared" ref="F53" si="61">F52+E53</f>
        <v>1242511</v>
      </c>
      <c r="G53" s="6">
        <f t="shared" ref="G53" si="62">C53-E53</f>
        <v>-9025</v>
      </c>
      <c r="H53" s="2">
        <f t="shared" ref="H53" si="63">G52+H52</f>
        <v>-1036102</v>
      </c>
    </row>
    <row r="54" spans="1:8" ht="14.4" x14ac:dyDescent="0.3">
      <c r="A54" s="14">
        <v>45</v>
      </c>
      <c r="B54" s="98">
        <f t="shared" si="0"/>
        <v>45149</v>
      </c>
      <c r="C54" s="1">
        <v>2981</v>
      </c>
      <c r="D54" s="86">
        <f t="shared" si="57"/>
        <v>237577</v>
      </c>
      <c r="E54" s="1">
        <v>44890</v>
      </c>
      <c r="F54" s="3">
        <f t="shared" ref="F54" si="64">F53+E54</f>
        <v>1287401</v>
      </c>
      <c r="G54" s="6">
        <f t="shared" ref="G54" si="65">C54-E54</f>
        <v>-41909</v>
      </c>
      <c r="H54" s="2">
        <f t="shared" ref="H54:H61" si="66">G53+H53</f>
        <v>-1045127</v>
      </c>
    </row>
    <row r="55" spans="1:8" ht="14.4" x14ac:dyDescent="0.3">
      <c r="A55" s="14">
        <v>46</v>
      </c>
      <c r="B55" s="98">
        <f t="shared" si="0"/>
        <v>45156</v>
      </c>
      <c r="C55" s="1">
        <v>2962</v>
      </c>
      <c r="D55" s="86">
        <f t="shared" si="57"/>
        <v>240539</v>
      </c>
      <c r="E55" s="1">
        <v>84000</v>
      </c>
      <c r="F55" s="3">
        <f t="shared" ref="F55" si="67">F54+E55</f>
        <v>1371401</v>
      </c>
      <c r="G55" s="6">
        <f t="shared" ref="G55" si="68">C55-E55</f>
        <v>-81038</v>
      </c>
      <c r="H55" s="2">
        <f t="shared" si="66"/>
        <v>-1087036</v>
      </c>
    </row>
    <row r="56" spans="1:8" ht="14.4" x14ac:dyDescent="0.3">
      <c r="A56" s="14">
        <v>47</v>
      </c>
      <c r="B56" s="98">
        <f t="shared" si="0"/>
        <v>45163</v>
      </c>
      <c r="C56" s="1">
        <v>2948</v>
      </c>
      <c r="D56" s="86">
        <f t="shared" si="57"/>
        <v>243487</v>
      </c>
      <c r="E56" s="1">
        <v>88721</v>
      </c>
      <c r="F56" s="3">
        <f t="shared" ref="F56:F61" si="69">F55+E56</f>
        <v>1460122</v>
      </c>
      <c r="G56" s="6">
        <f t="shared" ref="G56:G61" si="70">C56-E56</f>
        <v>-85773</v>
      </c>
      <c r="H56" s="2">
        <f t="shared" si="66"/>
        <v>-1168074</v>
      </c>
    </row>
    <row r="57" spans="1:8" ht="14.4" x14ac:dyDescent="0.3">
      <c r="A57" s="14">
        <v>48</v>
      </c>
      <c r="B57" s="98">
        <f t="shared" si="0"/>
        <v>45170</v>
      </c>
      <c r="C57" s="1">
        <v>2087</v>
      </c>
      <c r="D57" s="86">
        <f t="shared" si="57"/>
        <v>245574</v>
      </c>
      <c r="E57" s="1">
        <v>67705</v>
      </c>
      <c r="F57" s="3">
        <f t="shared" si="69"/>
        <v>1527827</v>
      </c>
      <c r="G57" s="6">
        <f t="shared" si="70"/>
        <v>-65618</v>
      </c>
      <c r="H57" s="2">
        <f t="shared" si="66"/>
        <v>-1253847</v>
      </c>
    </row>
    <row r="58" spans="1:8" ht="14.4" x14ac:dyDescent="0.3">
      <c r="A58" s="14">
        <v>49</v>
      </c>
      <c r="B58" s="98">
        <f t="shared" si="0"/>
        <v>45177</v>
      </c>
      <c r="C58" s="1">
        <v>2130</v>
      </c>
      <c r="D58" s="86">
        <f t="shared" si="57"/>
        <v>247704</v>
      </c>
      <c r="E58" s="1">
        <v>68513</v>
      </c>
      <c r="F58" s="3">
        <f t="shared" si="69"/>
        <v>1596340</v>
      </c>
      <c r="G58" s="6">
        <f t="shared" si="70"/>
        <v>-66383</v>
      </c>
      <c r="H58" s="2">
        <f t="shared" si="66"/>
        <v>-1319465</v>
      </c>
    </row>
    <row r="59" spans="1:8" ht="14.4" x14ac:dyDescent="0.3">
      <c r="A59" s="14">
        <v>50</v>
      </c>
      <c r="B59" s="98">
        <f t="shared" si="0"/>
        <v>45184</v>
      </c>
      <c r="C59" s="1">
        <v>2546</v>
      </c>
      <c r="D59" s="86">
        <f t="shared" si="57"/>
        <v>250250</v>
      </c>
      <c r="E59" s="1">
        <v>38363</v>
      </c>
      <c r="F59" s="3">
        <f t="shared" si="69"/>
        <v>1634703</v>
      </c>
      <c r="G59" s="6">
        <f t="shared" si="70"/>
        <v>-35817</v>
      </c>
      <c r="H59" s="2">
        <f t="shared" si="66"/>
        <v>-1385848</v>
      </c>
    </row>
    <row r="60" spans="1:8" ht="14.4" x14ac:dyDescent="0.3">
      <c r="A60" s="14">
        <v>51</v>
      </c>
      <c r="B60" s="98">
        <f t="shared" si="0"/>
        <v>45191</v>
      </c>
      <c r="C60" s="1">
        <v>1077</v>
      </c>
      <c r="D60" s="86">
        <f t="shared" si="57"/>
        <v>251327</v>
      </c>
      <c r="E60" s="1">
        <v>20069</v>
      </c>
      <c r="F60" s="3">
        <f t="shared" si="69"/>
        <v>1654772</v>
      </c>
      <c r="G60" s="6">
        <f t="shared" si="70"/>
        <v>-18992</v>
      </c>
      <c r="H60" s="2">
        <f t="shared" si="66"/>
        <v>-1421665</v>
      </c>
    </row>
    <row r="61" spans="1:8" ht="15" thickBot="1" x14ac:dyDescent="0.35">
      <c r="A61" s="103">
        <v>52</v>
      </c>
      <c r="B61" s="100">
        <f t="shared" si="0"/>
        <v>45198</v>
      </c>
      <c r="C61" s="58">
        <v>2726</v>
      </c>
      <c r="D61" s="57">
        <f t="shared" si="57"/>
        <v>254053</v>
      </c>
      <c r="E61" s="58">
        <v>20790</v>
      </c>
      <c r="F61" s="105">
        <f t="shared" si="69"/>
        <v>1675562</v>
      </c>
      <c r="G61" s="57">
        <f t="shared" si="70"/>
        <v>-18064</v>
      </c>
      <c r="H61" s="57">
        <f t="shared" si="66"/>
        <v>-1440657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5C6A-6432-4E5E-AE77-17799E5860D4}">
  <dimension ref="A1:N1391"/>
  <sheetViews>
    <sheetView topLeftCell="A4" workbookViewId="0">
      <pane xSplit="2" ySplit="6" topLeftCell="C46" activePane="bottomRight" state="frozen"/>
      <selection activeCell="A4" sqref="A4"/>
      <selection pane="topRight" activeCell="C4" sqref="C4"/>
      <selection pane="bottomLeft" activeCell="A10" sqref="A10"/>
      <selection pane="bottomRight" activeCell="J57" sqref="J5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105</v>
      </c>
    </row>
    <row r="2" spans="1:8" x14ac:dyDescent="0.25">
      <c r="C2" s="4" t="s">
        <v>106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45562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45205</v>
      </c>
      <c r="C10" s="1">
        <v>790</v>
      </c>
      <c r="D10" s="86">
        <f>C10</f>
        <v>790</v>
      </c>
      <c r="E10" s="1">
        <v>76448</v>
      </c>
      <c r="F10" s="3">
        <f>E10</f>
        <v>76448</v>
      </c>
      <c r="G10" s="6">
        <f>C10-E10</f>
        <v>-75658</v>
      </c>
      <c r="H10" s="2">
        <f>G10</f>
        <v>-75658</v>
      </c>
    </row>
    <row r="11" spans="1:8" ht="14.4" x14ac:dyDescent="0.3">
      <c r="A11" s="14">
        <v>2</v>
      </c>
      <c r="B11" s="98">
        <f t="shared" ref="B11:B61" si="0">B10+7</f>
        <v>45212</v>
      </c>
      <c r="C11" s="1">
        <v>1003</v>
      </c>
      <c r="D11" s="86">
        <f>D10+C11</f>
        <v>1793</v>
      </c>
      <c r="E11" s="1">
        <v>70574</v>
      </c>
      <c r="F11" s="3">
        <f>F10+E11</f>
        <v>147022</v>
      </c>
      <c r="G11" s="6">
        <f t="shared" ref="G11:G61" si="1">C11-E11</f>
        <v>-69571</v>
      </c>
      <c r="H11" s="2">
        <f>G10+H10</f>
        <v>-151316</v>
      </c>
    </row>
    <row r="12" spans="1:8" ht="14.4" x14ac:dyDescent="0.3">
      <c r="A12" s="14">
        <v>3</v>
      </c>
      <c r="B12" s="98">
        <f t="shared" si="0"/>
        <v>45219</v>
      </c>
      <c r="C12" s="1">
        <v>715</v>
      </c>
      <c r="D12" s="86">
        <f t="shared" ref="D12:D61" si="2">D11+C12</f>
        <v>2508</v>
      </c>
      <c r="E12" s="1">
        <v>65653</v>
      </c>
      <c r="F12" s="3">
        <f t="shared" ref="F12:F61" si="3">F11+E12</f>
        <v>212675</v>
      </c>
      <c r="G12" s="6">
        <f t="shared" si="1"/>
        <v>-64938</v>
      </c>
      <c r="H12" s="2">
        <f t="shared" ref="H12:H61" si="4">G11+H11</f>
        <v>-220887</v>
      </c>
    </row>
    <row r="13" spans="1:8" ht="14.4" x14ac:dyDescent="0.3">
      <c r="A13" s="14">
        <v>4</v>
      </c>
      <c r="B13" s="98">
        <f t="shared" si="0"/>
        <v>45226</v>
      </c>
      <c r="C13" s="1">
        <v>1827</v>
      </c>
      <c r="D13" s="86">
        <f t="shared" si="2"/>
        <v>4335</v>
      </c>
      <c r="E13" s="1">
        <v>48314</v>
      </c>
      <c r="F13" s="3">
        <f t="shared" si="3"/>
        <v>260989</v>
      </c>
      <c r="G13" s="6">
        <f t="shared" si="1"/>
        <v>-46487</v>
      </c>
      <c r="H13" s="2">
        <f t="shared" si="4"/>
        <v>-285825</v>
      </c>
    </row>
    <row r="14" spans="1:8" ht="14.4" x14ac:dyDescent="0.3">
      <c r="A14" s="14">
        <v>5</v>
      </c>
      <c r="B14" s="98">
        <f t="shared" si="0"/>
        <v>45233</v>
      </c>
      <c r="C14" s="1">
        <v>3167</v>
      </c>
      <c r="D14" s="86">
        <f t="shared" si="2"/>
        <v>7502</v>
      </c>
      <c r="E14" s="1">
        <v>54778</v>
      </c>
      <c r="F14" s="3">
        <f t="shared" si="3"/>
        <v>315767</v>
      </c>
      <c r="G14" s="6">
        <f t="shared" si="1"/>
        <v>-51611</v>
      </c>
      <c r="H14" s="2">
        <f t="shared" si="4"/>
        <v>-332312</v>
      </c>
    </row>
    <row r="15" spans="1:8" ht="14.4" x14ac:dyDescent="0.3">
      <c r="A15" s="14">
        <v>6</v>
      </c>
      <c r="B15" s="98">
        <f t="shared" si="0"/>
        <v>45240</v>
      </c>
      <c r="C15" s="1">
        <v>2108</v>
      </c>
      <c r="D15" s="86">
        <f t="shared" si="2"/>
        <v>9610</v>
      </c>
      <c r="E15" s="1">
        <v>23993</v>
      </c>
      <c r="F15" s="3">
        <f t="shared" si="3"/>
        <v>339760</v>
      </c>
      <c r="G15" s="6">
        <f t="shared" si="1"/>
        <v>-21885</v>
      </c>
      <c r="H15" s="2">
        <f t="shared" si="4"/>
        <v>-383923</v>
      </c>
    </row>
    <row r="16" spans="1:8" ht="14.4" x14ac:dyDescent="0.3">
      <c r="A16" s="14">
        <v>7</v>
      </c>
      <c r="B16" s="98">
        <f t="shared" si="0"/>
        <v>45247</v>
      </c>
      <c r="C16" s="1">
        <v>3382</v>
      </c>
      <c r="D16" s="86">
        <f t="shared" si="2"/>
        <v>12992</v>
      </c>
      <c r="E16" s="1">
        <v>34196</v>
      </c>
      <c r="F16" s="3">
        <f t="shared" si="3"/>
        <v>373956</v>
      </c>
      <c r="G16" s="6">
        <f t="shared" si="1"/>
        <v>-30814</v>
      </c>
      <c r="H16" s="2">
        <f t="shared" si="4"/>
        <v>-405808</v>
      </c>
    </row>
    <row r="17" spans="1:14" ht="14.4" x14ac:dyDescent="0.3">
      <c r="A17" s="14">
        <v>8</v>
      </c>
      <c r="B17" s="98">
        <f t="shared" si="0"/>
        <v>45254</v>
      </c>
      <c r="C17" s="1">
        <v>2201</v>
      </c>
      <c r="D17" s="86">
        <f t="shared" si="2"/>
        <v>15193</v>
      </c>
      <c r="E17" s="1">
        <v>66565</v>
      </c>
      <c r="F17" s="3">
        <f t="shared" si="3"/>
        <v>440521</v>
      </c>
      <c r="G17" s="6">
        <f t="shared" si="1"/>
        <v>-64364</v>
      </c>
      <c r="H17" s="2">
        <f t="shared" si="4"/>
        <v>-436622</v>
      </c>
    </row>
    <row r="18" spans="1:14" ht="14.4" x14ac:dyDescent="0.3">
      <c r="A18" s="14">
        <v>9</v>
      </c>
      <c r="B18" s="98">
        <f t="shared" si="0"/>
        <v>45261</v>
      </c>
      <c r="C18" s="1">
        <v>1200</v>
      </c>
      <c r="D18" s="86">
        <f t="shared" si="2"/>
        <v>16393</v>
      </c>
      <c r="E18" s="1">
        <v>37505</v>
      </c>
      <c r="F18" s="3">
        <f t="shared" si="3"/>
        <v>478026</v>
      </c>
      <c r="G18" s="6">
        <f t="shared" si="1"/>
        <v>-36305</v>
      </c>
      <c r="H18" s="2">
        <f t="shared" si="4"/>
        <v>-500986</v>
      </c>
    </row>
    <row r="19" spans="1:14" ht="14.4" x14ac:dyDescent="0.3">
      <c r="A19" s="14">
        <v>10</v>
      </c>
      <c r="B19" s="98">
        <f t="shared" si="0"/>
        <v>45268</v>
      </c>
      <c r="C19" s="1">
        <v>3948</v>
      </c>
      <c r="D19" s="86">
        <f t="shared" si="2"/>
        <v>20341</v>
      </c>
      <c r="E19" s="1">
        <v>58656</v>
      </c>
      <c r="F19" s="3">
        <f t="shared" si="3"/>
        <v>536682</v>
      </c>
      <c r="G19" s="6">
        <f t="shared" si="1"/>
        <v>-54708</v>
      </c>
      <c r="H19" s="2">
        <f t="shared" si="4"/>
        <v>-537291</v>
      </c>
    </row>
    <row r="20" spans="1:14" ht="14.4" x14ac:dyDescent="0.3">
      <c r="A20" s="14">
        <v>11</v>
      </c>
      <c r="B20" s="98">
        <f t="shared" si="0"/>
        <v>45275</v>
      </c>
      <c r="C20" s="1">
        <v>4834</v>
      </c>
      <c r="D20" s="86">
        <f t="shared" si="2"/>
        <v>25175</v>
      </c>
      <c r="E20" s="1">
        <v>29519</v>
      </c>
      <c r="F20" s="3">
        <f t="shared" si="3"/>
        <v>566201</v>
      </c>
      <c r="G20" s="6">
        <f t="shared" si="1"/>
        <v>-24685</v>
      </c>
      <c r="H20" s="2">
        <f t="shared" si="4"/>
        <v>-591999</v>
      </c>
    </row>
    <row r="21" spans="1:14" ht="14.4" x14ac:dyDescent="0.3">
      <c r="A21" s="14">
        <v>12</v>
      </c>
      <c r="B21" s="98">
        <f t="shared" si="0"/>
        <v>45282</v>
      </c>
      <c r="C21" s="1">
        <v>3618</v>
      </c>
      <c r="D21" s="86">
        <f t="shared" si="2"/>
        <v>28793</v>
      </c>
      <c r="E21" s="1">
        <v>0</v>
      </c>
      <c r="F21" s="3">
        <f t="shared" si="3"/>
        <v>566201</v>
      </c>
      <c r="G21" s="6">
        <f t="shared" si="1"/>
        <v>3618</v>
      </c>
      <c r="H21" s="2">
        <f t="shared" si="4"/>
        <v>-616684</v>
      </c>
    </row>
    <row r="22" spans="1:14" ht="14.4" x14ac:dyDescent="0.3">
      <c r="A22" s="14">
        <v>13</v>
      </c>
      <c r="B22" s="98">
        <f t="shared" si="0"/>
        <v>45289</v>
      </c>
      <c r="C22" s="1">
        <v>2379</v>
      </c>
      <c r="D22" s="86">
        <f t="shared" si="2"/>
        <v>31172</v>
      </c>
      <c r="E22" s="1">
        <v>0</v>
      </c>
      <c r="F22" s="3">
        <f t="shared" si="3"/>
        <v>566201</v>
      </c>
      <c r="G22" s="6">
        <f t="shared" si="1"/>
        <v>2379</v>
      </c>
      <c r="H22" s="2">
        <f t="shared" si="4"/>
        <v>-613066</v>
      </c>
    </row>
    <row r="23" spans="1:14" ht="14.4" x14ac:dyDescent="0.3">
      <c r="A23" s="14">
        <v>14</v>
      </c>
      <c r="B23" s="98">
        <f>B22+7</f>
        <v>45296</v>
      </c>
      <c r="C23" s="1">
        <v>2368</v>
      </c>
      <c r="D23" s="86">
        <f t="shared" si="2"/>
        <v>33540</v>
      </c>
      <c r="E23" s="1">
        <v>0</v>
      </c>
      <c r="F23" s="3">
        <f t="shared" si="3"/>
        <v>566201</v>
      </c>
      <c r="G23" s="6">
        <f t="shared" si="1"/>
        <v>2368</v>
      </c>
      <c r="H23" s="2">
        <f t="shared" si="4"/>
        <v>-610687</v>
      </c>
    </row>
    <row r="24" spans="1:14" ht="14.4" x14ac:dyDescent="0.3">
      <c r="A24" s="14">
        <v>15</v>
      </c>
      <c r="B24" s="98">
        <f t="shared" si="0"/>
        <v>45303</v>
      </c>
      <c r="C24" s="1">
        <v>4492</v>
      </c>
      <c r="D24" s="86">
        <f t="shared" si="2"/>
        <v>38032</v>
      </c>
      <c r="E24" s="1">
        <v>26148</v>
      </c>
      <c r="F24" s="3">
        <f t="shared" si="3"/>
        <v>592349</v>
      </c>
      <c r="G24" s="6">
        <f t="shared" si="1"/>
        <v>-21656</v>
      </c>
      <c r="H24" s="2">
        <f t="shared" si="4"/>
        <v>-608319</v>
      </c>
    </row>
    <row r="25" spans="1:14" ht="14.4" x14ac:dyDescent="0.3">
      <c r="A25" s="14">
        <v>16</v>
      </c>
      <c r="B25" s="98">
        <f t="shared" si="0"/>
        <v>45310</v>
      </c>
      <c r="C25" s="1">
        <v>6172</v>
      </c>
      <c r="D25" s="86">
        <f t="shared" si="2"/>
        <v>44204</v>
      </c>
      <c r="E25" s="1">
        <v>28180</v>
      </c>
      <c r="F25" s="3">
        <f t="shared" si="3"/>
        <v>620529</v>
      </c>
      <c r="G25" s="6">
        <f t="shared" si="1"/>
        <v>-22008</v>
      </c>
      <c r="H25" s="2">
        <f t="shared" si="4"/>
        <v>-629975</v>
      </c>
    </row>
    <row r="26" spans="1:14" ht="14.4" x14ac:dyDescent="0.3">
      <c r="A26" s="14">
        <v>17</v>
      </c>
      <c r="B26" s="98">
        <f t="shared" si="0"/>
        <v>45317</v>
      </c>
      <c r="C26" s="1">
        <v>7063</v>
      </c>
      <c r="D26" s="86">
        <f t="shared" si="2"/>
        <v>51267</v>
      </c>
      <c r="E26" s="1">
        <v>20172</v>
      </c>
      <c r="F26" s="3">
        <f t="shared" si="3"/>
        <v>640701</v>
      </c>
      <c r="G26" s="6">
        <f t="shared" si="1"/>
        <v>-13109</v>
      </c>
      <c r="H26" s="2">
        <f t="shared" si="4"/>
        <v>-651983</v>
      </c>
      <c r="N26" s="85"/>
    </row>
    <row r="27" spans="1:14" ht="14.4" x14ac:dyDescent="0.3">
      <c r="A27" s="14">
        <v>18</v>
      </c>
      <c r="B27" s="98">
        <f t="shared" si="0"/>
        <v>45324</v>
      </c>
      <c r="C27" s="1">
        <v>3826</v>
      </c>
      <c r="D27" s="86">
        <f t="shared" si="2"/>
        <v>55093</v>
      </c>
      <c r="E27" s="1">
        <v>49194</v>
      </c>
      <c r="F27" s="3">
        <f t="shared" si="3"/>
        <v>689895</v>
      </c>
      <c r="G27" s="6">
        <f t="shared" si="1"/>
        <v>-45368</v>
      </c>
      <c r="H27" s="2">
        <f t="shared" si="4"/>
        <v>-665092</v>
      </c>
    </row>
    <row r="28" spans="1:14" ht="14.4" x14ac:dyDescent="0.3">
      <c r="A28" s="14">
        <v>19</v>
      </c>
      <c r="B28" s="98">
        <f t="shared" si="0"/>
        <v>45331</v>
      </c>
      <c r="C28" s="1">
        <v>4086</v>
      </c>
      <c r="D28" s="86">
        <f t="shared" si="2"/>
        <v>59179</v>
      </c>
      <c r="E28" s="1">
        <v>35616</v>
      </c>
      <c r="F28" s="3">
        <f t="shared" si="3"/>
        <v>725511</v>
      </c>
      <c r="G28" s="6">
        <f t="shared" si="1"/>
        <v>-31530</v>
      </c>
      <c r="H28" s="2">
        <f t="shared" si="4"/>
        <v>-710460</v>
      </c>
    </row>
    <row r="29" spans="1:14" ht="14.4" x14ac:dyDescent="0.3">
      <c r="A29" s="14">
        <v>20</v>
      </c>
      <c r="B29" s="98">
        <f t="shared" si="0"/>
        <v>45338</v>
      </c>
      <c r="C29" s="1">
        <v>4234</v>
      </c>
      <c r="D29" s="86">
        <f t="shared" si="2"/>
        <v>63413</v>
      </c>
      <c r="E29" s="1">
        <v>9003</v>
      </c>
      <c r="F29" s="3">
        <f t="shared" si="3"/>
        <v>734514</v>
      </c>
      <c r="G29" s="6">
        <f t="shared" si="1"/>
        <v>-4769</v>
      </c>
      <c r="H29" s="2">
        <f t="shared" si="4"/>
        <v>-741990</v>
      </c>
    </row>
    <row r="30" spans="1:14" ht="14.4" x14ac:dyDescent="0.3">
      <c r="A30" s="14">
        <v>21</v>
      </c>
      <c r="B30" s="98">
        <f t="shared" si="0"/>
        <v>45345</v>
      </c>
      <c r="C30" s="1">
        <v>6177</v>
      </c>
      <c r="D30" s="86">
        <f t="shared" si="2"/>
        <v>69590</v>
      </c>
      <c r="E30" s="1">
        <v>19570</v>
      </c>
      <c r="F30" s="3">
        <f t="shared" si="3"/>
        <v>754084</v>
      </c>
      <c r="G30" s="6">
        <f t="shared" si="1"/>
        <v>-13393</v>
      </c>
      <c r="H30" s="2">
        <f t="shared" si="4"/>
        <v>-746759</v>
      </c>
    </row>
    <row r="31" spans="1:14" ht="14.4" x14ac:dyDescent="0.3">
      <c r="A31" s="14">
        <v>22</v>
      </c>
      <c r="B31" s="98">
        <f t="shared" si="0"/>
        <v>45352</v>
      </c>
      <c r="C31" s="1">
        <v>5233</v>
      </c>
      <c r="D31" s="86">
        <f t="shared" si="2"/>
        <v>74823</v>
      </c>
      <c r="E31" s="1">
        <v>3943</v>
      </c>
      <c r="F31" s="3">
        <f t="shared" si="3"/>
        <v>758027</v>
      </c>
      <c r="G31" s="6">
        <f t="shared" si="1"/>
        <v>1290</v>
      </c>
      <c r="H31" s="2">
        <f t="shared" si="4"/>
        <v>-760152</v>
      </c>
    </row>
    <row r="32" spans="1:14" ht="14.4" x14ac:dyDescent="0.3">
      <c r="A32" s="14">
        <v>23</v>
      </c>
      <c r="B32" s="98">
        <f t="shared" si="0"/>
        <v>45359</v>
      </c>
      <c r="C32" s="1">
        <v>5805</v>
      </c>
      <c r="D32" s="86">
        <f t="shared" si="2"/>
        <v>80628</v>
      </c>
      <c r="E32" s="1">
        <v>34989</v>
      </c>
      <c r="F32" s="3">
        <f t="shared" si="3"/>
        <v>793016</v>
      </c>
      <c r="G32" s="6">
        <f t="shared" si="1"/>
        <v>-29184</v>
      </c>
      <c r="H32" s="2">
        <f t="shared" si="4"/>
        <v>-758862</v>
      </c>
    </row>
    <row r="33" spans="1:12" ht="14.4" x14ac:dyDescent="0.3">
      <c r="A33" s="14">
        <v>24</v>
      </c>
      <c r="B33" s="98">
        <f t="shared" si="0"/>
        <v>45366</v>
      </c>
      <c r="C33" s="1">
        <v>4018</v>
      </c>
      <c r="D33" s="86">
        <f t="shared" si="2"/>
        <v>84646</v>
      </c>
      <c r="E33" s="1">
        <v>104344</v>
      </c>
      <c r="F33" s="3">
        <f t="shared" si="3"/>
        <v>897360</v>
      </c>
      <c r="G33" s="6">
        <f t="shared" si="1"/>
        <v>-100326</v>
      </c>
      <c r="H33" s="2">
        <f t="shared" si="4"/>
        <v>-788046</v>
      </c>
    </row>
    <row r="34" spans="1:12" ht="14.4" x14ac:dyDescent="0.3">
      <c r="A34" s="14">
        <v>25</v>
      </c>
      <c r="B34" s="98">
        <f t="shared" si="0"/>
        <v>45373</v>
      </c>
      <c r="C34" s="1">
        <v>2864</v>
      </c>
      <c r="D34" s="86">
        <f t="shared" si="2"/>
        <v>87510</v>
      </c>
      <c r="E34" s="1">
        <v>19535</v>
      </c>
      <c r="F34" s="3">
        <f t="shared" si="3"/>
        <v>916895</v>
      </c>
      <c r="G34" s="6">
        <f t="shared" si="1"/>
        <v>-16671</v>
      </c>
      <c r="H34" s="2">
        <f t="shared" si="4"/>
        <v>-888372</v>
      </c>
    </row>
    <row r="35" spans="1:12" ht="14.4" x14ac:dyDescent="0.3">
      <c r="A35" s="14">
        <v>26</v>
      </c>
      <c r="B35" s="98">
        <f t="shared" si="0"/>
        <v>45380</v>
      </c>
      <c r="C35" s="1">
        <v>2420</v>
      </c>
      <c r="D35" s="86">
        <f t="shared" si="2"/>
        <v>89930</v>
      </c>
      <c r="E35" s="1">
        <v>14695</v>
      </c>
      <c r="F35" s="3">
        <f t="shared" si="3"/>
        <v>931590</v>
      </c>
      <c r="G35" s="6">
        <f t="shared" si="1"/>
        <v>-12275</v>
      </c>
      <c r="H35" s="2">
        <f t="shared" si="4"/>
        <v>-905043</v>
      </c>
    </row>
    <row r="36" spans="1:12" ht="14.4" x14ac:dyDescent="0.3">
      <c r="A36" s="14">
        <v>27</v>
      </c>
      <c r="B36" s="98">
        <f t="shared" si="0"/>
        <v>45387</v>
      </c>
      <c r="C36" s="1">
        <v>3452</v>
      </c>
      <c r="D36" s="86">
        <f t="shared" si="2"/>
        <v>93382</v>
      </c>
      <c r="E36" s="1">
        <v>5972</v>
      </c>
      <c r="F36" s="3">
        <f t="shared" si="3"/>
        <v>937562</v>
      </c>
      <c r="G36" s="6">
        <f t="shared" si="1"/>
        <v>-2520</v>
      </c>
      <c r="H36" s="2">
        <f t="shared" si="4"/>
        <v>-917318</v>
      </c>
    </row>
    <row r="37" spans="1:12" ht="14.4" x14ac:dyDescent="0.3">
      <c r="A37" s="14">
        <v>28</v>
      </c>
      <c r="B37" s="98">
        <f t="shared" si="0"/>
        <v>45394</v>
      </c>
      <c r="C37" s="1">
        <v>4512</v>
      </c>
      <c r="D37" s="86">
        <f t="shared" si="2"/>
        <v>97894</v>
      </c>
      <c r="E37" s="1">
        <v>0</v>
      </c>
      <c r="F37" s="3">
        <f t="shared" si="3"/>
        <v>937562</v>
      </c>
      <c r="G37" s="6">
        <f t="shared" si="1"/>
        <v>4512</v>
      </c>
      <c r="H37" s="2">
        <f t="shared" si="4"/>
        <v>-919838</v>
      </c>
    </row>
    <row r="38" spans="1:12" ht="14.4" x14ac:dyDescent="0.3">
      <c r="A38" s="14">
        <v>29</v>
      </c>
      <c r="B38" s="98">
        <f t="shared" si="0"/>
        <v>45401</v>
      </c>
      <c r="C38" s="1">
        <v>7646</v>
      </c>
      <c r="D38" s="86">
        <f t="shared" si="2"/>
        <v>105540</v>
      </c>
      <c r="E38" s="1">
        <v>15000</v>
      </c>
      <c r="F38" s="3">
        <f t="shared" si="3"/>
        <v>952562</v>
      </c>
      <c r="G38" s="6">
        <f t="shared" si="1"/>
        <v>-7354</v>
      </c>
      <c r="H38" s="2">
        <f t="shared" si="4"/>
        <v>-915326</v>
      </c>
    </row>
    <row r="39" spans="1:12" ht="14.4" x14ac:dyDescent="0.3">
      <c r="A39" s="14">
        <v>30</v>
      </c>
      <c r="B39" s="98">
        <f t="shared" si="0"/>
        <v>45408</v>
      </c>
      <c r="C39" s="1">
        <v>6449</v>
      </c>
      <c r="D39" s="86">
        <f t="shared" si="2"/>
        <v>111989</v>
      </c>
      <c r="E39" s="1">
        <v>4830</v>
      </c>
      <c r="F39" s="3">
        <f t="shared" si="3"/>
        <v>957392</v>
      </c>
      <c r="G39" s="6">
        <f t="shared" si="1"/>
        <v>1619</v>
      </c>
      <c r="H39" s="2">
        <f t="shared" si="4"/>
        <v>-922680</v>
      </c>
    </row>
    <row r="40" spans="1:12" ht="14.4" x14ac:dyDescent="0.3">
      <c r="A40" s="14">
        <v>31</v>
      </c>
      <c r="B40" s="98">
        <f t="shared" si="0"/>
        <v>45415</v>
      </c>
      <c r="C40" s="1">
        <v>3497</v>
      </c>
      <c r="D40" s="86">
        <f t="shared" si="2"/>
        <v>115486</v>
      </c>
      <c r="E40" s="1">
        <v>52207</v>
      </c>
      <c r="F40" s="3">
        <f t="shared" si="3"/>
        <v>1009599</v>
      </c>
      <c r="G40" s="6">
        <f t="shared" si="1"/>
        <v>-48710</v>
      </c>
      <c r="H40" s="2">
        <f t="shared" si="4"/>
        <v>-921061</v>
      </c>
    </row>
    <row r="41" spans="1:12" ht="14.4" x14ac:dyDescent="0.3">
      <c r="A41" s="14">
        <v>32</v>
      </c>
      <c r="B41" s="98">
        <f t="shared" si="0"/>
        <v>45422</v>
      </c>
      <c r="C41" s="1">
        <v>7055</v>
      </c>
      <c r="D41" s="86">
        <f t="shared" si="2"/>
        <v>122541</v>
      </c>
      <c r="E41" s="1">
        <v>53138</v>
      </c>
      <c r="F41" s="3">
        <f t="shared" si="3"/>
        <v>1062737</v>
      </c>
      <c r="G41" s="6">
        <f t="shared" si="1"/>
        <v>-46083</v>
      </c>
      <c r="H41" s="2">
        <f t="shared" si="4"/>
        <v>-969771</v>
      </c>
    </row>
    <row r="42" spans="1:12" ht="14.4" x14ac:dyDescent="0.3">
      <c r="A42" s="14">
        <v>33</v>
      </c>
      <c r="B42" s="98">
        <f t="shared" si="0"/>
        <v>45429</v>
      </c>
      <c r="C42" s="1">
        <v>4986</v>
      </c>
      <c r="D42" s="86">
        <f t="shared" si="2"/>
        <v>127527</v>
      </c>
      <c r="E42" s="1">
        <v>77730</v>
      </c>
      <c r="F42" s="3">
        <f t="shared" si="3"/>
        <v>1140467</v>
      </c>
      <c r="G42" s="6">
        <f t="shared" si="1"/>
        <v>-72744</v>
      </c>
      <c r="H42" s="2">
        <f t="shared" si="4"/>
        <v>-1015854</v>
      </c>
    </row>
    <row r="43" spans="1:12" ht="14.4" x14ac:dyDescent="0.3">
      <c r="A43" s="14">
        <v>34</v>
      </c>
      <c r="B43" s="98">
        <f t="shared" si="0"/>
        <v>45436</v>
      </c>
      <c r="C43" s="1">
        <v>5241</v>
      </c>
      <c r="D43" s="86">
        <f t="shared" si="2"/>
        <v>132768</v>
      </c>
      <c r="E43" s="1">
        <v>87256</v>
      </c>
      <c r="F43" s="3">
        <f t="shared" si="3"/>
        <v>1227723</v>
      </c>
      <c r="G43" s="6">
        <f t="shared" si="1"/>
        <v>-82015</v>
      </c>
      <c r="H43" s="2">
        <f t="shared" si="4"/>
        <v>-1088598</v>
      </c>
    </row>
    <row r="44" spans="1:12" ht="14.4" x14ac:dyDescent="0.3">
      <c r="A44" s="14">
        <v>35</v>
      </c>
      <c r="B44" s="98">
        <f t="shared" si="0"/>
        <v>45443</v>
      </c>
      <c r="C44" s="1">
        <v>6224</v>
      </c>
      <c r="D44" s="86">
        <f t="shared" si="2"/>
        <v>138992</v>
      </c>
      <c r="E44" s="1">
        <v>12607</v>
      </c>
      <c r="F44" s="3">
        <f t="shared" si="3"/>
        <v>1240330</v>
      </c>
      <c r="G44" s="6">
        <f t="shared" si="1"/>
        <v>-6383</v>
      </c>
      <c r="H44" s="2">
        <f t="shared" si="4"/>
        <v>-1170613</v>
      </c>
    </row>
    <row r="45" spans="1:12" ht="14.4" x14ac:dyDescent="0.3">
      <c r="A45" s="14">
        <v>36</v>
      </c>
      <c r="B45" s="98">
        <f t="shared" si="0"/>
        <v>45450</v>
      </c>
      <c r="C45" s="1">
        <v>6234</v>
      </c>
      <c r="D45" s="86">
        <f t="shared" si="2"/>
        <v>145226</v>
      </c>
      <c r="E45" s="1">
        <v>7898</v>
      </c>
      <c r="F45" s="3">
        <f t="shared" si="3"/>
        <v>1248228</v>
      </c>
      <c r="G45" s="6">
        <f t="shared" si="1"/>
        <v>-1664</v>
      </c>
      <c r="H45" s="2">
        <f t="shared" si="4"/>
        <v>-1176996</v>
      </c>
      <c r="L45" s="104"/>
    </row>
    <row r="46" spans="1:12" ht="14.4" x14ac:dyDescent="0.3">
      <c r="A46" s="14">
        <v>37</v>
      </c>
      <c r="B46" s="98">
        <f t="shared" si="0"/>
        <v>45457</v>
      </c>
      <c r="C46" s="1">
        <v>5542</v>
      </c>
      <c r="D46" s="86">
        <f t="shared" si="2"/>
        <v>150768</v>
      </c>
      <c r="E46" s="1">
        <v>17946</v>
      </c>
      <c r="F46" s="3">
        <f t="shared" si="3"/>
        <v>1266174</v>
      </c>
      <c r="G46" s="6">
        <f t="shared" si="1"/>
        <v>-12404</v>
      </c>
      <c r="H46" s="2">
        <f t="shared" si="4"/>
        <v>-1178660</v>
      </c>
    </row>
    <row r="47" spans="1:12" ht="14.4" x14ac:dyDescent="0.3">
      <c r="A47" s="14">
        <v>38</v>
      </c>
      <c r="B47" s="98">
        <f t="shared" si="0"/>
        <v>45464</v>
      </c>
      <c r="C47" s="1">
        <v>4160</v>
      </c>
      <c r="D47" s="86">
        <f t="shared" si="2"/>
        <v>154928</v>
      </c>
      <c r="E47" s="1">
        <v>27113</v>
      </c>
      <c r="F47" s="3">
        <f t="shared" si="3"/>
        <v>1293287</v>
      </c>
      <c r="G47" s="6">
        <f t="shared" si="1"/>
        <v>-22953</v>
      </c>
      <c r="H47" s="2">
        <f t="shared" si="4"/>
        <v>-1191064</v>
      </c>
    </row>
    <row r="48" spans="1:12" ht="14.4" x14ac:dyDescent="0.3">
      <c r="A48" s="14">
        <v>39</v>
      </c>
      <c r="B48" s="98">
        <f t="shared" si="0"/>
        <v>45471</v>
      </c>
      <c r="C48" s="1">
        <v>4412</v>
      </c>
      <c r="D48" s="86">
        <f t="shared" si="2"/>
        <v>159340</v>
      </c>
      <c r="E48" s="1">
        <v>54245</v>
      </c>
      <c r="F48" s="3">
        <f t="shared" si="3"/>
        <v>1347532</v>
      </c>
      <c r="G48" s="6">
        <f t="shared" si="1"/>
        <v>-49833</v>
      </c>
      <c r="H48" s="2">
        <f t="shared" si="4"/>
        <v>-1214017</v>
      </c>
      <c r="K48" s="12"/>
    </row>
    <row r="49" spans="1:8" ht="14.4" x14ac:dyDescent="0.3">
      <c r="A49" s="14">
        <v>40</v>
      </c>
      <c r="B49" s="98">
        <f t="shared" si="0"/>
        <v>45478</v>
      </c>
      <c r="C49" s="11">
        <v>4416</v>
      </c>
      <c r="D49" s="112">
        <f t="shared" si="2"/>
        <v>163756</v>
      </c>
      <c r="E49" s="11">
        <v>30005</v>
      </c>
      <c r="F49" s="113">
        <f t="shared" si="3"/>
        <v>1377537</v>
      </c>
      <c r="G49" s="114">
        <f t="shared" si="1"/>
        <v>-25589</v>
      </c>
      <c r="H49" s="115">
        <f t="shared" si="4"/>
        <v>-1263850</v>
      </c>
    </row>
    <row r="50" spans="1:8" ht="14.4" x14ac:dyDescent="0.3">
      <c r="A50" s="14">
        <v>41</v>
      </c>
      <c r="B50" s="98">
        <f t="shared" si="0"/>
        <v>45485</v>
      </c>
      <c r="C50" s="1">
        <v>3225</v>
      </c>
      <c r="D50" s="86">
        <f t="shared" si="2"/>
        <v>166981</v>
      </c>
      <c r="E50" s="1">
        <v>66977</v>
      </c>
      <c r="F50" s="3">
        <f t="shared" si="3"/>
        <v>1444514</v>
      </c>
      <c r="G50" s="6">
        <f t="shared" si="1"/>
        <v>-63752</v>
      </c>
      <c r="H50" s="2">
        <f t="shared" si="4"/>
        <v>-1289439</v>
      </c>
    </row>
    <row r="51" spans="1:8" ht="14.4" x14ac:dyDescent="0.3">
      <c r="A51" s="14">
        <v>42</v>
      </c>
      <c r="B51" s="98">
        <f t="shared" si="0"/>
        <v>45492</v>
      </c>
      <c r="C51" s="1">
        <v>3211</v>
      </c>
      <c r="D51" s="86">
        <f t="shared" si="2"/>
        <v>170192</v>
      </c>
      <c r="E51" s="1">
        <v>102751</v>
      </c>
      <c r="F51" s="3">
        <f t="shared" si="3"/>
        <v>1547265</v>
      </c>
      <c r="G51" s="6">
        <f t="shared" si="1"/>
        <v>-99540</v>
      </c>
      <c r="H51" s="2">
        <f t="shared" si="4"/>
        <v>-1353191</v>
      </c>
    </row>
    <row r="52" spans="1:8" ht="14.4" x14ac:dyDescent="0.3">
      <c r="A52" s="14">
        <v>43</v>
      </c>
      <c r="B52" s="98">
        <f t="shared" si="0"/>
        <v>45499</v>
      </c>
      <c r="C52" s="1">
        <v>3676</v>
      </c>
      <c r="D52" s="86">
        <f t="shared" si="2"/>
        <v>173868</v>
      </c>
      <c r="E52" s="1">
        <v>22120</v>
      </c>
      <c r="F52" s="3">
        <f t="shared" si="3"/>
        <v>1569385</v>
      </c>
      <c r="G52" s="6">
        <f t="shared" si="1"/>
        <v>-18444</v>
      </c>
      <c r="H52" s="2">
        <f t="shared" si="4"/>
        <v>-1452731</v>
      </c>
    </row>
    <row r="53" spans="1:8" ht="14.4" x14ac:dyDescent="0.3">
      <c r="A53" s="14">
        <v>44</v>
      </c>
      <c r="B53" s="98">
        <f t="shared" si="0"/>
        <v>45506</v>
      </c>
      <c r="C53" s="1">
        <v>2860</v>
      </c>
      <c r="D53" s="86">
        <f t="shared" si="2"/>
        <v>176728</v>
      </c>
      <c r="E53" s="1">
        <v>8782</v>
      </c>
      <c r="F53" s="3">
        <f t="shared" si="3"/>
        <v>1578167</v>
      </c>
      <c r="G53" s="6">
        <f t="shared" si="1"/>
        <v>-5922</v>
      </c>
      <c r="H53" s="2">
        <f t="shared" si="4"/>
        <v>-1471175</v>
      </c>
    </row>
    <row r="54" spans="1:8" ht="14.4" x14ac:dyDescent="0.3">
      <c r="A54" s="14">
        <v>45</v>
      </c>
      <c r="B54" s="98">
        <f t="shared" si="0"/>
        <v>45513</v>
      </c>
      <c r="C54" s="1">
        <v>3987</v>
      </c>
      <c r="D54" s="86">
        <f t="shared" si="2"/>
        <v>180715</v>
      </c>
      <c r="E54" s="1">
        <v>64777</v>
      </c>
      <c r="F54" s="3">
        <f t="shared" si="3"/>
        <v>1642944</v>
      </c>
      <c r="G54" s="6">
        <f t="shared" si="1"/>
        <v>-60790</v>
      </c>
      <c r="H54" s="2">
        <f t="shared" si="4"/>
        <v>-1477097</v>
      </c>
    </row>
    <row r="55" spans="1:8" ht="14.4" x14ac:dyDescent="0.3">
      <c r="A55" s="14">
        <v>46</v>
      </c>
      <c r="B55" s="98">
        <f t="shared" si="0"/>
        <v>45520</v>
      </c>
      <c r="C55" s="1">
        <v>6406</v>
      </c>
      <c r="D55" s="86">
        <f t="shared" si="2"/>
        <v>187121</v>
      </c>
      <c r="E55" s="1">
        <v>0</v>
      </c>
      <c r="F55" s="3">
        <f t="shared" si="3"/>
        <v>1642944</v>
      </c>
      <c r="G55" s="6">
        <f t="shared" si="1"/>
        <v>6406</v>
      </c>
      <c r="H55" s="2">
        <f t="shared" si="4"/>
        <v>-1537887</v>
      </c>
    </row>
    <row r="56" spans="1:8" ht="14.4" x14ac:dyDescent="0.3">
      <c r="A56" s="14">
        <v>47</v>
      </c>
      <c r="B56" s="98">
        <f t="shared" si="0"/>
        <v>45527</v>
      </c>
      <c r="C56" s="1">
        <v>4758</v>
      </c>
      <c r="D56" s="86">
        <f t="shared" si="2"/>
        <v>191879</v>
      </c>
      <c r="E56" s="1">
        <v>37254</v>
      </c>
      <c r="F56" s="3">
        <f t="shared" si="3"/>
        <v>1680198</v>
      </c>
      <c r="G56" s="6">
        <f t="shared" si="1"/>
        <v>-32496</v>
      </c>
      <c r="H56" s="2">
        <f t="shared" si="4"/>
        <v>-1531481</v>
      </c>
    </row>
    <row r="57" spans="1:8" ht="14.4" x14ac:dyDescent="0.3">
      <c r="A57" s="14">
        <v>48</v>
      </c>
      <c r="B57" s="98">
        <f t="shared" si="0"/>
        <v>45534</v>
      </c>
      <c r="C57" s="1">
        <v>3644</v>
      </c>
      <c r="D57" s="86">
        <f t="shared" si="2"/>
        <v>195523</v>
      </c>
      <c r="E57" s="1"/>
      <c r="F57" s="3">
        <f t="shared" si="3"/>
        <v>1680198</v>
      </c>
      <c r="G57" s="6">
        <f t="shared" si="1"/>
        <v>3644</v>
      </c>
      <c r="H57" s="2">
        <f t="shared" si="4"/>
        <v>-1563977</v>
      </c>
    </row>
    <row r="58" spans="1:8" ht="14.4" x14ac:dyDescent="0.3">
      <c r="A58" s="14">
        <v>49</v>
      </c>
      <c r="B58" s="98">
        <f t="shared" si="0"/>
        <v>45541</v>
      </c>
      <c r="C58" s="1">
        <v>1698</v>
      </c>
      <c r="D58" s="86">
        <f t="shared" si="2"/>
        <v>197221</v>
      </c>
      <c r="E58" s="1">
        <v>24663</v>
      </c>
      <c r="F58" s="3">
        <f t="shared" si="3"/>
        <v>1704861</v>
      </c>
      <c r="G58" s="6">
        <f t="shared" si="1"/>
        <v>-22965</v>
      </c>
      <c r="H58" s="2">
        <f t="shared" si="4"/>
        <v>-1560333</v>
      </c>
    </row>
    <row r="59" spans="1:8" ht="14.4" x14ac:dyDescent="0.3">
      <c r="A59" s="14">
        <v>50</v>
      </c>
      <c r="B59" s="98">
        <f t="shared" si="0"/>
        <v>45548</v>
      </c>
      <c r="C59" s="1">
        <v>6342</v>
      </c>
      <c r="D59" s="86">
        <f t="shared" si="2"/>
        <v>203563</v>
      </c>
      <c r="E59" s="1">
        <v>59161</v>
      </c>
      <c r="F59" s="3">
        <f t="shared" si="3"/>
        <v>1764022</v>
      </c>
      <c r="G59" s="6">
        <f t="shared" si="1"/>
        <v>-52819</v>
      </c>
      <c r="H59" s="2">
        <f t="shared" si="4"/>
        <v>-1583298</v>
      </c>
    </row>
    <row r="60" spans="1:8" ht="14.4" x14ac:dyDescent="0.3">
      <c r="A60" s="14">
        <v>51</v>
      </c>
      <c r="B60" s="98">
        <f t="shared" si="0"/>
        <v>45555</v>
      </c>
      <c r="C60" s="1">
        <v>5838</v>
      </c>
      <c r="D60" s="86">
        <f t="shared" si="2"/>
        <v>209401</v>
      </c>
      <c r="E60" s="1">
        <v>48169</v>
      </c>
      <c r="F60" s="3">
        <f t="shared" si="3"/>
        <v>1812191</v>
      </c>
      <c r="G60" s="6">
        <f t="shared" si="1"/>
        <v>-42331</v>
      </c>
      <c r="H60" s="2">
        <f t="shared" si="4"/>
        <v>-1636117</v>
      </c>
    </row>
    <row r="61" spans="1:8" ht="15" thickBot="1" x14ac:dyDescent="0.35">
      <c r="A61" s="103">
        <v>52</v>
      </c>
      <c r="B61" s="100">
        <f t="shared" si="0"/>
        <v>45562</v>
      </c>
      <c r="C61" s="58">
        <v>3412</v>
      </c>
      <c r="D61" s="57">
        <f t="shared" si="2"/>
        <v>212813</v>
      </c>
      <c r="E61" s="58">
        <v>84406</v>
      </c>
      <c r="F61" s="57">
        <f t="shared" si="3"/>
        <v>1896597</v>
      </c>
      <c r="G61" s="57">
        <f t="shared" si="1"/>
        <v>-80994</v>
      </c>
      <c r="H61" s="57">
        <f t="shared" si="4"/>
        <v>-1678448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F507-C644-42FF-B30A-D30FD6F56406}">
  <dimension ref="A1:N1391"/>
  <sheetViews>
    <sheetView zoomScale="131" zoomScaleNormal="131" workbookViewId="0">
      <pane xSplit="2" ySplit="9" topLeftCell="C54" activePane="bottomRight" state="frozen"/>
      <selection pane="topRight" activeCell="C1" sqref="C1"/>
      <selection pane="bottomLeft" activeCell="A10" sqref="A10"/>
      <selection pane="bottomRight" activeCell="D5" sqref="D5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112</v>
      </c>
    </row>
    <row r="2" spans="1:8" x14ac:dyDescent="0.25">
      <c r="C2" s="4" t="s">
        <v>111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B62</f>
        <v>0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45569</v>
      </c>
      <c r="C10" s="1">
        <v>1596</v>
      </c>
      <c r="D10" s="86">
        <f>C10</f>
        <v>1596</v>
      </c>
      <c r="E10" s="1">
        <v>5296</v>
      </c>
      <c r="F10" s="3">
        <f>E10</f>
        <v>5296</v>
      </c>
      <c r="G10" s="6">
        <f>C10-E10</f>
        <v>-3700</v>
      </c>
      <c r="H10" s="2">
        <f>G10</f>
        <v>-3700</v>
      </c>
    </row>
    <row r="11" spans="1:8" ht="14.4" x14ac:dyDescent="0.3">
      <c r="A11" s="14">
        <v>2</v>
      </c>
      <c r="B11" s="98">
        <f>B10+7</f>
        <v>45576</v>
      </c>
      <c r="C11" s="1">
        <v>2156</v>
      </c>
      <c r="D11" s="86">
        <f>D10+C11</f>
        <v>3752</v>
      </c>
      <c r="E11" s="1">
        <v>54967</v>
      </c>
      <c r="F11" s="3">
        <f>F10+E11</f>
        <v>60263</v>
      </c>
      <c r="G11" s="6">
        <f t="shared" ref="G11:G61" si="0">C11-E11</f>
        <v>-52811</v>
      </c>
      <c r="H11" s="2">
        <f>G10+H10</f>
        <v>-7400</v>
      </c>
    </row>
    <row r="12" spans="1:8" ht="14.4" x14ac:dyDescent="0.3">
      <c r="A12" s="14">
        <v>3</v>
      </c>
      <c r="B12" s="98">
        <f>B11+7</f>
        <v>45583</v>
      </c>
      <c r="C12" s="1">
        <v>1702</v>
      </c>
      <c r="D12" s="86">
        <f t="shared" ref="D12:D61" si="1">D11+C12</f>
        <v>5454</v>
      </c>
      <c r="E12" s="1">
        <v>64065</v>
      </c>
      <c r="F12" s="3">
        <f t="shared" ref="F12:F61" si="2">F11+E12</f>
        <v>124328</v>
      </c>
      <c r="G12" s="6">
        <f t="shared" si="0"/>
        <v>-62363</v>
      </c>
      <c r="H12" s="2">
        <f t="shared" ref="H12:H61" si="3">G11+H11</f>
        <v>-60211</v>
      </c>
    </row>
    <row r="13" spans="1:8" ht="14.4" x14ac:dyDescent="0.3">
      <c r="A13" s="14">
        <v>4</v>
      </c>
      <c r="B13" s="98">
        <f t="shared" ref="B13:B61" si="4">B12+7</f>
        <v>45590</v>
      </c>
      <c r="C13" s="1">
        <v>1485</v>
      </c>
      <c r="D13" s="86">
        <f t="shared" si="1"/>
        <v>6939</v>
      </c>
      <c r="E13" s="1">
        <v>17664</v>
      </c>
      <c r="F13" s="3">
        <f t="shared" si="2"/>
        <v>141992</v>
      </c>
      <c r="G13" s="6">
        <f t="shared" si="0"/>
        <v>-16179</v>
      </c>
      <c r="H13" s="2">
        <f t="shared" si="3"/>
        <v>-122574</v>
      </c>
    </row>
    <row r="14" spans="1:8" ht="14.4" x14ac:dyDescent="0.3">
      <c r="A14" s="14">
        <v>5</v>
      </c>
      <c r="B14" s="98">
        <f t="shared" si="4"/>
        <v>45597</v>
      </c>
      <c r="C14" s="1">
        <v>1416</v>
      </c>
      <c r="D14" s="86">
        <f t="shared" si="1"/>
        <v>8355</v>
      </c>
      <c r="E14" s="1">
        <v>46612</v>
      </c>
      <c r="F14" s="3">
        <f t="shared" si="2"/>
        <v>188604</v>
      </c>
      <c r="G14" s="6">
        <f t="shared" si="0"/>
        <v>-45196</v>
      </c>
      <c r="H14" s="2">
        <f t="shared" si="3"/>
        <v>-138753</v>
      </c>
    </row>
    <row r="15" spans="1:8" ht="14.4" x14ac:dyDescent="0.3">
      <c r="A15" s="14">
        <v>6</v>
      </c>
      <c r="B15" s="98">
        <f t="shared" si="4"/>
        <v>45604</v>
      </c>
      <c r="C15" s="1">
        <v>103</v>
      </c>
      <c r="D15" s="86">
        <f t="shared" si="1"/>
        <v>8458</v>
      </c>
      <c r="E15" s="1">
        <v>36734</v>
      </c>
      <c r="F15" s="3">
        <f t="shared" si="2"/>
        <v>225338</v>
      </c>
      <c r="G15" s="6">
        <f t="shared" si="0"/>
        <v>-36631</v>
      </c>
      <c r="H15" s="2">
        <f t="shared" si="3"/>
        <v>-183949</v>
      </c>
    </row>
    <row r="16" spans="1:8" ht="14.4" x14ac:dyDescent="0.3">
      <c r="A16" s="14">
        <v>7</v>
      </c>
      <c r="B16" s="98">
        <f t="shared" si="4"/>
        <v>45611</v>
      </c>
      <c r="C16" s="1">
        <v>576</v>
      </c>
      <c r="D16" s="86">
        <f t="shared" si="1"/>
        <v>9034</v>
      </c>
      <c r="E16" s="1">
        <v>44285</v>
      </c>
      <c r="F16" s="3">
        <f t="shared" si="2"/>
        <v>269623</v>
      </c>
      <c r="G16" s="6">
        <f t="shared" si="0"/>
        <v>-43709</v>
      </c>
      <c r="H16" s="2">
        <f t="shared" si="3"/>
        <v>-220580</v>
      </c>
    </row>
    <row r="17" spans="1:14" ht="14.4" x14ac:dyDescent="0.3">
      <c r="A17" s="14">
        <v>8</v>
      </c>
      <c r="B17" s="98">
        <f t="shared" si="4"/>
        <v>45618</v>
      </c>
      <c r="C17" s="1">
        <v>764</v>
      </c>
      <c r="D17" s="86">
        <f t="shared" si="1"/>
        <v>9798</v>
      </c>
      <c r="E17" s="1">
        <v>16277</v>
      </c>
      <c r="F17" s="3">
        <f t="shared" si="2"/>
        <v>285900</v>
      </c>
      <c r="G17" s="6">
        <f t="shared" si="0"/>
        <v>-15513</v>
      </c>
      <c r="H17" s="2">
        <f t="shared" si="3"/>
        <v>-264289</v>
      </c>
    </row>
    <row r="18" spans="1:14" ht="14.4" x14ac:dyDescent="0.3">
      <c r="A18" s="14">
        <v>9</v>
      </c>
      <c r="B18" s="98">
        <f t="shared" si="4"/>
        <v>45625</v>
      </c>
      <c r="C18" s="1">
        <v>927</v>
      </c>
      <c r="D18" s="86">
        <f t="shared" si="1"/>
        <v>10725</v>
      </c>
      <c r="E18" s="1">
        <v>32233</v>
      </c>
      <c r="F18" s="3">
        <f t="shared" si="2"/>
        <v>318133</v>
      </c>
      <c r="G18" s="6">
        <f t="shared" si="0"/>
        <v>-31306</v>
      </c>
      <c r="H18" s="2">
        <f t="shared" si="3"/>
        <v>-279802</v>
      </c>
    </row>
    <row r="19" spans="1:14" ht="14.4" x14ac:dyDescent="0.3">
      <c r="A19" s="14">
        <v>10</v>
      </c>
      <c r="B19" s="98">
        <f t="shared" si="4"/>
        <v>45632</v>
      </c>
      <c r="C19" s="1">
        <v>1536</v>
      </c>
      <c r="D19" s="86">
        <f t="shared" si="1"/>
        <v>12261</v>
      </c>
      <c r="E19" s="1">
        <v>44186</v>
      </c>
      <c r="F19" s="3">
        <f t="shared" si="2"/>
        <v>362319</v>
      </c>
      <c r="G19" s="6">
        <f t="shared" si="0"/>
        <v>-42650</v>
      </c>
      <c r="H19" s="2">
        <f t="shared" si="3"/>
        <v>-311108</v>
      </c>
    </row>
    <row r="20" spans="1:14" ht="14.4" x14ac:dyDescent="0.3">
      <c r="A20" s="14">
        <v>11</v>
      </c>
      <c r="B20" s="98">
        <f t="shared" si="4"/>
        <v>45639</v>
      </c>
      <c r="C20" s="1">
        <v>2855</v>
      </c>
      <c r="D20" s="86">
        <f t="shared" si="1"/>
        <v>15116</v>
      </c>
      <c r="E20" s="1">
        <v>51127</v>
      </c>
      <c r="F20" s="3">
        <f t="shared" si="2"/>
        <v>413446</v>
      </c>
      <c r="G20" s="6">
        <f t="shared" si="0"/>
        <v>-48272</v>
      </c>
      <c r="H20" s="2">
        <f t="shared" si="3"/>
        <v>-353758</v>
      </c>
    </row>
    <row r="21" spans="1:14" ht="14.4" x14ac:dyDescent="0.3">
      <c r="A21" s="14">
        <v>12</v>
      </c>
      <c r="B21" s="98">
        <f t="shared" si="4"/>
        <v>45646</v>
      </c>
      <c r="C21" s="1">
        <v>1775</v>
      </c>
      <c r="D21" s="86">
        <f t="shared" si="1"/>
        <v>16891</v>
      </c>
      <c r="E21" s="1">
        <v>25607</v>
      </c>
      <c r="F21" s="3">
        <f t="shared" si="2"/>
        <v>439053</v>
      </c>
      <c r="G21" s="6">
        <f t="shared" si="0"/>
        <v>-23832</v>
      </c>
      <c r="H21" s="2">
        <f t="shared" si="3"/>
        <v>-402030</v>
      </c>
    </row>
    <row r="22" spans="1:14" ht="14.4" x14ac:dyDescent="0.3">
      <c r="A22" s="14">
        <v>13</v>
      </c>
      <c r="B22" s="98">
        <f t="shared" si="4"/>
        <v>45653</v>
      </c>
      <c r="C22" s="1">
        <v>898</v>
      </c>
      <c r="D22" s="86">
        <f t="shared" si="1"/>
        <v>17789</v>
      </c>
      <c r="E22" s="1">
        <v>0</v>
      </c>
      <c r="F22" s="3">
        <f t="shared" si="2"/>
        <v>439053</v>
      </c>
      <c r="G22" s="6">
        <f t="shared" si="0"/>
        <v>898</v>
      </c>
      <c r="H22" s="2">
        <f t="shared" si="3"/>
        <v>-425862</v>
      </c>
    </row>
    <row r="23" spans="1:14" ht="14.4" x14ac:dyDescent="0.3">
      <c r="A23" s="14">
        <v>14</v>
      </c>
      <c r="B23" s="98">
        <f t="shared" si="4"/>
        <v>45660</v>
      </c>
      <c r="C23" s="1">
        <v>699</v>
      </c>
      <c r="D23" s="86">
        <f t="shared" si="1"/>
        <v>18488</v>
      </c>
      <c r="E23" s="1">
        <v>0</v>
      </c>
      <c r="F23" s="3">
        <f t="shared" si="2"/>
        <v>439053</v>
      </c>
      <c r="G23" s="6">
        <f t="shared" si="0"/>
        <v>699</v>
      </c>
      <c r="H23" s="2">
        <f t="shared" si="3"/>
        <v>-424964</v>
      </c>
    </row>
    <row r="24" spans="1:14" ht="14.4" x14ac:dyDescent="0.3">
      <c r="A24" s="14">
        <v>15</v>
      </c>
      <c r="B24" s="98">
        <f t="shared" si="4"/>
        <v>45667</v>
      </c>
      <c r="C24" s="1">
        <v>1928</v>
      </c>
      <c r="D24" s="86">
        <f t="shared" si="1"/>
        <v>20416</v>
      </c>
      <c r="E24" s="1">
        <v>0</v>
      </c>
      <c r="F24" s="3">
        <f t="shared" si="2"/>
        <v>439053</v>
      </c>
      <c r="G24" s="6">
        <f t="shared" si="0"/>
        <v>1928</v>
      </c>
      <c r="H24" s="2">
        <f t="shared" si="3"/>
        <v>-424265</v>
      </c>
    </row>
    <row r="25" spans="1:14" ht="14.4" x14ac:dyDescent="0.3">
      <c r="A25" s="14">
        <v>16</v>
      </c>
      <c r="B25" s="98">
        <f t="shared" si="4"/>
        <v>45674</v>
      </c>
      <c r="C25" s="1">
        <v>5545</v>
      </c>
      <c r="D25" s="86">
        <f t="shared" si="1"/>
        <v>25961</v>
      </c>
      <c r="E25" s="1">
        <v>17316</v>
      </c>
      <c r="F25" s="3">
        <f t="shared" si="2"/>
        <v>456369</v>
      </c>
      <c r="G25" s="6">
        <f t="shared" si="0"/>
        <v>-11771</v>
      </c>
      <c r="H25" s="2">
        <f t="shared" si="3"/>
        <v>-422337</v>
      </c>
    </row>
    <row r="26" spans="1:14" ht="14.4" x14ac:dyDescent="0.3">
      <c r="A26" s="14">
        <v>17</v>
      </c>
      <c r="B26" s="98">
        <f t="shared" si="4"/>
        <v>45681</v>
      </c>
      <c r="C26" s="1">
        <v>2568</v>
      </c>
      <c r="D26" s="86">
        <f t="shared" si="1"/>
        <v>28529</v>
      </c>
      <c r="E26" s="1">
        <v>28300</v>
      </c>
      <c r="F26" s="3">
        <f t="shared" si="2"/>
        <v>484669</v>
      </c>
      <c r="G26" s="6">
        <f t="shared" si="0"/>
        <v>-25732</v>
      </c>
      <c r="H26" s="2">
        <f t="shared" si="3"/>
        <v>-434108</v>
      </c>
      <c r="N26" s="85"/>
    </row>
    <row r="27" spans="1:14" ht="14.4" x14ac:dyDescent="0.3">
      <c r="A27" s="14">
        <v>18</v>
      </c>
      <c r="B27" s="98">
        <f t="shared" si="4"/>
        <v>45688</v>
      </c>
      <c r="C27" s="1">
        <v>3904</v>
      </c>
      <c r="D27" s="86">
        <f t="shared" si="1"/>
        <v>32433</v>
      </c>
      <c r="E27" s="1">
        <v>32894</v>
      </c>
      <c r="F27" s="3">
        <f t="shared" si="2"/>
        <v>517563</v>
      </c>
      <c r="G27" s="6">
        <f t="shared" si="0"/>
        <v>-28990</v>
      </c>
      <c r="H27" s="2">
        <f t="shared" si="3"/>
        <v>-459840</v>
      </c>
    </row>
    <row r="28" spans="1:14" ht="14.4" x14ac:dyDescent="0.3">
      <c r="A28" s="14">
        <v>19</v>
      </c>
      <c r="B28" s="98">
        <f t="shared" si="4"/>
        <v>45695</v>
      </c>
      <c r="C28" s="1">
        <v>3884</v>
      </c>
      <c r="D28" s="86">
        <f t="shared" si="1"/>
        <v>36317</v>
      </c>
      <c r="E28" s="1">
        <v>12191</v>
      </c>
      <c r="F28" s="3">
        <f t="shared" si="2"/>
        <v>529754</v>
      </c>
      <c r="G28" s="6">
        <f t="shared" si="0"/>
        <v>-8307</v>
      </c>
      <c r="H28" s="2">
        <f t="shared" si="3"/>
        <v>-488830</v>
      </c>
    </row>
    <row r="29" spans="1:14" ht="14.4" x14ac:dyDescent="0.3">
      <c r="A29" s="14">
        <v>20</v>
      </c>
      <c r="B29" s="98">
        <f t="shared" si="4"/>
        <v>45702</v>
      </c>
      <c r="C29" s="1">
        <v>8048</v>
      </c>
      <c r="D29" s="86">
        <f t="shared" si="1"/>
        <v>44365</v>
      </c>
      <c r="E29" s="1">
        <v>85590</v>
      </c>
      <c r="F29" s="3">
        <f t="shared" si="2"/>
        <v>615344</v>
      </c>
      <c r="G29" s="6">
        <f t="shared" si="0"/>
        <v>-77542</v>
      </c>
      <c r="H29" s="2">
        <f t="shared" si="3"/>
        <v>-497137</v>
      </c>
    </row>
    <row r="30" spans="1:14" ht="14.4" x14ac:dyDescent="0.3">
      <c r="A30" s="14">
        <v>21</v>
      </c>
      <c r="B30" s="98">
        <f t="shared" si="4"/>
        <v>45709</v>
      </c>
      <c r="C30" s="1">
        <v>9012</v>
      </c>
      <c r="D30" s="86">
        <f t="shared" si="1"/>
        <v>53377</v>
      </c>
      <c r="E30" s="1">
        <v>29446</v>
      </c>
      <c r="F30" s="3">
        <f t="shared" si="2"/>
        <v>644790</v>
      </c>
      <c r="G30" s="6">
        <f t="shared" si="0"/>
        <v>-20434</v>
      </c>
      <c r="H30" s="2">
        <f t="shared" si="3"/>
        <v>-574679</v>
      </c>
    </row>
    <row r="31" spans="1:14" ht="14.4" x14ac:dyDescent="0.3">
      <c r="A31" s="14">
        <v>22</v>
      </c>
      <c r="B31" s="98">
        <f t="shared" si="4"/>
        <v>45716</v>
      </c>
      <c r="C31" s="1">
        <v>8353</v>
      </c>
      <c r="D31" s="86">
        <f t="shared" si="1"/>
        <v>61730</v>
      </c>
      <c r="E31" s="1">
        <v>40853</v>
      </c>
      <c r="F31" s="3">
        <f t="shared" si="2"/>
        <v>685643</v>
      </c>
      <c r="G31" s="6">
        <f t="shared" si="0"/>
        <v>-32500</v>
      </c>
      <c r="H31" s="2">
        <f t="shared" si="3"/>
        <v>-595113</v>
      </c>
    </row>
    <row r="32" spans="1:14" ht="14.4" x14ac:dyDescent="0.3">
      <c r="A32" s="14">
        <v>23</v>
      </c>
      <c r="B32" s="98">
        <f t="shared" si="4"/>
        <v>45723</v>
      </c>
      <c r="C32" s="1">
        <v>3919</v>
      </c>
      <c r="D32" s="86">
        <f t="shared" si="1"/>
        <v>65649</v>
      </c>
      <c r="E32" s="1">
        <v>49374</v>
      </c>
      <c r="F32" s="3">
        <f t="shared" si="2"/>
        <v>735017</v>
      </c>
      <c r="G32" s="6">
        <f t="shared" si="0"/>
        <v>-45455</v>
      </c>
      <c r="H32" s="2">
        <f t="shared" si="3"/>
        <v>-627613</v>
      </c>
    </row>
    <row r="33" spans="1:12" ht="14.4" x14ac:dyDescent="0.3">
      <c r="A33" s="14">
        <v>24</v>
      </c>
      <c r="B33" s="98">
        <f t="shared" si="4"/>
        <v>45730</v>
      </c>
      <c r="C33" s="1">
        <v>2171</v>
      </c>
      <c r="D33" s="86">
        <f t="shared" si="1"/>
        <v>67820</v>
      </c>
      <c r="E33" s="1">
        <v>44171</v>
      </c>
      <c r="F33" s="3">
        <f t="shared" si="2"/>
        <v>779188</v>
      </c>
      <c r="G33" s="6">
        <f t="shared" si="0"/>
        <v>-42000</v>
      </c>
      <c r="H33" s="2">
        <f t="shared" si="3"/>
        <v>-673068</v>
      </c>
    </row>
    <row r="34" spans="1:12" ht="14.4" x14ac:dyDescent="0.3">
      <c r="A34" s="14">
        <v>25</v>
      </c>
      <c r="B34" s="98">
        <f t="shared" si="4"/>
        <v>45737</v>
      </c>
      <c r="C34" s="1">
        <v>5232</v>
      </c>
      <c r="D34" s="86">
        <f t="shared" si="1"/>
        <v>73052</v>
      </c>
      <c r="E34" s="1">
        <v>63845</v>
      </c>
      <c r="F34" s="3">
        <f t="shared" si="2"/>
        <v>843033</v>
      </c>
      <c r="G34" s="6">
        <f t="shared" si="0"/>
        <v>-58613</v>
      </c>
      <c r="H34" s="2">
        <f t="shared" si="3"/>
        <v>-715068</v>
      </c>
    </row>
    <row r="35" spans="1:12" ht="14.4" x14ac:dyDescent="0.3">
      <c r="A35" s="14">
        <v>26</v>
      </c>
      <c r="B35" s="98">
        <f t="shared" si="4"/>
        <v>45744</v>
      </c>
      <c r="C35" s="1">
        <v>7386</v>
      </c>
      <c r="D35" s="86">
        <f t="shared" si="1"/>
        <v>80438</v>
      </c>
      <c r="E35" s="1">
        <v>20118</v>
      </c>
      <c r="F35" s="3">
        <f t="shared" si="2"/>
        <v>863151</v>
      </c>
      <c r="G35" s="6">
        <f t="shared" si="0"/>
        <v>-12732</v>
      </c>
      <c r="H35" s="2">
        <f t="shared" si="3"/>
        <v>-773681</v>
      </c>
    </row>
    <row r="36" spans="1:12" ht="14.4" x14ac:dyDescent="0.3">
      <c r="A36" s="14">
        <v>27</v>
      </c>
      <c r="B36" s="98">
        <f t="shared" si="4"/>
        <v>45751</v>
      </c>
      <c r="C36" s="1">
        <v>8766</v>
      </c>
      <c r="D36" s="86">
        <f t="shared" si="1"/>
        <v>89204</v>
      </c>
      <c r="E36" s="1">
        <v>22424</v>
      </c>
      <c r="F36" s="3">
        <f t="shared" si="2"/>
        <v>885575</v>
      </c>
      <c r="G36" s="6">
        <f t="shared" si="0"/>
        <v>-13658</v>
      </c>
      <c r="H36" s="2">
        <f t="shared" si="3"/>
        <v>-786413</v>
      </c>
    </row>
    <row r="37" spans="1:12" ht="14.4" x14ac:dyDescent="0.3">
      <c r="A37" s="14">
        <v>28</v>
      </c>
      <c r="B37" s="98">
        <f t="shared" si="4"/>
        <v>45758</v>
      </c>
      <c r="C37" s="1">
        <v>8771</v>
      </c>
      <c r="D37" s="86">
        <f t="shared" si="1"/>
        <v>97975</v>
      </c>
      <c r="E37" s="1">
        <v>29360</v>
      </c>
      <c r="F37" s="3">
        <f t="shared" si="2"/>
        <v>914935</v>
      </c>
      <c r="G37" s="6">
        <f t="shared" si="0"/>
        <v>-20589</v>
      </c>
      <c r="H37" s="2">
        <f t="shared" si="3"/>
        <v>-800071</v>
      </c>
    </row>
    <row r="38" spans="1:12" ht="14.4" x14ac:dyDescent="0.3">
      <c r="A38" s="14">
        <v>29</v>
      </c>
      <c r="B38" s="98">
        <f t="shared" si="4"/>
        <v>45765</v>
      </c>
      <c r="C38" s="1">
        <v>6307</v>
      </c>
      <c r="D38" s="86">
        <f t="shared" si="1"/>
        <v>104282</v>
      </c>
      <c r="E38" s="1">
        <v>55022</v>
      </c>
      <c r="F38" s="3">
        <f t="shared" si="2"/>
        <v>969957</v>
      </c>
      <c r="G38" s="6">
        <f t="shared" si="0"/>
        <v>-48715</v>
      </c>
      <c r="H38" s="2">
        <f t="shared" si="3"/>
        <v>-820660</v>
      </c>
    </row>
    <row r="39" spans="1:12" ht="14.4" x14ac:dyDescent="0.3">
      <c r="A39" s="14">
        <v>30</v>
      </c>
      <c r="B39" s="98">
        <f t="shared" si="4"/>
        <v>45772</v>
      </c>
      <c r="C39" s="1">
        <v>7325</v>
      </c>
      <c r="D39" s="86">
        <f t="shared" si="1"/>
        <v>111607</v>
      </c>
      <c r="E39" s="1">
        <v>24793</v>
      </c>
      <c r="F39" s="3">
        <f t="shared" si="2"/>
        <v>994750</v>
      </c>
      <c r="G39" s="6">
        <f t="shared" si="0"/>
        <v>-17468</v>
      </c>
      <c r="H39" s="2">
        <f t="shared" si="3"/>
        <v>-869375</v>
      </c>
    </row>
    <row r="40" spans="1:12" ht="14.4" x14ac:dyDescent="0.3">
      <c r="A40" s="14">
        <v>31</v>
      </c>
      <c r="B40" s="98">
        <f t="shared" si="4"/>
        <v>45779</v>
      </c>
      <c r="C40" s="1">
        <v>4861</v>
      </c>
      <c r="D40" s="86">
        <f t="shared" si="1"/>
        <v>116468</v>
      </c>
      <c r="E40" s="1">
        <v>27707</v>
      </c>
      <c r="F40" s="3">
        <f t="shared" si="2"/>
        <v>1022457</v>
      </c>
      <c r="G40" s="6">
        <f t="shared" si="0"/>
        <v>-22846</v>
      </c>
      <c r="H40" s="2">
        <f t="shared" si="3"/>
        <v>-886843</v>
      </c>
    </row>
    <row r="41" spans="1:12" ht="14.4" x14ac:dyDescent="0.3">
      <c r="A41" s="14">
        <v>32</v>
      </c>
      <c r="B41" s="98">
        <f t="shared" si="4"/>
        <v>45786</v>
      </c>
      <c r="C41" s="1">
        <v>7806</v>
      </c>
      <c r="D41" s="86">
        <f t="shared" si="1"/>
        <v>124274</v>
      </c>
      <c r="E41" s="1">
        <v>39974</v>
      </c>
      <c r="F41" s="3">
        <f t="shared" si="2"/>
        <v>1062431</v>
      </c>
      <c r="G41" s="6">
        <f t="shared" si="0"/>
        <v>-32168</v>
      </c>
      <c r="H41" s="2">
        <f t="shared" si="3"/>
        <v>-909689</v>
      </c>
    </row>
    <row r="42" spans="1:12" ht="14.4" x14ac:dyDescent="0.3">
      <c r="A42" s="14">
        <v>33</v>
      </c>
      <c r="B42" s="98">
        <f t="shared" si="4"/>
        <v>45793</v>
      </c>
      <c r="C42" s="1">
        <v>6681</v>
      </c>
      <c r="D42" s="86">
        <f t="shared" si="1"/>
        <v>130955</v>
      </c>
      <c r="E42" s="1">
        <v>58184</v>
      </c>
      <c r="F42" s="3">
        <f t="shared" si="2"/>
        <v>1120615</v>
      </c>
      <c r="G42" s="6">
        <f t="shared" si="0"/>
        <v>-51503</v>
      </c>
      <c r="H42" s="2">
        <f t="shared" si="3"/>
        <v>-941857</v>
      </c>
    </row>
    <row r="43" spans="1:12" ht="14.4" x14ac:dyDescent="0.3">
      <c r="A43" s="14">
        <v>34</v>
      </c>
      <c r="B43" s="98">
        <f t="shared" si="4"/>
        <v>45800</v>
      </c>
      <c r="C43" s="1">
        <v>4928</v>
      </c>
      <c r="D43" s="86">
        <f t="shared" si="1"/>
        <v>135883</v>
      </c>
      <c r="E43" s="1">
        <v>8720</v>
      </c>
      <c r="F43" s="3">
        <f t="shared" si="2"/>
        <v>1129335</v>
      </c>
      <c r="G43" s="6">
        <f t="shared" si="0"/>
        <v>-3792</v>
      </c>
      <c r="H43" s="2">
        <f t="shared" si="3"/>
        <v>-993360</v>
      </c>
    </row>
    <row r="44" spans="1:12" ht="14.4" x14ac:dyDescent="0.3">
      <c r="A44" s="14">
        <v>35</v>
      </c>
      <c r="B44" s="98">
        <f t="shared" si="4"/>
        <v>45807</v>
      </c>
      <c r="C44" s="1">
        <v>6932</v>
      </c>
      <c r="D44" s="86">
        <f t="shared" si="1"/>
        <v>142815</v>
      </c>
      <c r="E44" s="1">
        <v>3382</v>
      </c>
      <c r="F44" s="3">
        <f t="shared" si="2"/>
        <v>1132717</v>
      </c>
      <c r="G44" s="6">
        <f t="shared" si="0"/>
        <v>3550</v>
      </c>
      <c r="H44" s="2">
        <f t="shared" si="3"/>
        <v>-997152</v>
      </c>
    </row>
    <row r="45" spans="1:12" ht="14.4" x14ac:dyDescent="0.3">
      <c r="A45" s="14">
        <v>36</v>
      </c>
      <c r="B45" s="98">
        <f t="shared" si="4"/>
        <v>45814</v>
      </c>
      <c r="C45" s="1">
        <v>7751</v>
      </c>
      <c r="D45" s="86">
        <f t="shared" si="1"/>
        <v>150566</v>
      </c>
      <c r="E45" s="1">
        <v>23319</v>
      </c>
      <c r="F45" s="3">
        <f t="shared" si="2"/>
        <v>1156036</v>
      </c>
      <c r="G45" s="6">
        <f t="shared" si="0"/>
        <v>-15568</v>
      </c>
      <c r="H45" s="2">
        <f t="shared" si="3"/>
        <v>-993602</v>
      </c>
      <c r="L45" s="104"/>
    </row>
    <row r="46" spans="1:12" ht="14.4" x14ac:dyDescent="0.3">
      <c r="A46" s="14">
        <v>37</v>
      </c>
      <c r="B46" s="98">
        <f t="shared" si="4"/>
        <v>45821</v>
      </c>
      <c r="C46" s="1">
        <v>6211</v>
      </c>
      <c r="D46" s="86">
        <f t="shared" si="1"/>
        <v>156777</v>
      </c>
      <c r="E46" s="1">
        <v>5617</v>
      </c>
      <c r="F46" s="3">
        <f t="shared" si="2"/>
        <v>1161653</v>
      </c>
      <c r="G46" s="6">
        <f t="shared" si="0"/>
        <v>594</v>
      </c>
      <c r="H46" s="2">
        <f t="shared" si="3"/>
        <v>-1009170</v>
      </c>
    </row>
    <row r="47" spans="1:12" ht="14.4" x14ac:dyDescent="0.3">
      <c r="A47" s="14">
        <v>38</v>
      </c>
      <c r="B47" s="98">
        <f t="shared" si="4"/>
        <v>45828</v>
      </c>
      <c r="C47" s="1">
        <v>3615</v>
      </c>
      <c r="D47" s="86">
        <f t="shared" si="1"/>
        <v>160392</v>
      </c>
      <c r="E47" s="1">
        <v>26194</v>
      </c>
      <c r="F47" s="3">
        <f t="shared" si="2"/>
        <v>1187847</v>
      </c>
      <c r="G47" s="6">
        <f t="shared" si="0"/>
        <v>-22579</v>
      </c>
      <c r="H47" s="2">
        <f t="shared" si="3"/>
        <v>-1008576</v>
      </c>
    </row>
    <row r="48" spans="1:12" ht="14.4" x14ac:dyDescent="0.3">
      <c r="A48" s="14">
        <v>39</v>
      </c>
      <c r="B48" s="98">
        <f t="shared" si="4"/>
        <v>45835</v>
      </c>
      <c r="C48" s="1">
        <v>6537</v>
      </c>
      <c r="D48" s="86">
        <f t="shared" si="1"/>
        <v>166929</v>
      </c>
      <c r="E48" s="1">
        <v>57104</v>
      </c>
      <c r="F48" s="3">
        <f t="shared" si="2"/>
        <v>1244951</v>
      </c>
      <c r="G48" s="6">
        <f t="shared" si="0"/>
        <v>-50567</v>
      </c>
      <c r="H48" s="2">
        <f t="shared" si="3"/>
        <v>-1031155</v>
      </c>
      <c r="K48" s="12"/>
    </row>
    <row r="49" spans="1:8" ht="14.4" x14ac:dyDescent="0.3">
      <c r="A49" s="14">
        <v>40</v>
      </c>
      <c r="B49" s="98">
        <f t="shared" si="4"/>
        <v>45842</v>
      </c>
      <c r="C49" s="1">
        <v>4658</v>
      </c>
      <c r="D49" s="86">
        <f t="shared" si="1"/>
        <v>171587</v>
      </c>
      <c r="E49" s="1">
        <v>3306</v>
      </c>
      <c r="F49" s="3">
        <f t="shared" si="2"/>
        <v>1248257</v>
      </c>
      <c r="G49" s="6">
        <f t="shared" si="0"/>
        <v>1352</v>
      </c>
      <c r="H49" s="2">
        <f t="shared" si="3"/>
        <v>-1081722</v>
      </c>
    </row>
    <row r="50" spans="1:8" ht="14.4" x14ac:dyDescent="0.3">
      <c r="A50" s="14">
        <v>41</v>
      </c>
      <c r="B50" s="98">
        <f t="shared" si="4"/>
        <v>45849</v>
      </c>
      <c r="C50" s="1">
        <v>5192</v>
      </c>
      <c r="D50" s="86">
        <f t="shared" si="1"/>
        <v>176779</v>
      </c>
      <c r="E50" s="1">
        <v>56061</v>
      </c>
      <c r="F50" s="3">
        <f t="shared" si="2"/>
        <v>1304318</v>
      </c>
      <c r="G50" s="6">
        <f t="shared" si="0"/>
        <v>-50869</v>
      </c>
      <c r="H50" s="2">
        <f t="shared" si="3"/>
        <v>-1080370</v>
      </c>
    </row>
    <row r="51" spans="1:8" ht="14.4" x14ac:dyDescent="0.3">
      <c r="A51" s="14">
        <v>42</v>
      </c>
      <c r="B51" s="98">
        <f t="shared" si="4"/>
        <v>45856</v>
      </c>
      <c r="C51" s="1">
        <v>3457</v>
      </c>
      <c r="D51" s="86">
        <f t="shared" si="1"/>
        <v>180236</v>
      </c>
      <c r="E51" s="1">
        <v>75573</v>
      </c>
      <c r="F51" s="3">
        <f t="shared" si="2"/>
        <v>1379891</v>
      </c>
      <c r="G51" s="6">
        <f t="shared" si="0"/>
        <v>-72116</v>
      </c>
      <c r="H51" s="2">
        <f t="shared" si="3"/>
        <v>-1131239</v>
      </c>
    </row>
    <row r="52" spans="1:8" ht="14.4" x14ac:dyDescent="0.3">
      <c r="A52" s="14">
        <v>43</v>
      </c>
      <c r="B52" s="98">
        <f t="shared" si="4"/>
        <v>45863</v>
      </c>
      <c r="C52" s="1">
        <v>6183</v>
      </c>
      <c r="D52" s="86">
        <f t="shared" si="1"/>
        <v>186419</v>
      </c>
      <c r="E52" s="1">
        <v>28110</v>
      </c>
      <c r="F52" s="3">
        <f t="shared" si="2"/>
        <v>1408001</v>
      </c>
      <c r="G52" s="6">
        <f t="shared" si="0"/>
        <v>-21927</v>
      </c>
      <c r="H52" s="2">
        <f t="shared" si="3"/>
        <v>-1203355</v>
      </c>
    </row>
    <row r="53" spans="1:8" ht="14.4" x14ac:dyDescent="0.3">
      <c r="A53" s="14">
        <v>44</v>
      </c>
      <c r="B53" s="98">
        <f t="shared" si="4"/>
        <v>45870</v>
      </c>
      <c r="C53" s="1">
        <v>4440</v>
      </c>
      <c r="D53" s="86">
        <f t="shared" si="1"/>
        <v>190859</v>
      </c>
      <c r="E53" s="1">
        <v>26637</v>
      </c>
      <c r="F53" s="3">
        <f t="shared" si="2"/>
        <v>1434638</v>
      </c>
      <c r="G53" s="6">
        <f t="shared" si="0"/>
        <v>-22197</v>
      </c>
      <c r="H53" s="2">
        <f t="shared" si="3"/>
        <v>-1225282</v>
      </c>
    </row>
    <row r="54" spans="1:8" ht="14.4" x14ac:dyDescent="0.3">
      <c r="A54" s="14">
        <v>45</v>
      </c>
      <c r="B54" s="98">
        <f t="shared" si="4"/>
        <v>45877</v>
      </c>
      <c r="C54" s="1">
        <v>3418</v>
      </c>
      <c r="D54" s="86">
        <f t="shared" si="1"/>
        <v>194277</v>
      </c>
      <c r="E54" s="1">
        <v>39814</v>
      </c>
      <c r="F54" s="3">
        <f t="shared" si="2"/>
        <v>1474452</v>
      </c>
      <c r="G54" s="6">
        <f t="shared" si="0"/>
        <v>-36396</v>
      </c>
      <c r="H54" s="2">
        <f t="shared" si="3"/>
        <v>-1247479</v>
      </c>
    </row>
    <row r="55" spans="1:8" ht="14.4" x14ac:dyDescent="0.3">
      <c r="A55" s="14">
        <v>46</v>
      </c>
      <c r="B55" s="98">
        <f t="shared" si="4"/>
        <v>45884</v>
      </c>
      <c r="C55" s="1">
        <v>3850</v>
      </c>
      <c r="D55" s="86">
        <f t="shared" si="1"/>
        <v>198127</v>
      </c>
      <c r="E55" s="1">
        <v>61276</v>
      </c>
      <c r="F55" s="3">
        <f t="shared" si="2"/>
        <v>1535728</v>
      </c>
      <c r="G55" s="6">
        <f t="shared" si="0"/>
        <v>-57426</v>
      </c>
      <c r="H55" s="2">
        <f t="shared" si="3"/>
        <v>-1283875</v>
      </c>
    </row>
    <row r="56" spans="1:8" ht="14.4" x14ac:dyDescent="0.3">
      <c r="A56" s="14">
        <v>47</v>
      </c>
      <c r="B56" s="98">
        <f t="shared" si="4"/>
        <v>45891</v>
      </c>
      <c r="C56" s="1">
        <v>6688</v>
      </c>
      <c r="D56" s="86">
        <f t="shared" si="1"/>
        <v>204815</v>
      </c>
      <c r="E56" s="1">
        <v>34209</v>
      </c>
      <c r="F56" s="3">
        <f t="shared" si="2"/>
        <v>1569937</v>
      </c>
      <c r="G56" s="6">
        <f t="shared" si="0"/>
        <v>-27521</v>
      </c>
      <c r="H56" s="2">
        <f t="shared" si="3"/>
        <v>-1341301</v>
      </c>
    </row>
    <row r="57" spans="1:8" ht="14.4" x14ac:dyDescent="0.3">
      <c r="A57" s="14">
        <v>48</v>
      </c>
      <c r="B57" s="98">
        <f t="shared" si="4"/>
        <v>45898</v>
      </c>
      <c r="C57" s="1">
        <v>6716</v>
      </c>
      <c r="D57" s="86">
        <f t="shared" si="1"/>
        <v>211531</v>
      </c>
      <c r="E57" s="1">
        <v>38441</v>
      </c>
      <c r="F57" s="3">
        <f t="shared" si="2"/>
        <v>1608378</v>
      </c>
      <c r="G57" s="6">
        <f t="shared" si="0"/>
        <v>-31725</v>
      </c>
      <c r="H57" s="2">
        <f t="shared" si="3"/>
        <v>-1368822</v>
      </c>
    </row>
    <row r="58" spans="1:8" ht="14.4" x14ac:dyDescent="0.3">
      <c r="A58" s="14">
        <v>49</v>
      </c>
      <c r="B58" s="98">
        <f t="shared" si="4"/>
        <v>45905</v>
      </c>
      <c r="C58" s="1">
        <v>1435</v>
      </c>
      <c r="D58" s="86">
        <f t="shared" si="1"/>
        <v>212966</v>
      </c>
      <c r="E58" s="1">
        <v>44290</v>
      </c>
      <c r="F58" s="3">
        <f t="shared" si="2"/>
        <v>1652668</v>
      </c>
      <c r="G58" s="6">
        <f t="shared" si="0"/>
        <v>-42855</v>
      </c>
      <c r="H58" s="2">
        <f t="shared" si="3"/>
        <v>-1400547</v>
      </c>
    </row>
    <row r="59" spans="1:8" ht="14.4" x14ac:dyDescent="0.3">
      <c r="A59" s="14">
        <v>50</v>
      </c>
      <c r="B59" s="98">
        <f t="shared" si="4"/>
        <v>45912</v>
      </c>
      <c r="C59" s="1">
        <v>2226</v>
      </c>
      <c r="D59" s="86">
        <f t="shared" si="1"/>
        <v>215192</v>
      </c>
      <c r="E59" s="1">
        <v>83235</v>
      </c>
      <c r="F59" s="3">
        <f t="shared" si="2"/>
        <v>1735903</v>
      </c>
      <c r="G59" s="6">
        <f t="shared" si="0"/>
        <v>-81009</v>
      </c>
      <c r="H59" s="2">
        <f t="shared" si="3"/>
        <v>-1443402</v>
      </c>
    </row>
    <row r="60" spans="1:8" ht="14.4" x14ac:dyDescent="0.3">
      <c r="A60" s="14">
        <v>51</v>
      </c>
      <c r="B60" s="98">
        <f t="shared" si="4"/>
        <v>45919</v>
      </c>
      <c r="C60" s="1">
        <v>2977</v>
      </c>
      <c r="D60" s="86">
        <f t="shared" si="1"/>
        <v>218169</v>
      </c>
      <c r="E60" s="1">
        <v>61381</v>
      </c>
      <c r="F60" s="3">
        <f t="shared" si="2"/>
        <v>1797284</v>
      </c>
      <c r="G60" s="6">
        <f t="shared" si="0"/>
        <v>-58404</v>
      </c>
      <c r="H60" s="2">
        <f t="shared" si="3"/>
        <v>-1524411</v>
      </c>
    </row>
    <row r="61" spans="1:8" ht="15" thickBot="1" x14ac:dyDescent="0.35">
      <c r="A61" s="103">
        <v>52</v>
      </c>
      <c r="B61" s="100">
        <f t="shared" si="4"/>
        <v>45926</v>
      </c>
      <c r="C61" s="58">
        <v>3944</v>
      </c>
      <c r="D61" s="57">
        <f t="shared" si="1"/>
        <v>222113</v>
      </c>
      <c r="E61" s="58">
        <v>34724</v>
      </c>
      <c r="F61" s="57">
        <f t="shared" si="2"/>
        <v>1832008</v>
      </c>
      <c r="G61" s="57">
        <f t="shared" si="0"/>
        <v>-30780</v>
      </c>
      <c r="H61" s="57">
        <f t="shared" si="3"/>
        <v>-1582815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AA64-C18F-40B6-AC22-F614F58866B7}">
  <dimension ref="A1:N1391"/>
  <sheetViews>
    <sheetView zoomScale="131" zoomScaleNormal="13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5" sqref="C15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112</v>
      </c>
    </row>
    <row r="2" spans="1:8" x14ac:dyDescent="0.25">
      <c r="C2" s="4" t="s">
        <v>111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B10</f>
        <v>45933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45933</v>
      </c>
      <c r="C10" s="1">
        <v>2611</v>
      </c>
      <c r="D10" s="86">
        <f>C10</f>
        <v>2611</v>
      </c>
      <c r="E10" s="1">
        <v>20362</v>
      </c>
      <c r="F10" s="3">
        <f>E10</f>
        <v>20362</v>
      </c>
      <c r="G10" s="6">
        <f>C10-E10</f>
        <v>-17751</v>
      </c>
      <c r="H10" s="2">
        <f>G10</f>
        <v>-17751</v>
      </c>
    </row>
    <row r="11" spans="1:8" ht="14.4" x14ac:dyDescent="0.3">
      <c r="A11" s="14">
        <v>2</v>
      </c>
      <c r="B11" s="98">
        <f>B10+7</f>
        <v>45940</v>
      </c>
      <c r="C11" s="1">
        <v>1103</v>
      </c>
      <c r="D11" s="86">
        <f>D10+C11</f>
        <v>3714</v>
      </c>
      <c r="E11" s="1"/>
      <c r="F11" s="3">
        <f>F10+E11</f>
        <v>20362</v>
      </c>
      <c r="G11" s="6">
        <f t="shared" ref="G11:G61" si="0">C11-E11</f>
        <v>1103</v>
      </c>
      <c r="H11" s="2">
        <f>G10+H10</f>
        <v>-35502</v>
      </c>
    </row>
    <row r="12" spans="1:8" ht="14.4" x14ac:dyDescent="0.3">
      <c r="A12" s="14">
        <v>3</v>
      </c>
      <c r="B12" s="98">
        <f>B11+7</f>
        <v>45947</v>
      </c>
      <c r="C12" s="1"/>
      <c r="D12" s="86">
        <f t="shared" ref="D12:D61" si="1">D11+C12</f>
        <v>3714</v>
      </c>
      <c r="E12" s="1"/>
      <c r="F12" s="3">
        <f t="shared" ref="F12:F61" si="2">F11+E12</f>
        <v>20362</v>
      </c>
      <c r="G12" s="6">
        <f t="shared" si="0"/>
        <v>0</v>
      </c>
      <c r="H12" s="2">
        <f t="shared" ref="H12:H61" si="3">G11+H11</f>
        <v>-34399</v>
      </c>
    </row>
    <row r="13" spans="1:8" ht="14.4" x14ac:dyDescent="0.3">
      <c r="A13" s="14">
        <v>4</v>
      </c>
      <c r="B13" s="98">
        <f t="shared" ref="B13:B61" si="4">B12+7</f>
        <v>45954</v>
      </c>
      <c r="C13" s="1"/>
      <c r="D13" s="86">
        <f t="shared" si="1"/>
        <v>3714</v>
      </c>
      <c r="E13" s="1"/>
      <c r="F13" s="3">
        <f t="shared" si="2"/>
        <v>20362</v>
      </c>
      <c r="G13" s="6">
        <f t="shared" si="0"/>
        <v>0</v>
      </c>
      <c r="H13" s="2">
        <f t="shared" si="3"/>
        <v>-34399</v>
      </c>
    </row>
    <row r="14" spans="1:8" ht="14.4" x14ac:dyDescent="0.3">
      <c r="A14" s="14">
        <v>5</v>
      </c>
      <c r="B14" s="98">
        <f t="shared" si="4"/>
        <v>45961</v>
      </c>
      <c r="C14" s="1"/>
      <c r="D14" s="86">
        <f t="shared" si="1"/>
        <v>3714</v>
      </c>
      <c r="E14" s="1"/>
      <c r="F14" s="3">
        <f t="shared" si="2"/>
        <v>20362</v>
      </c>
      <c r="G14" s="6">
        <f t="shared" si="0"/>
        <v>0</v>
      </c>
      <c r="H14" s="2">
        <f t="shared" si="3"/>
        <v>-34399</v>
      </c>
    </row>
    <row r="15" spans="1:8" ht="14.4" x14ac:dyDescent="0.3">
      <c r="A15" s="14">
        <v>6</v>
      </c>
      <c r="B15" s="98">
        <f t="shared" si="4"/>
        <v>45968</v>
      </c>
      <c r="C15" s="1"/>
      <c r="D15" s="86">
        <f t="shared" si="1"/>
        <v>3714</v>
      </c>
      <c r="E15" s="1"/>
      <c r="F15" s="3">
        <f t="shared" si="2"/>
        <v>20362</v>
      </c>
      <c r="G15" s="6">
        <f t="shared" si="0"/>
        <v>0</v>
      </c>
      <c r="H15" s="2">
        <f t="shared" si="3"/>
        <v>-34399</v>
      </c>
    </row>
    <row r="16" spans="1:8" ht="14.4" x14ac:dyDescent="0.3">
      <c r="A16" s="14">
        <v>7</v>
      </c>
      <c r="B16" s="98">
        <f t="shared" si="4"/>
        <v>45975</v>
      </c>
      <c r="C16" s="1"/>
      <c r="D16" s="86">
        <f t="shared" si="1"/>
        <v>3714</v>
      </c>
      <c r="E16" s="1"/>
      <c r="F16" s="3">
        <f t="shared" si="2"/>
        <v>20362</v>
      </c>
      <c r="G16" s="6">
        <f t="shared" si="0"/>
        <v>0</v>
      </c>
      <c r="H16" s="2">
        <f t="shared" si="3"/>
        <v>-34399</v>
      </c>
    </row>
    <row r="17" spans="1:14" ht="14.4" x14ac:dyDescent="0.3">
      <c r="A17" s="14">
        <v>8</v>
      </c>
      <c r="B17" s="98">
        <f t="shared" si="4"/>
        <v>45982</v>
      </c>
      <c r="C17" s="1"/>
      <c r="D17" s="86">
        <f t="shared" si="1"/>
        <v>3714</v>
      </c>
      <c r="E17" s="1"/>
      <c r="F17" s="3">
        <f t="shared" si="2"/>
        <v>20362</v>
      </c>
      <c r="G17" s="6">
        <f t="shared" si="0"/>
        <v>0</v>
      </c>
      <c r="H17" s="2">
        <f t="shared" si="3"/>
        <v>-34399</v>
      </c>
    </row>
    <row r="18" spans="1:14" ht="14.4" x14ac:dyDescent="0.3">
      <c r="A18" s="14">
        <v>9</v>
      </c>
      <c r="B18" s="98">
        <f t="shared" si="4"/>
        <v>45989</v>
      </c>
      <c r="C18" s="1"/>
      <c r="D18" s="86">
        <f t="shared" si="1"/>
        <v>3714</v>
      </c>
      <c r="E18" s="1"/>
      <c r="F18" s="3">
        <f t="shared" si="2"/>
        <v>20362</v>
      </c>
      <c r="G18" s="6">
        <f t="shared" si="0"/>
        <v>0</v>
      </c>
      <c r="H18" s="2">
        <f t="shared" si="3"/>
        <v>-34399</v>
      </c>
    </row>
    <row r="19" spans="1:14" ht="14.4" x14ac:dyDescent="0.3">
      <c r="A19" s="14">
        <v>10</v>
      </c>
      <c r="B19" s="98">
        <f t="shared" si="4"/>
        <v>45996</v>
      </c>
      <c r="C19" s="1"/>
      <c r="D19" s="86">
        <f t="shared" si="1"/>
        <v>3714</v>
      </c>
      <c r="E19" s="1"/>
      <c r="F19" s="3">
        <f t="shared" si="2"/>
        <v>20362</v>
      </c>
      <c r="G19" s="6">
        <f t="shared" si="0"/>
        <v>0</v>
      </c>
      <c r="H19" s="2">
        <f t="shared" si="3"/>
        <v>-34399</v>
      </c>
    </row>
    <row r="20" spans="1:14" ht="14.4" x14ac:dyDescent="0.3">
      <c r="A20" s="14">
        <v>11</v>
      </c>
      <c r="B20" s="98">
        <f t="shared" si="4"/>
        <v>46003</v>
      </c>
      <c r="C20" s="1"/>
      <c r="D20" s="86">
        <f t="shared" si="1"/>
        <v>3714</v>
      </c>
      <c r="E20" s="1"/>
      <c r="F20" s="3">
        <f t="shared" si="2"/>
        <v>20362</v>
      </c>
      <c r="G20" s="6">
        <f t="shared" si="0"/>
        <v>0</v>
      </c>
      <c r="H20" s="2">
        <f t="shared" si="3"/>
        <v>-34399</v>
      </c>
    </row>
    <row r="21" spans="1:14" ht="14.4" x14ac:dyDescent="0.3">
      <c r="A21" s="14">
        <v>12</v>
      </c>
      <c r="B21" s="98">
        <f t="shared" si="4"/>
        <v>46010</v>
      </c>
      <c r="C21" s="1"/>
      <c r="D21" s="86">
        <f t="shared" si="1"/>
        <v>3714</v>
      </c>
      <c r="E21" s="1"/>
      <c r="F21" s="3">
        <f t="shared" si="2"/>
        <v>20362</v>
      </c>
      <c r="G21" s="6">
        <f t="shared" si="0"/>
        <v>0</v>
      </c>
      <c r="H21" s="2">
        <f t="shared" si="3"/>
        <v>-34399</v>
      </c>
    </row>
    <row r="22" spans="1:14" ht="14.4" x14ac:dyDescent="0.3">
      <c r="A22" s="14">
        <v>13</v>
      </c>
      <c r="B22" s="98">
        <f t="shared" si="4"/>
        <v>46017</v>
      </c>
      <c r="C22" s="1"/>
      <c r="D22" s="86">
        <f t="shared" si="1"/>
        <v>3714</v>
      </c>
      <c r="E22" s="1"/>
      <c r="F22" s="3">
        <f t="shared" si="2"/>
        <v>20362</v>
      </c>
      <c r="G22" s="6">
        <f t="shared" si="0"/>
        <v>0</v>
      </c>
      <c r="H22" s="2">
        <f t="shared" si="3"/>
        <v>-34399</v>
      </c>
    </row>
    <row r="23" spans="1:14" ht="14.4" x14ac:dyDescent="0.3">
      <c r="A23" s="14">
        <v>14</v>
      </c>
      <c r="B23" s="98">
        <f t="shared" si="4"/>
        <v>46024</v>
      </c>
      <c r="C23" s="1"/>
      <c r="D23" s="86">
        <f t="shared" si="1"/>
        <v>3714</v>
      </c>
      <c r="E23" s="1"/>
      <c r="F23" s="3">
        <f t="shared" si="2"/>
        <v>20362</v>
      </c>
      <c r="G23" s="6">
        <f t="shared" si="0"/>
        <v>0</v>
      </c>
      <c r="H23" s="2">
        <f t="shared" si="3"/>
        <v>-34399</v>
      </c>
    </row>
    <row r="24" spans="1:14" ht="14.4" x14ac:dyDescent="0.3">
      <c r="A24" s="14">
        <v>15</v>
      </c>
      <c r="B24" s="98">
        <f t="shared" si="4"/>
        <v>46031</v>
      </c>
      <c r="C24" s="1"/>
      <c r="D24" s="86">
        <f t="shared" si="1"/>
        <v>3714</v>
      </c>
      <c r="E24" s="1"/>
      <c r="F24" s="3">
        <f t="shared" si="2"/>
        <v>20362</v>
      </c>
      <c r="G24" s="6">
        <f t="shared" si="0"/>
        <v>0</v>
      </c>
      <c r="H24" s="2">
        <f t="shared" si="3"/>
        <v>-34399</v>
      </c>
    </row>
    <row r="25" spans="1:14" ht="14.4" x14ac:dyDescent="0.3">
      <c r="A25" s="14">
        <v>16</v>
      </c>
      <c r="B25" s="98">
        <f t="shared" si="4"/>
        <v>46038</v>
      </c>
      <c r="C25" s="1"/>
      <c r="D25" s="86">
        <f t="shared" si="1"/>
        <v>3714</v>
      </c>
      <c r="E25" s="1"/>
      <c r="F25" s="3">
        <f t="shared" si="2"/>
        <v>20362</v>
      </c>
      <c r="G25" s="6">
        <f t="shared" si="0"/>
        <v>0</v>
      </c>
      <c r="H25" s="2">
        <f t="shared" si="3"/>
        <v>-34399</v>
      </c>
    </row>
    <row r="26" spans="1:14" ht="14.4" x14ac:dyDescent="0.3">
      <c r="A26" s="14">
        <v>17</v>
      </c>
      <c r="B26" s="98">
        <f t="shared" si="4"/>
        <v>46045</v>
      </c>
      <c r="C26" s="1"/>
      <c r="D26" s="86">
        <f t="shared" si="1"/>
        <v>3714</v>
      </c>
      <c r="E26" s="1"/>
      <c r="F26" s="3">
        <f t="shared" si="2"/>
        <v>20362</v>
      </c>
      <c r="G26" s="6">
        <f t="shared" si="0"/>
        <v>0</v>
      </c>
      <c r="H26" s="2">
        <f t="shared" si="3"/>
        <v>-34399</v>
      </c>
      <c r="N26" s="85"/>
    </row>
    <row r="27" spans="1:14" ht="14.4" x14ac:dyDescent="0.3">
      <c r="A27" s="14">
        <v>18</v>
      </c>
      <c r="B27" s="98">
        <f t="shared" si="4"/>
        <v>46052</v>
      </c>
      <c r="C27" s="1"/>
      <c r="D27" s="86">
        <f t="shared" si="1"/>
        <v>3714</v>
      </c>
      <c r="E27" s="1"/>
      <c r="F27" s="3">
        <f t="shared" si="2"/>
        <v>20362</v>
      </c>
      <c r="G27" s="6">
        <f t="shared" si="0"/>
        <v>0</v>
      </c>
      <c r="H27" s="2">
        <f t="shared" si="3"/>
        <v>-34399</v>
      </c>
    </row>
    <row r="28" spans="1:14" ht="14.4" x14ac:dyDescent="0.3">
      <c r="A28" s="14">
        <v>19</v>
      </c>
      <c r="B28" s="98">
        <f t="shared" si="4"/>
        <v>46059</v>
      </c>
      <c r="C28" s="1"/>
      <c r="D28" s="86">
        <f t="shared" si="1"/>
        <v>3714</v>
      </c>
      <c r="E28" s="1"/>
      <c r="F28" s="3">
        <f t="shared" si="2"/>
        <v>20362</v>
      </c>
      <c r="G28" s="6">
        <f t="shared" si="0"/>
        <v>0</v>
      </c>
      <c r="H28" s="2">
        <f t="shared" si="3"/>
        <v>-34399</v>
      </c>
    </row>
    <row r="29" spans="1:14" ht="14.4" x14ac:dyDescent="0.3">
      <c r="A29" s="14">
        <v>20</v>
      </c>
      <c r="B29" s="98">
        <f t="shared" si="4"/>
        <v>46066</v>
      </c>
      <c r="C29" s="1"/>
      <c r="D29" s="86">
        <f t="shared" si="1"/>
        <v>3714</v>
      </c>
      <c r="E29" s="1"/>
      <c r="F29" s="3">
        <f t="shared" si="2"/>
        <v>20362</v>
      </c>
      <c r="G29" s="6">
        <f t="shared" si="0"/>
        <v>0</v>
      </c>
      <c r="H29" s="2">
        <f t="shared" si="3"/>
        <v>-34399</v>
      </c>
    </row>
    <row r="30" spans="1:14" ht="14.4" x14ac:dyDescent="0.3">
      <c r="A30" s="14">
        <v>21</v>
      </c>
      <c r="B30" s="98">
        <f t="shared" si="4"/>
        <v>46073</v>
      </c>
      <c r="C30" s="1"/>
      <c r="D30" s="86">
        <f t="shared" si="1"/>
        <v>3714</v>
      </c>
      <c r="E30" s="1"/>
      <c r="F30" s="3">
        <f t="shared" si="2"/>
        <v>20362</v>
      </c>
      <c r="G30" s="6">
        <f t="shared" si="0"/>
        <v>0</v>
      </c>
      <c r="H30" s="2">
        <f t="shared" si="3"/>
        <v>-34399</v>
      </c>
    </row>
    <row r="31" spans="1:14" ht="14.4" x14ac:dyDescent="0.3">
      <c r="A31" s="14">
        <v>22</v>
      </c>
      <c r="B31" s="98">
        <f t="shared" si="4"/>
        <v>46080</v>
      </c>
      <c r="C31" s="1"/>
      <c r="D31" s="86">
        <f t="shared" si="1"/>
        <v>3714</v>
      </c>
      <c r="E31" s="1"/>
      <c r="F31" s="3">
        <f t="shared" si="2"/>
        <v>20362</v>
      </c>
      <c r="G31" s="6">
        <f t="shared" si="0"/>
        <v>0</v>
      </c>
      <c r="H31" s="2">
        <f t="shared" si="3"/>
        <v>-34399</v>
      </c>
    </row>
    <row r="32" spans="1:14" ht="14.4" x14ac:dyDescent="0.3">
      <c r="A32" s="14">
        <v>23</v>
      </c>
      <c r="B32" s="98">
        <f t="shared" si="4"/>
        <v>46087</v>
      </c>
      <c r="C32" s="1"/>
      <c r="D32" s="86">
        <f t="shared" si="1"/>
        <v>3714</v>
      </c>
      <c r="E32" s="1"/>
      <c r="F32" s="3">
        <f t="shared" si="2"/>
        <v>20362</v>
      </c>
      <c r="G32" s="6">
        <f t="shared" si="0"/>
        <v>0</v>
      </c>
      <c r="H32" s="2">
        <f t="shared" si="3"/>
        <v>-34399</v>
      </c>
    </row>
    <row r="33" spans="1:12" ht="14.4" x14ac:dyDescent="0.3">
      <c r="A33" s="14">
        <v>24</v>
      </c>
      <c r="B33" s="98">
        <f t="shared" si="4"/>
        <v>46094</v>
      </c>
      <c r="C33" s="1"/>
      <c r="D33" s="86">
        <f t="shared" si="1"/>
        <v>3714</v>
      </c>
      <c r="E33" s="1"/>
      <c r="F33" s="3">
        <f t="shared" si="2"/>
        <v>20362</v>
      </c>
      <c r="G33" s="6">
        <f t="shared" si="0"/>
        <v>0</v>
      </c>
      <c r="H33" s="2">
        <f t="shared" si="3"/>
        <v>-34399</v>
      </c>
    </row>
    <row r="34" spans="1:12" ht="14.4" x14ac:dyDescent="0.3">
      <c r="A34" s="14">
        <v>25</v>
      </c>
      <c r="B34" s="98">
        <f t="shared" si="4"/>
        <v>46101</v>
      </c>
      <c r="C34" s="1"/>
      <c r="D34" s="86">
        <f t="shared" si="1"/>
        <v>3714</v>
      </c>
      <c r="E34" s="1"/>
      <c r="F34" s="3">
        <f t="shared" si="2"/>
        <v>20362</v>
      </c>
      <c r="G34" s="6">
        <f t="shared" si="0"/>
        <v>0</v>
      </c>
      <c r="H34" s="2">
        <f t="shared" si="3"/>
        <v>-34399</v>
      </c>
    </row>
    <row r="35" spans="1:12" ht="14.4" x14ac:dyDescent="0.3">
      <c r="A35" s="14">
        <v>26</v>
      </c>
      <c r="B35" s="98">
        <f t="shared" si="4"/>
        <v>46108</v>
      </c>
      <c r="C35" s="1"/>
      <c r="D35" s="86">
        <f t="shared" si="1"/>
        <v>3714</v>
      </c>
      <c r="E35" s="1"/>
      <c r="F35" s="3">
        <f t="shared" si="2"/>
        <v>20362</v>
      </c>
      <c r="G35" s="6">
        <f t="shared" si="0"/>
        <v>0</v>
      </c>
      <c r="H35" s="2">
        <f t="shared" si="3"/>
        <v>-34399</v>
      </c>
    </row>
    <row r="36" spans="1:12" ht="14.4" x14ac:dyDescent="0.3">
      <c r="A36" s="14">
        <v>27</v>
      </c>
      <c r="B36" s="98">
        <f t="shared" si="4"/>
        <v>46115</v>
      </c>
      <c r="C36" s="1"/>
      <c r="D36" s="86">
        <f t="shared" si="1"/>
        <v>3714</v>
      </c>
      <c r="E36" s="1"/>
      <c r="F36" s="3">
        <f t="shared" si="2"/>
        <v>20362</v>
      </c>
      <c r="G36" s="6">
        <f t="shared" si="0"/>
        <v>0</v>
      </c>
      <c r="H36" s="2">
        <f t="shared" si="3"/>
        <v>-34399</v>
      </c>
    </row>
    <row r="37" spans="1:12" ht="14.4" x14ac:dyDescent="0.3">
      <c r="A37" s="14">
        <v>28</v>
      </c>
      <c r="B37" s="98">
        <f t="shared" si="4"/>
        <v>46122</v>
      </c>
      <c r="C37" s="1"/>
      <c r="D37" s="86">
        <f t="shared" si="1"/>
        <v>3714</v>
      </c>
      <c r="E37" s="1"/>
      <c r="F37" s="3">
        <f t="shared" si="2"/>
        <v>20362</v>
      </c>
      <c r="G37" s="6">
        <f t="shared" si="0"/>
        <v>0</v>
      </c>
      <c r="H37" s="2">
        <f t="shared" si="3"/>
        <v>-34399</v>
      </c>
    </row>
    <row r="38" spans="1:12" ht="14.4" x14ac:dyDescent="0.3">
      <c r="A38" s="14">
        <v>29</v>
      </c>
      <c r="B38" s="98">
        <f t="shared" si="4"/>
        <v>46129</v>
      </c>
      <c r="C38" s="1"/>
      <c r="D38" s="86">
        <f t="shared" si="1"/>
        <v>3714</v>
      </c>
      <c r="E38" s="1"/>
      <c r="F38" s="3">
        <f t="shared" si="2"/>
        <v>20362</v>
      </c>
      <c r="G38" s="6">
        <f t="shared" si="0"/>
        <v>0</v>
      </c>
      <c r="H38" s="2">
        <f t="shared" si="3"/>
        <v>-34399</v>
      </c>
    </row>
    <row r="39" spans="1:12" ht="14.4" x14ac:dyDescent="0.3">
      <c r="A39" s="14">
        <v>30</v>
      </c>
      <c r="B39" s="98">
        <f t="shared" si="4"/>
        <v>46136</v>
      </c>
      <c r="C39" s="1"/>
      <c r="D39" s="86">
        <f t="shared" si="1"/>
        <v>3714</v>
      </c>
      <c r="E39" s="1"/>
      <c r="F39" s="3">
        <f t="shared" si="2"/>
        <v>20362</v>
      </c>
      <c r="G39" s="6">
        <f t="shared" si="0"/>
        <v>0</v>
      </c>
      <c r="H39" s="2">
        <f t="shared" si="3"/>
        <v>-34399</v>
      </c>
    </row>
    <row r="40" spans="1:12" ht="14.4" x14ac:dyDescent="0.3">
      <c r="A40" s="14">
        <v>31</v>
      </c>
      <c r="B40" s="98">
        <f t="shared" si="4"/>
        <v>46143</v>
      </c>
      <c r="C40" s="1"/>
      <c r="D40" s="86">
        <f t="shared" si="1"/>
        <v>3714</v>
      </c>
      <c r="E40" s="1"/>
      <c r="F40" s="3">
        <f t="shared" si="2"/>
        <v>20362</v>
      </c>
      <c r="G40" s="6">
        <f t="shared" si="0"/>
        <v>0</v>
      </c>
      <c r="H40" s="2">
        <f t="shared" si="3"/>
        <v>-34399</v>
      </c>
    </row>
    <row r="41" spans="1:12" ht="14.4" x14ac:dyDescent="0.3">
      <c r="A41" s="14">
        <v>32</v>
      </c>
      <c r="B41" s="98">
        <f t="shared" si="4"/>
        <v>46150</v>
      </c>
      <c r="C41" s="1"/>
      <c r="D41" s="86">
        <f t="shared" si="1"/>
        <v>3714</v>
      </c>
      <c r="E41" s="1"/>
      <c r="F41" s="3">
        <f t="shared" si="2"/>
        <v>20362</v>
      </c>
      <c r="G41" s="6">
        <f t="shared" si="0"/>
        <v>0</v>
      </c>
      <c r="H41" s="2">
        <f t="shared" si="3"/>
        <v>-34399</v>
      </c>
    </row>
    <row r="42" spans="1:12" ht="14.4" x14ac:dyDescent="0.3">
      <c r="A42" s="14">
        <v>33</v>
      </c>
      <c r="B42" s="98">
        <f t="shared" si="4"/>
        <v>46157</v>
      </c>
      <c r="C42" s="1"/>
      <c r="D42" s="86">
        <f t="shared" si="1"/>
        <v>3714</v>
      </c>
      <c r="E42" s="1"/>
      <c r="F42" s="3">
        <f t="shared" si="2"/>
        <v>20362</v>
      </c>
      <c r="G42" s="6">
        <f t="shared" si="0"/>
        <v>0</v>
      </c>
      <c r="H42" s="2">
        <f t="shared" si="3"/>
        <v>-34399</v>
      </c>
    </row>
    <row r="43" spans="1:12" ht="14.4" x14ac:dyDescent="0.3">
      <c r="A43" s="14">
        <v>34</v>
      </c>
      <c r="B43" s="98">
        <f t="shared" si="4"/>
        <v>46164</v>
      </c>
      <c r="C43" s="1"/>
      <c r="D43" s="86">
        <f t="shared" si="1"/>
        <v>3714</v>
      </c>
      <c r="E43" s="1"/>
      <c r="F43" s="3">
        <f t="shared" si="2"/>
        <v>20362</v>
      </c>
      <c r="G43" s="6">
        <f t="shared" si="0"/>
        <v>0</v>
      </c>
      <c r="H43" s="2">
        <f t="shared" si="3"/>
        <v>-34399</v>
      </c>
    </row>
    <row r="44" spans="1:12" ht="14.4" x14ac:dyDescent="0.3">
      <c r="A44" s="14">
        <v>35</v>
      </c>
      <c r="B44" s="98">
        <f t="shared" si="4"/>
        <v>46171</v>
      </c>
      <c r="C44" s="1"/>
      <c r="D44" s="86">
        <f t="shared" si="1"/>
        <v>3714</v>
      </c>
      <c r="E44" s="1"/>
      <c r="F44" s="3">
        <f t="shared" si="2"/>
        <v>20362</v>
      </c>
      <c r="G44" s="6">
        <f t="shared" si="0"/>
        <v>0</v>
      </c>
      <c r="H44" s="2">
        <f t="shared" si="3"/>
        <v>-34399</v>
      </c>
    </row>
    <row r="45" spans="1:12" ht="14.4" x14ac:dyDescent="0.3">
      <c r="A45" s="14">
        <v>36</v>
      </c>
      <c r="B45" s="98">
        <f t="shared" si="4"/>
        <v>46178</v>
      </c>
      <c r="C45" s="1"/>
      <c r="D45" s="86">
        <f t="shared" si="1"/>
        <v>3714</v>
      </c>
      <c r="E45" s="1"/>
      <c r="F45" s="3">
        <f t="shared" si="2"/>
        <v>20362</v>
      </c>
      <c r="G45" s="6">
        <f t="shared" si="0"/>
        <v>0</v>
      </c>
      <c r="H45" s="2">
        <f t="shared" si="3"/>
        <v>-34399</v>
      </c>
      <c r="L45" s="104"/>
    </row>
    <row r="46" spans="1:12" ht="14.4" x14ac:dyDescent="0.3">
      <c r="A46" s="14">
        <v>37</v>
      </c>
      <c r="B46" s="98">
        <f t="shared" si="4"/>
        <v>46185</v>
      </c>
      <c r="C46" s="1"/>
      <c r="D46" s="86">
        <f t="shared" si="1"/>
        <v>3714</v>
      </c>
      <c r="E46" s="1"/>
      <c r="F46" s="3">
        <f t="shared" si="2"/>
        <v>20362</v>
      </c>
      <c r="G46" s="6">
        <f t="shared" si="0"/>
        <v>0</v>
      </c>
      <c r="H46" s="2">
        <f t="shared" si="3"/>
        <v>-34399</v>
      </c>
    </row>
    <row r="47" spans="1:12" ht="14.4" x14ac:dyDescent="0.3">
      <c r="A47" s="14">
        <v>38</v>
      </c>
      <c r="B47" s="98">
        <f t="shared" si="4"/>
        <v>46192</v>
      </c>
      <c r="C47" s="1"/>
      <c r="D47" s="86">
        <f t="shared" si="1"/>
        <v>3714</v>
      </c>
      <c r="E47" s="1"/>
      <c r="F47" s="3">
        <f t="shared" si="2"/>
        <v>20362</v>
      </c>
      <c r="G47" s="6">
        <f t="shared" si="0"/>
        <v>0</v>
      </c>
      <c r="H47" s="2">
        <f t="shared" si="3"/>
        <v>-34399</v>
      </c>
    </row>
    <row r="48" spans="1:12" ht="14.4" x14ac:dyDescent="0.3">
      <c r="A48" s="14">
        <v>39</v>
      </c>
      <c r="B48" s="98">
        <f t="shared" si="4"/>
        <v>46199</v>
      </c>
      <c r="C48" s="1"/>
      <c r="D48" s="86">
        <f t="shared" si="1"/>
        <v>3714</v>
      </c>
      <c r="E48" s="1"/>
      <c r="F48" s="3">
        <f t="shared" si="2"/>
        <v>20362</v>
      </c>
      <c r="G48" s="6">
        <f t="shared" si="0"/>
        <v>0</v>
      </c>
      <c r="H48" s="2">
        <f t="shared" si="3"/>
        <v>-34399</v>
      </c>
      <c r="K48" s="12"/>
    </row>
    <row r="49" spans="1:8" ht="14.4" x14ac:dyDescent="0.3">
      <c r="A49" s="14">
        <v>40</v>
      </c>
      <c r="B49" s="98">
        <f t="shared" si="4"/>
        <v>46206</v>
      </c>
      <c r="C49" s="1"/>
      <c r="D49" s="86">
        <f t="shared" si="1"/>
        <v>3714</v>
      </c>
      <c r="E49" s="1"/>
      <c r="F49" s="3">
        <f t="shared" si="2"/>
        <v>20362</v>
      </c>
      <c r="G49" s="6">
        <f t="shared" si="0"/>
        <v>0</v>
      </c>
      <c r="H49" s="2">
        <f t="shared" si="3"/>
        <v>-34399</v>
      </c>
    </row>
    <row r="50" spans="1:8" ht="14.4" x14ac:dyDescent="0.3">
      <c r="A50" s="14">
        <v>41</v>
      </c>
      <c r="B50" s="98">
        <f t="shared" si="4"/>
        <v>46213</v>
      </c>
      <c r="C50" s="1"/>
      <c r="D50" s="86">
        <f t="shared" si="1"/>
        <v>3714</v>
      </c>
      <c r="E50" s="1"/>
      <c r="F50" s="3">
        <f t="shared" si="2"/>
        <v>20362</v>
      </c>
      <c r="G50" s="6">
        <f t="shared" si="0"/>
        <v>0</v>
      </c>
      <c r="H50" s="2">
        <f t="shared" si="3"/>
        <v>-34399</v>
      </c>
    </row>
    <row r="51" spans="1:8" ht="14.4" x14ac:dyDescent="0.3">
      <c r="A51" s="14">
        <v>42</v>
      </c>
      <c r="B51" s="98">
        <f t="shared" si="4"/>
        <v>46220</v>
      </c>
      <c r="C51" s="1"/>
      <c r="D51" s="86">
        <f t="shared" si="1"/>
        <v>3714</v>
      </c>
      <c r="E51" s="1"/>
      <c r="F51" s="3">
        <f t="shared" si="2"/>
        <v>20362</v>
      </c>
      <c r="G51" s="6">
        <f t="shared" si="0"/>
        <v>0</v>
      </c>
      <c r="H51" s="2">
        <f t="shared" si="3"/>
        <v>-34399</v>
      </c>
    </row>
    <row r="52" spans="1:8" ht="14.4" x14ac:dyDescent="0.3">
      <c r="A52" s="14">
        <v>43</v>
      </c>
      <c r="B52" s="98">
        <f t="shared" si="4"/>
        <v>46227</v>
      </c>
      <c r="C52" s="1"/>
      <c r="D52" s="86">
        <f t="shared" si="1"/>
        <v>3714</v>
      </c>
      <c r="E52" s="1"/>
      <c r="F52" s="3">
        <f t="shared" si="2"/>
        <v>20362</v>
      </c>
      <c r="G52" s="6">
        <f t="shared" si="0"/>
        <v>0</v>
      </c>
      <c r="H52" s="2">
        <f t="shared" si="3"/>
        <v>-34399</v>
      </c>
    </row>
    <row r="53" spans="1:8" ht="14.4" x14ac:dyDescent="0.3">
      <c r="A53" s="14">
        <v>44</v>
      </c>
      <c r="B53" s="98">
        <f t="shared" si="4"/>
        <v>46234</v>
      </c>
      <c r="C53" s="1"/>
      <c r="D53" s="86">
        <f t="shared" si="1"/>
        <v>3714</v>
      </c>
      <c r="E53" s="1"/>
      <c r="F53" s="3">
        <f t="shared" si="2"/>
        <v>20362</v>
      </c>
      <c r="G53" s="6">
        <f t="shared" si="0"/>
        <v>0</v>
      </c>
      <c r="H53" s="2">
        <f t="shared" si="3"/>
        <v>-34399</v>
      </c>
    </row>
    <row r="54" spans="1:8" ht="14.4" x14ac:dyDescent="0.3">
      <c r="A54" s="14">
        <v>45</v>
      </c>
      <c r="B54" s="98">
        <f t="shared" si="4"/>
        <v>46241</v>
      </c>
      <c r="C54" s="1"/>
      <c r="D54" s="86">
        <f t="shared" si="1"/>
        <v>3714</v>
      </c>
      <c r="E54" s="1"/>
      <c r="F54" s="3">
        <f t="shared" si="2"/>
        <v>20362</v>
      </c>
      <c r="G54" s="6">
        <f t="shared" si="0"/>
        <v>0</v>
      </c>
      <c r="H54" s="2">
        <f t="shared" si="3"/>
        <v>-34399</v>
      </c>
    </row>
    <row r="55" spans="1:8" ht="14.4" x14ac:dyDescent="0.3">
      <c r="A55" s="14">
        <v>46</v>
      </c>
      <c r="B55" s="98">
        <f t="shared" si="4"/>
        <v>46248</v>
      </c>
      <c r="C55" s="1"/>
      <c r="D55" s="86">
        <f t="shared" si="1"/>
        <v>3714</v>
      </c>
      <c r="E55" s="1"/>
      <c r="F55" s="3">
        <f t="shared" si="2"/>
        <v>20362</v>
      </c>
      <c r="G55" s="6">
        <f t="shared" si="0"/>
        <v>0</v>
      </c>
      <c r="H55" s="2">
        <f t="shared" si="3"/>
        <v>-34399</v>
      </c>
    </row>
    <row r="56" spans="1:8" ht="14.4" x14ac:dyDescent="0.3">
      <c r="A56" s="14">
        <v>47</v>
      </c>
      <c r="B56" s="98">
        <f t="shared" si="4"/>
        <v>46255</v>
      </c>
      <c r="C56" s="1"/>
      <c r="D56" s="86">
        <f t="shared" si="1"/>
        <v>3714</v>
      </c>
      <c r="E56" s="1"/>
      <c r="F56" s="3">
        <f t="shared" si="2"/>
        <v>20362</v>
      </c>
      <c r="G56" s="6">
        <f t="shared" si="0"/>
        <v>0</v>
      </c>
      <c r="H56" s="2">
        <f t="shared" si="3"/>
        <v>-34399</v>
      </c>
    </row>
    <row r="57" spans="1:8" ht="14.4" x14ac:dyDescent="0.3">
      <c r="A57" s="14">
        <v>48</v>
      </c>
      <c r="B57" s="98">
        <f t="shared" si="4"/>
        <v>46262</v>
      </c>
      <c r="C57" s="1"/>
      <c r="D57" s="86">
        <f t="shared" si="1"/>
        <v>3714</v>
      </c>
      <c r="E57" s="1"/>
      <c r="F57" s="3">
        <f t="shared" si="2"/>
        <v>20362</v>
      </c>
      <c r="G57" s="6">
        <f t="shared" si="0"/>
        <v>0</v>
      </c>
      <c r="H57" s="2">
        <f t="shared" si="3"/>
        <v>-34399</v>
      </c>
    </row>
    <row r="58" spans="1:8" ht="14.4" x14ac:dyDescent="0.3">
      <c r="A58" s="14">
        <v>49</v>
      </c>
      <c r="B58" s="98">
        <f t="shared" si="4"/>
        <v>46269</v>
      </c>
      <c r="C58" s="1"/>
      <c r="D58" s="86">
        <f t="shared" si="1"/>
        <v>3714</v>
      </c>
      <c r="E58" s="1"/>
      <c r="F58" s="3">
        <f t="shared" si="2"/>
        <v>20362</v>
      </c>
      <c r="G58" s="6">
        <f t="shared" si="0"/>
        <v>0</v>
      </c>
      <c r="H58" s="2">
        <f t="shared" si="3"/>
        <v>-34399</v>
      </c>
    </row>
    <row r="59" spans="1:8" ht="14.4" x14ac:dyDescent="0.3">
      <c r="A59" s="14">
        <v>50</v>
      </c>
      <c r="B59" s="98">
        <f t="shared" si="4"/>
        <v>46276</v>
      </c>
      <c r="C59" s="1"/>
      <c r="D59" s="86">
        <f t="shared" si="1"/>
        <v>3714</v>
      </c>
      <c r="E59" s="1"/>
      <c r="F59" s="3">
        <f t="shared" si="2"/>
        <v>20362</v>
      </c>
      <c r="G59" s="6">
        <f t="shared" si="0"/>
        <v>0</v>
      </c>
      <c r="H59" s="2">
        <f t="shared" si="3"/>
        <v>-34399</v>
      </c>
    </row>
    <row r="60" spans="1:8" ht="14.4" x14ac:dyDescent="0.3">
      <c r="A60" s="14">
        <v>51</v>
      </c>
      <c r="B60" s="98">
        <f t="shared" si="4"/>
        <v>46283</v>
      </c>
      <c r="C60" s="1"/>
      <c r="D60" s="86">
        <f t="shared" si="1"/>
        <v>3714</v>
      </c>
      <c r="E60" s="1"/>
      <c r="F60" s="3">
        <f t="shared" si="2"/>
        <v>20362</v>
      </c>
      <c r="G60" s="6">
        <f t="shared" si="0"/>
        <v>0</v>
      </c>
      <c r="H60" s="2">
        <f t="shared" si="3"/>
        <v>-34399</v>
      </c>
    </row>
    <row r="61" spans="1:8" ht="15" thickBot="1" x14ac:dyDescent="0.35">
      <c r="A61" s="103">
        <v>52</v>
      </c>
      <c r="B61" s="100">
        <f t="shared" si="4"/>
        <v>46290</v>
      </c>
      <c r="C61" s="58"/>
      <c r="D61" s="57">
        <f t="shared" si="1"/>
        <v>3714</v>
      </c>
      <c r="E61" s="58"/>
      <c r="F61" s="57">
        <f t="shared" si="2"/>
        <v>20362</v>
      </c>
      <c r="G61" s="57">
        <f t="shared" si="0"/>
        <v>0</v>
      </c>
      <c r="H61" s="57">
        <f t="shared" si="3"/>
        <v>-34399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5" ma:contentTypeDescription="Create a new document." ma:contentTypeScope="" ma:versionID="570f67d4ad5b37e35f6bbcf9d403cf33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c94b5db2c07894ef6efc1328a27feee3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Commodity" minOccurs="0"/>
                <xsd:element ref="ns2:TransferredtoMasterFile" minOccurs="0"/>
                <xsd:element ref="ns2:Raw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format="Dropdown" ma:indexed="true" ma:internalName="Division">
      <xsd:simpleType>
        <xsd:restriction base="dms:Choice">
          <xsd:enumeration value="Production"/>
          <xsd:enumeration value="Inputs"/>
          <xsd:enumeration value="Market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simpleType>
        <xsd:restriction base="dms:Choice">
          <xsd:enumeration value="SAGIS"/>
          <xsd:enumeration value="CEC"/>
          <xsd:enumeration value="IGC"/>
          <xsd:enumeration value="CEF"/>
          <xsd:enumeration value="AgFacts"/>
          <xsd:enumeration value="Industry"/>
          <xsd:enumeration value="Cn Chemicals"/>
          <xsd:enumeration value="Omnia"/>
          <xsd:enumeration value="JSE"/>
          <xsd:enumeration value="AFMA"/>
          <xsd:enumeration value="CBOT"/>
          <xsd:enumeration value="Oilworld"/>
          <xsd:enumeration value="USDA"/>
          <xsd:enumeration value="Seaboard"/>
          <xsd:enumeration value="Stats SA"/>
        </xsd:restriction>
      </xsd:simpleType>
    </xsd:element>
    <xsd:element name="Commodity" ma:index="14" nillable="true" ma:displayName="Commodity" ma:format="Dropdown" ma:internalName="Commodity">
      <xsd:simpleType>
        <xsd:union memberTypes="dms:Text">
          <xsd:simpleType>
            <xsd:restriction base="dms:Choice">
              <xsd:enumeration value="Maize/Corn"/>
              <xsd:enumeration value="Soybean"/>
              <xsd:enumeration value="Wheat"/>
              <xsd:enumeration value="Sorghum"/>
              <xsd:enumeration value="Soybean"/>
              <xsd:enumeration value="Sunflower"/>
            </xsd:restriction>
          </xsd:simpleType>
        </xsd:union>
      </xsd:simpleType>
    </xsd:element>
    <xsd:element name="TransferredtoMasterFile" ma:index="15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6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Commodity xmlns="65f53dc4-d250-4e55-bddf-148ce7e458c8" xsi:nil="true"/>
    <Source xmlns="65f53dc4-d250-4e55-bddf-148ce7e458c8">SAGIS</Source>
    <RetentionStatus xmlns="65f53dc4-d250-4e55-bddf-148ce7e458c8">Active</RetentionStatus>
    <TransferredtoMasterFile xmlns="65f53dc4-d250-4e55-bddf-148ce7e458c8" xsi:nil="true"/>
    <Rawdata xmlns="65f53dc4-d250-4e55-bddf-148ce7e458c8" xsi:nil="true"/>
  </documentManagement>
</p:properties>
</file>

<file path=customXml/itemProps1.xml><?xml version="1.0" encoding="utf-8"?>
<ds:datastoreItem xmlns:ds="http://schemas.openxmlformats.org/officeDocument/2006/customXml" ds:itemID="{7857EDC6-40A7-4278-A9F7-9A66257E18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0D083-0045-41FE-9D37-C9B78287D15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4C52316-D691-45F7-AAB9-0B84BFC4D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B35CE8B-4541-4CCC-9A83-AB3D0DFD623D}">
  <ds:schemaRefs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5f53dc4-d250-4e55-bddf-148ce7e458c8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Charts</vt:lpstr>
      </vt:variant>
      <vt:variant>
        <vt:i4>4</vt:i4>
      </vt:variant>
    </vt:vector>
  </HeadingPairs>
  <TitlesOfParts>
    <vt:vector size="15" baseType="lpstr">
      <vt:lpstr>Data 2017_18</vt:lpstr>
      <vt:lpstr>Data 2018_19</vt:lpstr>
      <vt:lpstr>Data 2019_20</vt:lpstr>
      <vt:lpstr>Data 2020_21</vt:lpstr>
      <vt:lpstr>Data 2021_22</vt:lpstr>
      <vt:lpstr>Data 2022_23</vt:lpstr>
      <vt:lpstr>Data 2023_24</vt:lpstr>
      <vt:lpstr>Data 2024_25</vt:lpstr>
      <vt:lpstr>Data 2025_26</vt:lpstr>
      <vt:lpstr>Land-Country data</vt:lpstr>
      <vt:lpstr>Import per harbour</vt:lpstr>
      <vt:lpstr>Invoere 4jr vgl</vt:lpstr>
      <vt:lpstr>Invoere 2024_25</vt:lpstr>
      <vt:lpstr>Uitvoere 2025_26</vt:lpstr>
      <vt:lpstr>In en uitvoere 2019_20</vt:lpstr>
    </vt:vector>
  </TitlesOfParts>
  <Company>Nampo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Nampo</dc:creator>
  <cp:lastModifiedBy>Luzelle Botha</cp:lastModifiedBy>
  <cp:lastPrinted>2023-01-11T08:17:17Z</cp:lastPrinted>
  <dcterms:created xsi:type="dcterms:W3CDTF">2003-10-06T13:55:36Z</dcterms:created>
  <dcterms:modified xsi:type="dcterms:W3CDTF">2025-10-16T14:27:07Z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11271600.0000000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</Properties>
</file>