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C458AFD6-BF76-4722-8177-92D6A3C726B0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3" r:id="rId10"/>
    <sheet name="Weekliks-Weekly" sheetId="34" r:id="rId11"/>
    <sheet name="Sheet1" sheetId="30" r:id="rId12"/>
    <sheet name="Cummulative exports" sheetId="31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bestem.'!$A$1:$U$96</definedName>
    <definedName name="_xlnm.Print_Area" localSheetId="8">'Imports from - Invoere vanaf '!$A$1:$G$24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4" i="8"/>
  <c r="P90" i="9"/>
  <c r="P61" i="9"/>
  <c r="P60" i="9"/>
  <c r="T10" i="9" s="1"/>
  <c r="P59" i="9"/>
  <c r="T11" i="9" s="1"/>
  <c r="P58" i="9"/>
  <c r="P57" i="9"/>
  <c r="P51" i="9"/>
  <c r="P14" i="9"/>
  <c r="S8" i="9" s="1"/>
  <c r="P13" i="9"/>
  <c r="S10" i="9" s="1"/>
  <c r="P12" i="9"/>
  <c r="P11" i="9"/>
  <c r="P10" i="9"/>
  <c r="S9" i="9" s="1"/>
  <c r="P9" i="9"/>
  <c r="P5" i="9"/>
  <c r="P4" i="9"/>
  <c r="C4" i="9" s="1"/>
  <c r="S11" i="9"/>
  <c r="T8" i="9"/>
  <c r="T9" i="9"/>
  <c r="P62" i="9"/>
  <c r="P85" i="9"/>
  <c r="P73" i="9"/>
  <c r="P94" i="9"/>
  <c r="A4" i="9"/>
  <c r="S18" i="9"/>
  <c r="T18" i="9" l="1"/>
  <c r="P53" i="9"/>
  <c r="T61" i="34"/>
  <c r="S61" i="34"/>
  <c r="J61" i="34"/>
  <c r="I61" i="34"/>
  <c r="T60" i="34"/>
  <c r="S60" i="34"/>
  <c r="J60" i="34"/>
  <c r="I60" i="34"/>
  <c r="T59" i="34"/>
  <c r="S59" i="34"/>
  <c r="J59" i="34"/>
  <c r="I59" i="34"/>
  <c r="F59" i="34"/>
  <c r="F60" i="34" s="1"/>
  <c r="F61" i="34" s="1"/>
  <c r="E59" i="34"/>
  <c r="U59" i="34" s="1"/>
  <c r="T58" i="34"/>
  <c r="S58" i="34"/>
  <c r="J58" i="34"/>
  <c r="I58" i="34"/>
  <c r="F58" i="34"/>
  <c r="E58" i="34"/>
  <c r="U58" i="34" s="1"/>
  <c r="T57" i="34"/>
  <c r="S57" i="34"/>
  <c r="J57" i="34"/>
  <c r="I57" i="34"/>
  <c r="F57" i="34"/>
  <c r="E57" i="34"/>
  <c r="U57" i="34" s="1"/>
  <c r="T56" i="34"/>
  <c r="S56" i="34"/>
  <c r="J56" i="34"/>
  <c r="I56" i="34"/>
  <c r="F56" i="34"/>
  <c r="E56" i="34"/>
  <c r="U56" i="34" s="1"/>
  <c r="T55" i="34"/>
  <c r="S55" i="34"/>
  <c r="J55" i="34"/>
  <c r="I55" i="34"/>
  <c r="F55" i="34"/>
  <c r="E55" i="34"/>
  <c r="U55" i="34" s="1"/>
  <c r="T54" i="34"/>
  <c r="S54" i="34"/>
  <c r="J54" i="34"/>
  <c r="I54" i="34"/>
  <c r="F54" i="34"/>
  <c r="E54" i="34"/>
  <c r="U54" i="34" s="1"/>
  <c r="T53" i="34"/>
  <c r="S53" i="34"/>
  <c r="J53" i="34"/>
  <c r="I53" i="34"/>
  <c r="F53" i="34"/>
  <c r="E53" i="34"/>
  <c r="U53" i="34" s="1"/>
  <c r="T52" i="34"/>
  <c r="S52" i="34"/>
  <c r="J52" i="34"/>
  <c r="I52" i="34"/>
  <c r="F52" i="34"/>
  <c r="E52" i="34"/>
  <c r="U52" i="34" s="1"/>
  <c r="T51" i="34"/>
  <c r="S51" i="34"/>
  <c r="J51" i="34"/>
  <c r="I51" i="34"/>
  <c r="F51" i="34"/>
  <c r="E51" i="34"/>
  <c r="T50" i="34"/>
  <c r="S50" i="34"/>
  <c r="J50" i="34"/>
  <c r="I50" i="34"/>
  <c r="F50" i="34"/>
  <c r="E50" i="34"/>
  <c r="U50" i="34" s="1"/>
  <c r="T49" i="34"/>
  <c r="S49" i="34"/>
  <c r="J49" i="34"/>
  <c r="I49" i="34"/>
  <c r="F49" i="34"/>
  <c r="E49" i="34"/>
  <c r="T48" i="34"/>
  <c r="S48" i="34"/>
  <c r="J48" i="34"/>
  <c r="I48" i="34"/>
  <c r="F48" i="34"/>
  <c r="E48" i="34"/>
  <c r="U48" i="34" s="1"/>
  <c r="T47" i="34"/>
  <c r="S47" i="34"/>
  <c r="J47" i="34"/>
  <c r="I47" i="34"/>
  <c r="F47" i="34"/>
  <c r="E47" i="34"/>
  <c r="T46" i="34"/>
  <c r="S46" i="34"/>
  <c r="J46" i="34"/>
  <c r="I46" i="34"/>
  <c r="F46" i="34"/>
  <c r="E46" i="34"/>
  <c r="U46" i="34" s="1"/>
  <c r="T45" i="34"/>
  <c r="S45" i="34"/>
  <c r="J45" i="34"/>
  <c r="I45" i="34"/>
  <c r="F45" i="34"/>
  <c r="E45" i="34"/>
  <c r="U45" i="34" s="1"/>
  <c r="T44" i="34"/>
  <c r="S44" i="34"/>
  <c r="J44" i="34"/>
  <c r="I44" i="34"/>
  <c r="F44" i="34"/>
  <c r="E44" i="34"/>
  <c r="U44" i="34" s="1"/>
  <c r="T43" i="34"/>
  <c r="S43" i="34"/>
  <c r="J43" i="34"/>
  <c r="I43" i="34"/>
  <c r="F43" i="34"/>
  <c r="E43" i="34"/>
  <c r="U43" i="34" s="1"/>
  <c r="T42" i="34"/>
  <c r="S42" i="34"/>
  <c r="J42" i="34"/>
  <c r="I42" i="34"/>
  <c r="F42" i="34"/>
  <c r="E42" i="34"/>
  <c r="U42" i="34" s="1"/>
  <c r="T41" i="34"/>
  <c r="S41" i="34"/>
  <c r="J41" i="34"/>
  <c r="I41" i="34"/>
  <c r="F41" i="34"/>
  <c r="E41" i="34"/>
  <c r="U41" i="34" s="1"/>
  <c r="T40" i="34"/>
  <c r="S40" i="34"/>
  <c r="J40" i="34"/>
  <c r="I40" i="34"/>
  <c r="F40" i="34"/>
  <c r="E40" i="34"/>
  <c r="U40" i="34" s="1"/>
  <c r="T39" i="34"/>
  <c r="S39" i="34"/>
  <c r="J39" i="34"/>
  <c r="I39" i="34"/>
  <c r="F39" i="34"/>
  <c r="E39" i="34"/>
  <c r="U39" i="34" s="1"/>
  <c r="T38" i="34"/>
  <c r="S38" i="34"/>
  <c r="J38" i="34"/>
  <c r="I38" i="34"/>
  <c r="F38" i="34"/>
  <c r="E38" i="34"/>
  <c r="U38" i="34" s="1"/>
  <c r="T37" i="34"/>
  <c r="S37" i="34"/>
  <c r="J37" i="34"/>
  <c r="I37" i="34"/>
  <c r="F37" i="34"/>
  <c r="E37" i="34"/>
  <c r="U37" i="34" s="1"/>
  <c r="T36" i="34"/>
  <c r="S36" i="34"/>
  <c r="J36" i="34"/>
  <c r="I36" i="34"/>
  <c r="F36" i="34"/>
  <c r="E36" i="34"/>
  <c r="U36" i="34" s="1"/>
  <c r="T35" i="34"/>
  <c r="S35" i="34"/>
  <c r="J35" i="34"/>
  <c r="I35" i="34"/>
  <c r="F35" i="34"/>
  <c r="E35" i="34"/>
  <c r="U35" i="34" s="1"/>
  <c r="T34" i="34"/>
  <c r="S34" i="34"/>
  <c r="J34" i="34"/>
  <c r="I34" i="34"/>
  <c r="F34" i="34"/>
  <c r="E34" i="34"/>
  <c r="U34" i="34" s="1"/>
  <c r="T33" i="34"/>
  <c r="S33" i="34"/>
  <c r="J33" i="34"/>
  <c r="I33" i="34"/>
  <c r="F33" i="34"/>
  <c r="E33" i="34"/>
  <c r="U33" i="34" s="1"/>
  <c r="T32" i="34"/>
  <c r="S32" i="34"/>
  <c r="J32" i="34"/>
  <c r="I32" i="34"/>
  <c r="F32" i="34"/>
  <c r="E32" i="34"/>
  <c r="U32" i="34" s="1"/>
  <c r="T31" i="34"/>
  <c r="S31" i="34"/>
  <c r="J31" i="34"/>
  <c r="I31" i="34"/>
  <c r="F31" i="34"/>
  <c r="E31" i="34"/>
  <c r="U31" i="34" s="1"/>
  <c r="T30" i="34"/>
  <c r="S30" i="34"/>
  <c r="J30" i="34"/>
  <c r="I30" i="34"/>
  <c r="F30" i="34"/>
  <c r="E30" i="34"/>
  <c r="U30" i="34" s="1"/>
  <c r="T29" i="34"/>
  <c r="S29" i="34"/>
  <c r="J29" i="34"/>
  <c r="I29" i="34"/>
  <c r="F29" i="34"/>
  <c r="E29" i="34"/>
  <c r="U29" i="34" s="1"/>
  <c r="U28" i="34"/>
  <c r="T28" i="34"/>
  <c r="J28" i="34"/>
  <c r="I28" i="34"/>
  <c r="F28" i="34"/>
  <c r="E28" i="34"/>
  <c r="T27" i="34"/>
  <c r="S27" i="34"/>
  <c r="J27" i="34"/>
  <c r="I27" i="34"/>
  <c r="F27" i="34"/>
  <c r="E27" i="34"/>
  <c r="U27" i="34" s="1"/>
  <c r="T26" i="34"/>
  <c r="S26" i="34"/>
  <c r="J26" i="34"/>
  <c r="I26" i="34"/>
  <c r="F26" i="34"/>
  <c r="E26" i="34"/>
  <c r="U26" i="34" s="1"/>
  <c r="U25" i="34"/>
  <c r="T25" i="34"/>
  <c r="S25" i="34"/>
  <c r="J25" i="34"/>
  <c r="I25" i="34"/>
  <c r="F25" i="34"/>
  <c r="E25" i="34"/>
  <c r="T24" i="34"/>
  <c r="S24" i="34"/>
  <c r="J24" i="34"/>
  <c r="I24" i="34"/>
  <c r="F24" i="34"/>
  <c r="E24" i="34"/>
  <c r="U24" i="34" s="1"/>
  <c r="T23" i="34"/>
  <c r="S23" i="34"/>
  <c r="J23" i="34"/>
  <c r="I23" i="34"/>
  <c r="F23" i="34"/>
  <c r="E23" i="34"/>
  <c r="U23" i="34" s="1"/>
  <c r="T22" i="34"/>
  <c r="S22" i="34"/>
  <c r="Q22" i="34"/>
  <c r="Q23" i="34" s="1"/>
  <c r="Q24" i="34" s="1"/>
  <c r="Q25" i="34" s="1"/>
  <c r="Q26" i="34" s="1"/>
  <c r="Q27" i="34" s="1"/>
  <c r="Q28" i="34" s="1"/>
  <c r="Q29" i="34" s="1"/>
  <c r="J22" i="34"/>
  <c r="I22" i="34"/>
  <c r="F22" i="34"/>
  <c r="E22" i="34"/>
  <c r="U22" i="34" s="1"/>
  <c r="U21" i="34"/>
  <c r="T21" i="34"/>
  <c r="S21" i="34"/>
  <c r="J21" i="34"/>
  <c r="I21" i="34"/>
  <c r="F21" i="34"/>
  <c r="E21" i="34"/>
  <c r="U20" i="34"/>
  <c r="T20" i="34"/>
  <c r="S20" i="34"/>
  <c r="J20" i="34"/>
  <c r="I20" i="34"/>
  <c r="F20" i="34"/>
  <c r="E20" i="34"/>
  <c r="T19" i="34"/>
  <c r="S19" i="34"/>
  <c r="R19" i="34"/>
  <c r="R20" i="34" s="1"/>
  <c r="R21" i="34" s="1"/>
  <c r="R22" i="34" s="1"/>
  <c r="R23" i="34" s="1"/>
  <c r="R24" i="34" s="1"/>
  <c r="R25" i="34" s="1"/>
  <c r="R26" i="34" s="1"/>
  <c r="R27" i="34" s="1"/>
  <c r="R28" i="34" s="1"/>
  <c r="R29" i="34" s="1"/>
  <c r="Q19" i="34"/>
  <c r="Q20" i="34" s="1"/>
  <c r="Q21" i="34" s="1"/>
  <c r="J19" i="34"/>
  <c r="I19" i="34"/>
  <c r="F19" i="34"/>
  <c r="E19" i="34"/>
  <c r="U19" i="34" s="1"/>
  <c r="T18" i="34"/>
  <c r="S18" i="34"/>
  <c r="Q18" i="34"/>
  <c r="J18" i="34"/>
  <c r="I18" i="34"/>
  <c r="F18" i="34"/>
  <c r="E18" i="34"/>
  <c r="U18" i="34" s="1"/>
  <c r="U17" i="34"/>
  <c r="T17" i="34"/>
  <c r="S17" i="34"/>
  <c r="R17" i="34"/>
  <c r="R18" i="34" s="1"/>
  <c r="Q17" i="34"/>
  <c r="J17" i="34"/>
  <c r="I17" i="34"/>
  <c r="F17" i="34"/>
  <c r="E17" i="34"/>
  <c r="U16" i="34"/>
  <c r="T16" i="34"/>
  <c r="S16" i="34"/>
  <c r="J16" i="34"/>
  <c r="I16" i="34"/>
  <c r="F16" i="34"/>
  <c r="E16" i="34"/>
  <c r="T15" i="34"/>
  <c r="S15" i="34"/>
  <c r="J15" i="34"/>
  <c r="I15" i="34"/>
  <c r="F15" i="34"/>
  <c r="E15" i="34"/>
  <c r="U15" i="34" s="1"/>
  <c r="U14" i="34"/>
  <c r="T14" i="34"/>
  <c r="S14" i="34"/>
  <c r="J14" i="34"/>
  <c r="I14" i="34"/>
  <c r="F14" i="34"/>
  <c r="E14" i="34"/>
  <c r="T13" i="34"/>
  <c r="S13" i="34"/>
  <c r="J13" i="34"/>
  <c r="I13" i="34"/>
  <c r="F13" i="34"/>
  <c r="E13" i="34"/>
  <c r="U13" i="34" s="1"/>
  <c r="T12" i="34"/>
  <c r="S12" i="34"/>
  <c r="J12" i="34"/>
  <c r="I12" i="34"/>
  <c r="F12" i="34"/>
  <c r="E12" i="34"/>
  <c r="T11" i="34"/>
  <c r="S11" i="34"/>
  <c r="J11" i="34"/>
  <c r="I11" i="34"/>
  <c r="F11" i="34"/>
  <c r="E11" i="34"/>
  <c r="T10" i="34"/>
  <c r="S10" i="34"/>
  <c r="J10" i="34"/>
  <c r="I10" i="34"/>
  <c r="F10" i="34"/>
  <c r="E10" i="34"/>
  <c r="B10" i="34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T9" i="34"/>
  <c r="S9" i="34"/>
  <c r="N9" i="34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37" i="34" s="1"/>
  <c r="N38" i="34" s="1"/>
  <c r="N39" i="34" s="1"/>
  <c r="N40" i="34" s="1"/>
  <c r="N41" i="34" s="1"/>
  <c r="N42" i="34" s="1"/>
  <c r="N43" i="34" s="1"/>
  <c r="N44" i="34" s="1"/>
  <c r="N45" i="34" s="1"/>
  <c r="N46" i="34" s="1"/>
  <c r="N47" i="34" s="1"/>
  <c r="N48" i="34" s="1"/>
  <c r="N49" i="34" s="1"/>
  <c r="N50" i="34" s="1"/>
  <c r="N51" i="34" s="1"/>
  <c r="N52" i="34" s="1"/>
  <c r="N53" i="34" s="1"/>
  <c r="N54" i="34" s="1"/>
  <c r="N55" i="34" s="1"/>
  <c r="N56" i="34" s="1"/>
  <c r="N57" i="34" s="1"/>
  <c r="N58" i="34" s="1"/>
  <c r="N59" i="34" s="1"/>
  <c r="N60" i="34" s="1"/>
  <c r="N61" i="34" s="1"/>
  <c r="M9" i="34"/>
  <c r="J9" i="34"/>
  <c r="I9" i="34"/>
  <c r="F9" i="34"/>
  <c r="E9" i="34"/>
  <c r="U9" i="34" s="1"/>
  <c r="O90" i="9"/>
  <c r="O61" i="9"/>
  <c r="O60" i="9"/>
  <c r="O59" i="9"/>
  <c r="O58" i="9"/>
  <c r="O57" i="9"/>
  <c r="O14" i="9"/>
  <c r="O13" i="9"/>
  <c r="O12" i="9"/>
  <c r="O11" i="9"/>
  <c r="O10" i="9"/>
  <c r="O9" i="9"/>
  <c r="T33" i="9" l="1"/>
  <c r="S33" i="9"/>
  <c r="P96" i="9"/>
  <c r="U10" i="34"/>
  <c r="U12" i="34"/>
  <c r="U11" i="34"/>
  <c r="V9" i="34"/>
  <c r="M10" i="34"/>
  <c r="U51" i="34"/>
  <c r="U49" i="34"/>
  <c r="U47" i="34"/>
  <c r="E60" i="34"/>
  <c r="E61" i="34" l="1"/>
  <c r="U61" i="34" s="1"/>
  <c r="U60" i="34"/>
  <c r="V10" i="34"/>
  <c r="M11" i="34"/>
  <c r="V11" i="34" l="1"/>
  <c r="M12" i="34"/>
  <c r="V12" i="34" l="1"/>
  <c r="M13" i="34"/>
  <c r="V13" i="34" l="1"/>
  <c r="M14" i="34"/>
  <c r="V14" i="34" l="1"/>
  <c r="M15" i="34"/>
  <c r="V15" i="34" l="1"/>
  <c r="M16" i="34"/>
  <c r="V16" i="34" l="1"/>
  <c r="M17" i="34"/>
  <c r="V17" i="34" l="1"/>
  <c r="M18" i="34"/>
  <c r="V18" i="34" l="1"/>
  <c r="M19" i="34"/>
  <c r="M20" i="34" l="1"/>
  <c r="V19" i="34"/>
  <c r="V20" i="34" l="1"/>
  <c r="M21" i="34"/>
  <c r="M22" i="34" l="1"/>
  <c r="V21" i="34"/>
  <c r="V22" i="34" l="1"/>
  <c r="M23" i="34"/>
  <c r="V23" i="34" l="1"/>
  <c r="M24" i="34"/>
  <c r="V24" i="34" l="1"/>
  <c r="M25" i="34"/>
  <c r="V25" i="34" l="1"/>
  <c r="M26" i="34"/>
  <c r="V26" i="34" l="1"/>
  <c r="M27" i="34"/>
  <c r="V27" i="34" l="1"/>
  <c r="M28" i="34"/>
  <c r="V28" i="34" l="1"/>
  <c r="M29" i="34"/>
  <c r="M30" i="34" l="1"/>
  <c r="V29" i="34"/>
  <c r="V30" i="34" l="1"/>
  <c r="M31" i="34"/>
  <c r="M32" i="34" l="1"/>
  <c r="V31" i="34"/>
  <c r="V32" i="34" l="1"/>
  <c r="M33" i="34"/>
  <c r="M34" i="34" l="1"/>
  <c r="V33" i="34"/>
  <c r="V34" i="34" l="1"/>
  <c r="M35" i="34"/>
  <c r="M36" i="34" l="1"/>
  <c r="V35" i="34"/>
  <c r="V36" i="34" l="1"/>
  <c r="M37" i="34"/>
  <c r="M38" i="34" l="1"/>
  <c r="V37" i="34"/>
  <c r="V38" i="34" l="1"/>
  <c r="M39" i="34"/>
  <c r="M40" i="34" l="1"/>
  <c r="V39" i="34"/>
  <c r="V40" i="34" l="1"/>
  <c r="M41" i="34"/>
  <c r="M42" i="34" l="1"/>
  <c r="V41" i="34"/>
  <c r="V42" i="34" l="1"/>
  <c r="M43" i="34"/>
  <c r="M44" i="34" l="1"/>
  <c r="V43" i="34"/>
  <c r="V44" i="34" l="1"/>
  <c r="M45" i="34"/>
  <c r="M46" i="34" l="1"/>
  <c r="V45" i="34"/>
  <c r="V46" i="34" l="1"/>
  <c r="M47" i="34"/>
  <c r="M48" i="34" l="1"/>
  <c r="V47" i="34"/>
  <c r="V48" i="34" l="1"/>
  <c r="M49" i="34"/>
  <c r="M50" i="34" l="1"/>
  <c r="V49" i="34"/>
  <c r="V50" i="34" l="1"/>
  <c r="M51" i="34"/>
  <c r="M52" i="34" l="1"/>
  <c r="V51" i="34"/>
  <c r="V52" i="34" l="1"/>
  <c r="M53" i="34"/>
  <c r="M54" i="34" l="1"/>
  <c r="V53" i="34"/>
  <c r="V54" i="34" l="1"/>
  <c r="M55" i="34"/>
  <c r="M56" i="34" l="1"/>
  <c r="V55" i="34"/>
  <c r="V56" i="34" l="1"/>
  <c r="M57" i="34"/>
  <c r="M58" i="34" l="1"/>
  <c r="V57" i="34"/>
  <c r="V58" i="34" l="1"/>
  <c r="M59" i="34"/>
  <c r="M60" i="34" l="1"/>
  <c r="V59" i="34"/>
  <c r="V60" i="34" l="1"/>
  <c r="M61" i="34"/>
  <c r="V61" i="34" s="1"/>
  <c r="O77" i="9" l="1"/>
  <c r="O87" i="9"/>
  <c r="N57" i="9" l="1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90" i="9"/>
  <c r="N61" i="9"/>
  <c r="N60" i="9"/>
  <c r="N59" i="9"/>
  <c r="N58" i="9"/>
  <c r="N14" i="9"/>
  <c r="N13" i="9"/>
  <c r="N12" i="9"/>
  <c r="N11" i="9"/>
  <c r="N10" i="9"/>
  <c r="N9" i="9"/>
  <c r="N87" i="9"/>
  <c r="N23" i="33" l="1"/>
  <c r="N24" i="33" s="1"/>
  <c r="O96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N27" i="33" l="1"/>
  <c r="N28" i="33" s="1"/>
  <c r="V11" i="33"/>
  <c r="M12" i="33"/>
  <c r="N64" i="9"/>
  <c r="N83" i="9"/>
  <c r="N79" i="9"/>
  <c r="N73" i="9"/>
  <c r="N26" i="9"/>
  <c r="N29" i="33" l="1"/>
  <c r="N30" i="33" s="1"/>
  <c r="N31" i="33" s="1"/>
  <c r="N32" i="33" s="1"/>
  <c r="V12" i="33"/>
  <c r="M13" i="33"/>
  <c r="N94" i="9"/>
  <c r="N63" i="9"/>
  <c r="N27" i="9"/>
  <c r="N62" i="9"/>
  <c r="N47" i="9"/>
  <c r="N33" i="33" l="1"/>
  <c r="V13" i="33"/>
  <c r="M14" i="33"/>
  <c r="N96" i="9"/>
  <c r="N34" i="33" l="1"/>
  <c r="N35" i="33" s="1"/>
  <c r="N36" i="33" s="1"/>
  <c r="V14" i="33"/>
  <c r="M15" i="33"/>
  <c r="M90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2" i="9"/>
  <c r="M35" i="9"/>
  <c r="M28" i="9"/>
  <c r="M27" i="9"/>
  <c r="M64" i="9"/>
  <c r="M88" i="9"/>
  <c r="M47" i="9"/>
  <c r="M46" i="9"/>
  <c r="M15" i="9"/>
  <c r="M63" i="9"/>
  <c r="M83" i="9"/>
  <c r="M65" i="9"/>
  <c r="M94" i="9"/>
  <c r="M44" i="9"/>
  <c r="M33" i="9"/>
  <c r="N37" i="33" l="1"/>
  <c r="N38" i="33" s="1"/>
  <c r="N39" i="33" s="1"/>
  <c r="V15" i="33"/>
  <c r="M16" i="33"/>
  <c r="N53" i="9"/>
  <c r="M53" i="9"/>
  <c r="N40" i="33" l="1"/>
  <c r="N41" i="33" s="1"/>
  <c r="N42" i="33" s="1"/>
  <c r="N43" i="33" s="1"/>
  <c r="N44" i="33" s="1"/>
  <c r="V16" i="33"/>
  <c r="M17" i="33"/>
  <c r="N45" i="33" l="1"/>
  <c r="N46" i="33" s="1"/>
  <c r="M18" i="33"/>
  <c r="V17" i="33"/>
  <c r="M96" i="9"/>
  <c r="L94" i="9"/>
  <c r="L65" i="9"/>
  <c r="L62" i="9"/>
  <c r="L61" i="9"/>
  <c r="L60" i="9"/>
  <c r="L59" i="9"/>
  <c r="L58" i="9"/>
  <c r="L57" i="9"/>
  <c r="L35" i="9"/>
  <c r="L16" i="9"/>
  <c r="L14" i="9"/>
  <c r="L13" i="9"/>
  <c r="L11" i="9"/>
  <c r="L10" i="9"/>
  <c r="L9" i="9"/>
  <c r="S35" i="9"/>
  <c r="L73" i="9"/>
  <c r="L63" i="9"/>
  <c r="B12" i="8"/>
  <c r="L83" i="9"/>
  <c r="I63" i="9"/>
  <c r="K63" i="9"/>
  <c r="L88" i="9"/>
  <c r="L70" i="9"/>
  <c r="L12" i="9"/>
  <c r="G54" i="30"/>
  <c r="N55" i="30"/>
  <c r="F55" i="30"/>
  <c r="E55" i="30"/>
  <c r="D55" i="30"/>
  <c r="C55" i="30"/>
  <c r="B55" i="30"/>
  <c r="I3" i="30"/>
  <c r="Q3" i="30"/>
  <c r="H3" i="30"/>
  <c r="H4" i="30" s="1"/>
  <c r="P3" i="30"/>
  <c r="T2" i="30"/>
  <c r="Q2" i="30"/>
  <c r="L2" i="30"/>
  <c r="L3" i="30" s="1"/>
  <c r="K2" i="30"/>
  <c r="S2" i="30" s="1"/>
  <c r="J2" i="30"/>
  <c r="R2" i="30" s="1"/>
  <c r="I2" i="30"/>
  <c r="H2" i="30"/>
  <c r="P2" i="30" s="1"/>
  <c r="G2" i="30"/>
  <c r="M2" i="30" s="1"/>
  <c r="U2" i="30" s="1"/>
  <c r="I4" i="30"/>
  <c r="Q4" i="30"/>
  <c r="I5" i="30"/>
  <c r="L90" i="9"/>
  <c r="L92" i="9"/>
  <c r="L89" i="9"/>
  <c r="K94" i="9"/>
  <c r="K90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90" i="9"/>
  <c r="J61" i="9"/>
  <c r="J60" i="9"/>
  <c r="J59" i="9"/>
  <c r="J58" i="9"/>
  <c r="J57" i="9"/>
  <c r="J73" i="9"/>
  <c r="J74" i="9"/>
  <c r="J65" i="9"/>
  <c r="I94" i="9"/>
  <c r="I92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4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90" i="9"/>
  <c r="H62" i="9"/>
  <c r="H70" i="9"/>
  <c r="H63" i="9"/>
  <c r="H27" i="9"/>
  <c r="H50" i="9"/>
  <c r="B8" i="8"/>
  <c r="B9" i="8"/>
  <c r="B10" i="8"/>
  <c r="B17" i="8"/>
  <c r="B18" i="8"/>
  <c r="B22" i="8"/>
  <c r="B20" i="8"/>
  <c r="B21" i="8"/>
  <c r="G90" i="9"/>
  <c r="G87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90" i="9"/>
  <c r="F95" i="9"/>
  <c r="F71" i="9"/>
  <c r="F72" i="9"/>
  <c r="D90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6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U64" i="9"/>
  <c r="T64" i="9"/>
  <c r="S64" i="9"/>
  <c r="E96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T55" i="9" l="1"/>
  <c r="T26" i="9"/>
  <c r="S26" i="9"/>
  <c r="H5" i="30"/>
  <c r="K3" i="30"/>
  <c r="T3" i="30"/>
  <c r="L4" i="30"/>
  <c r="P4" i="30"/>
  <c r="J3" i="30"/>
  <c r="Q5" i="30"/>
  <c r="I6" i="30"/>
  <c r="N2" i="30"/>
  <c r="V2" i="30" s="1"/>
  <c r="N47" i="33"/>
  <c r="N48" i="33" s="1"/>
  <c r="N49" i="33" s="1"/>
  <c r="N50" i="33" s="1"/>
  <c r="V18" i="33"/>
  <c r="M19" i="33"/>
  <c r="K53" i="9"/>
  <c r="C96" i="9"/>
  <c r="D53" i="9"/>
  <c r="I96" i="9"/>
  <c r="J96" i="9"/>
  <c r="I53" i="9"/>
  <c r="G96" i="9"/>
  <c r="J53" i="9"/>
  <c r="G53" i="9"/>
  <c r="H53" i="9"/>
  <c r="U33" i="9" s="1"/>
  <c r="U34" i="9" s="1"/>
  <c r="B97" i="9"/>
  <c r="D96" i="9"/>
  <c r="F53" i="9"/>
  <c r="F96" i="9"/>
  <c r="U53" i="9" s="1"/>
  <c r="U54" i="9" s="1"/>
  <c r="H96" i="9"/>
  <c r="T53" i="9" s="1"/>
  <c r="T54" i="9" s="1"/>
  <c r="K96" i="9"/>
  <c r="C53" i="9"/>
  <c r="E53" i="9"/>
  <c r="E97" i="9" s="1"/>
  <c r="M3" i="30"/>
  <c r="M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U9" i="9"/>
  <c r="E16" i="8"/>
  <c r="E15" i="8"/>
  <c r="E8" i="8"/>
  <c r="S17" i="9"/>
  <c r="S19" i="9" s="1"/>
  <c r="U67" i="9"/>
  <c r="U18" i="9"/>
  <c r="U35" i="9"/>
  <c r="T67" i="9"/>
  <c r="U55" i="9"/>
  <c r="S55" i="9"/>
  <c r="B24" i="8"/>
  <c r="E7" i="8"/>
  <c r="U8" i="9"/>
  <c r="T12" i="9"/>
  <c r="U11" i="9"/>
  <c r="T17" i="9"/>
  <c r="L96" i="9"/>
  <c r="L53" i="9"/>
  <c r="U10" i="9"/>
  <c r="S12" i="9"/>
  <c r="S67" i="9"/>
  <c r="T35" i="9"/>
  <c r="T56" i="9" l="1"/>
  <c r="T34" i="9"/>
  <c r="T36" i="9" s="1"/>
  <c r="K4" i="30"/>
  <c r="S3" i="30"/>
  <c r="J4" i="30"/>
  <c r="R3" i="30"/>
  <c r="N3" i="30"/>
  <c r="V3" i="30" s="1"/>
  <c r="L5" i="30"/>
  <c r="T4" i="30"/>
  <c r="Q6" i="30"/>
  <c r="I7" i="30"/>
  <c r="H6" i="30"/>
  <c r="P5" i="30"/>
  <c r="N51" i="33"/>
  <c r="N52" i="33" s="1"/>
  <c r="N53" i="33" s="1"/>
  <c r="N54" i="33" s="1"/>
  <c r="N55" i="33" s="1"/>
  <c r="S53" i="9"/>
  <c r="S54" i="9" s="1"/>
  <c r="S56" i="9" s="1"/>
  <c r="S27" i="9"/>
  <c r="T27" i="9"/>
  <c r="S34" i="9"/>
  <c r="S36" i="9" s="1"/>
  <c r="V19" i="33"/>
  <c r="M20" i="33"/>
  <c r="D97" i="9"/>
  <c r="K97" i="9"/>
  <c r="S65" i="9"/>
  <c r="S66" i="9" s="1"/>
  <c r="S68" i="9" s="1"/>
  <c r="I97" i="9"/>
  <c r="U36" i="9"/>
  <c r="C97" i="9"/>
  <c r="J97" i="9"/>
  <c r="G97" i="9"/>
  <c r="F97" i="9"/>
  <c r="U56" i="9"/>
  <c r="H97" i="9"/>
  <c r="U26" i="9" s="1"/>
  <c r="E9" i="8"/>
  <c r="U3" i="30"/>
  <c r="M5" i="30"/>
  <c r="U4" i="30"/>
  <c r="E17" i="8"/>
  <c r="T19" i="9"/>
  <c r="U19" i="9" s="1"/>
  <c r="U17" i="9"/>
  <c r="U12" i="9"/>
  <c r="T5" i="30" l="1"/>
  <c r="L6" i="30"/>
  <c r="R4" i="30"/>
  <c r="J5" i="30"/>
  <c r="N4" i="30"/>
  <c r="V4" i="30" s="1"/>
  <c r="H7" i="30"/>
  <c r="P6" i="30"/>
  <c r="Q7" i="30"/>
  <c r="I8" i="30"/>
  <c r="S4" i="30"/>
  <c r="K5" i="30"/>
  <c r="N56" i="33"/>
  <c r="U27" i="9"/>
  <c r="V20" i="33"/>
  <c r="M21" i="33"/>
  <c r="T65" i="9"/>
  <c r="T66" i="9" s="1"/>
  <c r="T68" i="9" s="1"/>
  <c r="M6" i="30"/>
  <c r="U5" i="30"/>
  <c r="U65" i="9" l="1"/>
  <c r="U66" i="9" s="1"/>
  <c r="U68" i="9" s="1"/>
  <c r="P7" i="30"/>
  <c r="H8" i="30"/>
  <c r="J6" i="30"/>
  <c r="R5" i="30"/>
  <c r="N5" i="30"/>
  <c r="V5" i="30" s="1"/>
  <c r="S5" i="30"/>
  <c r="K6" i="30"/>
  <c r="I9" i="30"/>
  <c r="Q8" i="30"/>
  <c r="L7" i="30"/>
  <c r="T6" i="30"/>
  <c r="N57" i="33"/>
  <c r="V21" i="33"/>
  <c r="M22" i="33"/>
  <c r="U6" i="30"/>
  <c r="M7" i="30"/>
  <c r="S6" i="30" l="1"/>
  <c r="K7" i="30"/>
  <c r="R6" i="30"/>
  <c r="J7" i="30"/>
  <c r="N6" i="30"/>
  <c r="V6" i="30" s="1"/>
  <c r="T7" i="30"/>
  <c r="L8" i="30"/>
  <c r="H9" i="30"/>
  <c r="P8" i="30"/>
  <c r="Q9" i="30"/>
  <c r="I10" i="30"/>
  <c r="N58" i="33"/>
  <c r="V22" i="33"/>
  <c r="M23" i="33"/>
  <c r="M8" i="30"/>
  <c r="U7" i="30"/>
  <c r="P9" i="30" l="1"/>
  <c r="H10" i="30"/>
  <c r="J8" i="30"/>
  <c r="R7" i="30"/>
  <c r="N7" i="30"/>
  <c r="V7" i="30" s="1"/>
  <c r="L9" i="30"/>
  <c r="T8" i="30"/>
  <c r="Q10" i="30"/>
  <c r="I11" i="30"/>
  <c r="S7" i="30"/>
  <c r="K8" i="30"/>
  <c r="N59" i="33"/>
  <c r="V23" i="33"/>
  <c r="M24" i="33"/>
  <c r="U8" i="30"/>
  <c r="M9" i="30"/>
  <c r="S8" i="30" l="1"/>
  <c r="K9" i="30"/>
  <c r="T9" i="30"/>
  <c r="L10" i="30"/>
  <c r="R8" i="30"/>
  <c r="J9" i="30"/>
  <c r="N8" i="30"/>
  <c r="V8" i="30" s="1"/>
  <c r="Q11" i="30"/>
  <c r="I12" i="30"/>
  <c r="H11" i="30"/>
  <c r="P10" i="30"/>
  <c r="N60" i="33"/>
  <c r="N61" i="33" s="1"/>
  <c r="V24" i="33"/>
  <c r="M25" i="33"/>
  <c r="M10" i="30"/>
  <c r="U9" i="30"/>
  <c r="P11" i="30" l="1"/>
  <c r="H12" i="30"/>
  <c r="J10" i="30"/>
  <c r="R9" i="30"/>
  <c r="N9" i="30"/>
  <c r="V9" i="30" s="1"/>
  <c r="L11" i="30"/>
  <c r="T10" i="30"/>
  <c r="S9" i="30"/>
  <c r="K10" i="30"/>
  <c r="Q12" i="30"/>
  <c r="I13" i="30"/>
  <c r="V25" i="33"/>
  <c r="M26" i="33"/>
  <c r="M11" i="30"/>
  <c r="U10" i="30"/>
  <c r="Q13" i="30" l="1"/>
  <c r="I14" i="30"/>
  <c r="J11" i="30"/>
  <c r="R10" i="30"/>
  <c r="N10" i="30"/>
  <c r="V10" i="30" s="1"/>
  <c r="S10" i="30"/>
  <c r="K11" i="30"/>
  <c r="T11" i="30"/>
  <c r="L12" i="30"/>
  <c r="H13" i="30"/>
  <c r="P12" i="30"/>
  <c r="V26" i="33"/>
  <c r="M27" i="33"/>
  <c r="U11" i="30"/>
  <c r="M12" i="30"/>
  <c r="J12" i="30" l="1"/>
  <c r="R11" i="30"/>
  <c r="N11" i="30"/>
  <c r="V11" i="30" s="1"/>
  <c r="S11" i="30"/>
  <c r="K12" i="30"/>
  <c r="P13" i="30"/>
  <c r="H14" i="30"/>
  <c r="Q14" i="30"/>
  <c r="I15" i="30"/>
  <c r="L13" i="30"/>
  <c r="T12" i="30"/>
  <c r="V27" i="33"/>
  <c r="M28" i="33"/>
  <c r="U12" i="30"/>
  <c r="M13" i="30"/>
  <c r="H15" i="30" l="1"/>
  <c r="P14" i="30"/>
  <c r="S12" i="30"/>
  <c r="K13" i="30"/>
  <c r="T13" i="30"/>
  <c r="L14" i="30"/>
  <c r="Q15" i="30"/>
  <c r="I16" i="30"/>
  <c r="J13" i="30"/>
  <c r="R12" i="30"/>
  <c r="N12" i="30"/>
  <c r="V12" i="30" s="1"/>
  <c r="M29" i="33"/>
  <c r="V28" i="33"/>
  <c r="M14" i="30"/>
  <c r="U13" i="30"/>
  <c r="L15" i="30" l="1"/>
  <c r="T14" i="30"/>
  <c r="S13" i="30"/>
  <c r="K14" i="30"/>
  <c r="J14" i="30"/>
  <c r="R13" i="30"/>
  <c r="N13" i="30"/>
  <c r="V13" i="30" s="1"/>
  <c r="Q16" i="30"/>
  <c r="I17" i="30"/>
  <c r="P15" i="30"/>
  <c r="H16" i="30"/>
  <c r="M30" i="33"/>
  <c r="V29" i="33"/>
  <c r="U14" i="30"/>
  <c r="M15" i="30"/>
  <c r="R14" i="30" l="1"/>
  <c r="J15" i="30"/>
  <c r="N14" i="30"/>
  <c r="V14" i="30" s="1"/>
  <c r="S14" i="30"/>
  <c r="K15" i="30"/>
  <c r="H17" i="30"/>
  <c r="P16" i="30"/>
  <c r="Q17" i="30"/>
  <c r="I18" i="30"/>
  <c r="T15" i="30"/>
  <c r="L16" i="30"/>
  <c r="V30" i="33"/>
  <c r="M31" i="33"/>
  <c r="U15" i="30"/>
  <c r="M16" i="30"/>
  <c r="I19" i="30" l="1"/>
  <c r="Q18" i="30"/>
  <c r="J16" i="30"/>
  <c r="R15" i="30"/>
  <c r="N15" i="30"/>
  <c r="V15" i="30" s="1"/>
  <c r="H18" i="30"/>
  <c r="P17" i="30"/>
  <c r="S15" i="30"/>
  <c r="K16" i="30"/>
  <c r="T16" i="30"/>
  <c r="L17" i="30"/>
  <c r="M32" i="33"/>
  <c r="V31" i="33"/>
  <c r="U16" i="30"/>
  <c r="M17" i="30"/>
  <c r="K17" i="30" l="1"/>
  <c r="S16" i="30"/>
  <c r="P18" i="30"/>
  <c r="H19" i="30"/>
  <c r="L18" i="30"/>
  <c r="T17" i="30"/>
  <c r="R16" i="30"/>
  <c r="J17" i="30"/>
  <c r="N16" i="30"/>
  <c r="V16" i="30" s="1"/>
  <c r="Q19" i="30"/>
  <c r="I20" i="30"/>
  <c r="V32" i="33"/>
  <c r="M33" i="33"/>
  <c r="M18" i="30"/>
  <c r="U17" i="30"/>
  <c r="Q20" i="30" l="1"/>
  <c r="I21" i="30"/>
  <c r="P19" i="30"/>
  <c r="H20" i="30"/>
  <c r="L19" i="30"/>
  <c r="T18" i="30"/>
  <c r="R17" i="30"/>
  <c r="J18" i="30"/>
  <c r="N17" i="30"/>
  <c r="V17" i="30" s="1"/>
  <c r="K18" i="30"/>
  <c r="S17" i="30"/>
  <c r="M34" i="33"/>
  <c r="V33" i="33"/>
  <c r="U18" i="30"/>
  <c r="M19" i="30"/>
  <c r="P20" i="30" l="1"/>
  <c r="H21" i="30"/>
  <c r="S18" i="30"/>
  <c r="K19" i="30"/>
  <c r="Q21" i="30"/>
  <c r="I22" i="30"/>
  <c r="L20" i="30"/>
  <c r="T19" i="30"/>
  <c r="R18" i="30"/>
  <c r="J19" i="30"/>
  <c r="N18" i="30"/>
  <c r="V18" i="30" s="1"/>
  <c r="V34" i="33"/>
  <c r="M35" i="33"/>
  <c r="U19" i="30"/>
  <c r="M20" i="30"/>
  <c r="I23" i="30" l="1"/>
  <c r="Q22" i="30"/>
  <c r="K20" i="30"/>
  <c r="S19" i="30"/>
  <c r="J20" i="30"/>
  <c r="R19" i="30"/>
  <c r="N19" i="30"/>
  <c r="V19" i="30" s="1"/>
  <c r="T20" i="30"/>
  <c r="L21" i="30"/>
  <c r="H22" i="30"/>
  <c r="P21" i="30"/>
  <c r="M36" i="33"/>
  <c r="V35" i="33"/>
  <c r="U20" i="30"/>
  <c r="M21" i="30"/>
  <c r="R20" i="30" l="1"/>
  <c r="J21" i="30"/>
  <c r="N20" i="30"/>
  <c r="V20" i="30" s="1"/>
  <c r="S20" i="30"/>
  <c r="K21" i="30"/>
  <c r="H23" i="30"/>
  <c r="P22" i="30"/>
  <c r="L22" i="30"/>
  <c r="T21" i="30"/>
  <c r="Q23" i="30"/>
  <c r="I24" i="30"/>
  <c r="V36" i="33"/>
  <c r="M37" i="33"/>
  <c r="M22" i="30"/>
  <c r="U21" i="30"/>
  <c r="S21" i="30" l="1"/>
  <c r="K22" i="30"/>
  <c r="Q24" i="30"/>
  <c r="I25" i="30"/>
  <c r="H24" i="30"/>
  <c r="P23" i="30"/>
  <c r="J22" i="30"/>
  <c r="R21" i="30"/>
  <c r="N21" i="30"/>
  <c r="V21" i="30" s="1"/>
  <c r="L23" i="30"/>
  <c r="T22" i="30"/>
  <c r="M38" i="33"/>
  <c r="V37" i="33"/>
  <c r="U22" i="30"/>
  <c r="M23" i="30"/>
  <c r="R22" i="30" l="1"/>
  <c r="J23" i="30"/>
  <c r="N22" i="30"/>
  <c r="V22" i="30" s="1"/>
  <c r="P24" i="30"/>
  <c r="H25" i="30"/>
  <c r="Q25" i="30"/>
  <c r="I26" i="30"/>
  <c r="L24" i="30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T23" i="30"/>
  <c r="S22" i="30"/>
  <c r="K23" i="30"/>
  <c r="V38" i="33"/>
  <c r="M39" i="33"/>
  <c r="U23" i="30"/>
  <c r="M24" i="30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M35" i="30" s="1"/>
  <c r="M36" i="30" s="1"/>
  <c r="M37" i="30" s="1"/>
  <c r="M38" i="30" s="1"/>
  <c r="M39" i="30" s="1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Q26" i="30" l="1"/>
  <c r="I27" i="30"/>
  <c r="P25" i="30"/>
  <c r="H26" i="30"/>
  <c r="S23" i="30"/>
  <c r="K24" i="30"/>
  <c r="K25" i="30" s="1"/>
  <c r="K26" i="30" s="1"/>
  <c r="K27" i="30" s="1"/>
  <c r="K28" i="30" s="1"/>
  <c r="K29" i="30" s="1"/>
  <c r="K30" i="30" s="1"/>
  <c r="K31" i="30" s="1"/>
  <c r="K32" i="30" s="1"/>
  <c r="K33" i="30" s="1"/>
  <c r="K34" i="30" s="1"/>
  <c r="K35" i="30" s="1"/>
  <c r="K36" i="30" s="1"/>
  <c r="K37" i="30" s="1"/>
  <c r="K38" i="30" s="1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R23" i="30"/>
  <c r="J24" i="30"/>
  <c r="N23" i="30"/>
  <c r="V23" i="30" s="1"/>
  <c r="M40" i="33"/>
  <c r="V39" i="33"/>
  <c r="P26" i="30" l="1"/>
  <c r="H27" i="30"/>
  <c r="I28" i="30"/>
  <c r="Q27" i="30"/>
  <c r="J25" i="30"/>
  <c r="N24" i="30"/>
  <c r="V40" i="33"/>
  <c r="M41" i="33"/>
  <c r="J26" i="30" l="1"/>
  <c r="N25" i="30"/>
  <c r="I29" i="30"/>
  <c r="Q28" i="30"/>
  <c r="P27" i="30"/>
  <c r="H28" i="30"/>
  <c r="M42" i="33"/>
  <c r="V41" i="33"/>
  <c r="H29" i="30" l="1"/>
  <c r="P28" i="30"/>
  <c r="I30" i="30"/>
  <c r="Q29" i="30"/>
  <c r="J27" i="30"/>
  <c r="N26" i="30"/>
  <c r="V42" i="33"/>
  <c r="M43" i="33"/>
  <c r="J28" i="30" l="1"/>
  <c r="N27" i="30"/>
  <c r="I31" i="30"/>
  <c r="Q30" i="30"/>
  <c r="H30" i="30"/>
  <c r="P29" i="30"/>
  <c r="M44" i="33"/>
  <c r="V43" i="33"/>
  <c r="H31" i="30" l="1"/>
  <c r="P30" i="30"/>
  <c r="I32" i="30"/>
  <c r="Q31" i="30"/>
  <c r="J29" i="30"/>
  <c r="N28" i="30"/>
  <c r="V44" i="33"/>
  <c r="M45" i="33"/>
  <c r="J30" i="30" l="1"/>
  <c r="N29" i="30"/>
  <c r="I33" i="30"/>
  <c r="Q32" i="30"/>
  <c r="H32" i="30"/>
  <c r="P31" i="30"/>
  <c r="M46" i="33"/>
  <c r="V45" i="33"/>
  <c r="H33" i="30" l="1"/>
  <c r="P32" i="30"/>
  <c r="I34" i="30"/>
  <c r="Q33" i="30"/>
  <c r="J31" i="30"/>
  <c r="N30" i="30"/>
  <c r="V46" i="33"/>
  <c r="M47" i="33"/>
  <c r="J32" i="30" l="1"/>
  <c r="N31" i="30"/>
  <c r="I35" i="30"/>
  <c r="Q34" i="30"/>
  <c r="H34" i="30"/>
  <c r="P33" i="30"/>
  <c r="M48" i="33"/>
  <c r="V47" i="33"/>
  <c r="H35" i="30" l="1"/>
  <c r="P34" i="30"/>
  <c r="I36" i="30"/>
  <c r="Q35" i="30"/>
  <c r="J33" i="30"/>
  <c r="N32" i="30"/>
  <c r="V48" i="33"/>
  <c r="M49" i="33"/>
  <c r="J34" i="30" l="1"/>
  <c r="N33" i="30"/>
  <c r="I37" i="30"/>
  <c r="Q36" i="30"/>
  <c r="H36" i="30"/>
  <c r="P35" i="30"/>
  <c r="M50" i="33"/>
  <c r="V49" i="33"/>
  <c r="I38" i="30" l="1"/>
  <c r="Q37" i="30"/>
  <c r="H37" i="30"/>
  <c r="P36" i="30"/>
  <c r="J35" i="30"/>
  <c r="N34" i="30"/>
  <c r="V50" i="33"/>
  <c r="M51" i="33"/>
  <c r="H38" i="30" l="1"/>
  <c r="P37" i="30"/>
  <c r="J36" i="30"/>
  <c r="N35" i="30"/>
  <c r="I39" i="30"/>
  <c r="Q38" i="30"/>
  <c r="M52" i="33"/>
  <c r="V51" i="33"/>
  <c r="I40" i="30" l="1"/>
  <c r="Q39" i="30"/>
  <c r="J37" i="30"/>
  <c r="N36" i="30"/>
  <c r="H39" i="30"/>
  <c r="P38" i="30"/>
  <c r="V52" i="33"/>
  <c r="M53" i="33"/>
  <c r="H40" i="30" l="1"/>
  <c r="P39" i="30"/>
  <c r="J38" i="30"/>
  <c r="N37" i="30"/>
  <c r="I41" i="30"/>
  <c r="Q40" i="30"/>
  <c r="M54" i="33"/>
  <c r="V53" i="33"/>
  <c r="I42" i="30" l="1"/>
  <c r="Q41" i="30"/>
  <c r="J39" i="30"/>
  <c r="N38" i="30"/>
  <c r="H41" i="30"/>
  <c r="P40" i="30"/>
  <c r="V54" i="33"/>
  <c r="M55" i="33"/>
  <c r="H42" i="30" l="1"/>
  <c r="P41" i="30"/>
  <c r="J40" i="30"/>
  <c r="N39" i="30"/>
  <c r="I43" i="30"/>
  <c r="Q42" i="30"/>
  <c r="M56" i="33"/>
  <c r="V55" i="33"/>
  <c r="J41" i="30" l="1"/>
  <c r="N40" i="30"/>
  <c r="I44" i="30"/>
  <c r="Q43" i="30"/>
  <c r="H43" i="30"/>
  <c r="P42" i="30"/>
  <c r="V56" i="33"/>
  <c r="M57" i="33"/>
  <c r="H44" i="30" l="1"/>
  <c r="P43" i="30"/>
  <c r="I45" i="30"/>
  <c r="Q44" i="30"/>
  <c r="J42" i="30"/>
  <c r="N41" i="30"/>
  <c r="M58" i="33"/>
  <c r="V57" i="33"/>
  <c r="J43" i="30" l="1"/>
  <c r="N42" i="30"/>
  <c r="I46" i="30"/>
  <c r="Q45" i="30"/>
  <c r="H45" i="30"/>
  <c r="P44" i="30"/>
  <c r="V58" i="33"/>
  <c r="M59" i="33"/>
  <c r="H46" i="30" l="1"/>
  <c r="P45" i="30"/>
  <c r="I47" i="30"/>
  <c r="Q46" i="30"/>
  <c r="J44" i="30"/>
  <c r="N43" i="30"/>
  <c r="M60" i="33"/>
  <c r="V59" i="33"/>
  <c r="J45" i="30" l="1"/>
  <c r="N44" i="30"/>
  <c r="I48" i="30"/>
  <c r="Q47" i="30"/>
  <c r="H47" i="30"/>
  <c r="P46" i="30"/>
  <c r="V60" i="33"/>
  <c r="M61" i="33"/>
  <c r="V61" i="33" s="1"/>
  <c r="H48" i="30" l="1"/>
  <c r="P47" i="30"/>
  <c r="I49" i="30"/>
  <c r="Q48" i="30"/>
  <c r="J46" i="30"/>
  <c r="N45" i="30"/>
  <c r="I50" i="30" l="1"/>
  <c r="Q49" i="30"/>
  <c r="J47" i="30"/>
  <c r="N46" i="30"/>
  <c r="H49" i="30"/>
  <c r="P48" i="30"/>
  <c r="H50" i="30" l="1"/>
  <c r="P49" i="30"/>
  <c r="J48" i="30"/>
  <c r="N47" i="30"/>
  <c r="I51" i="30"/>
  <c r="Q50" i="30"/>
  <c r="J49" i="30" l="1"/>
  <c r="N48" i="30"/>
  <c r="I52" i="30"/>
  <c r="Q51" i="30"/>
  <c r="H51" i="30"/>
  <c r="P50" i="30"/>
  <c r="I53" i="30" l="1"/>
  <c r="Q53" i="30" s="1"/>
  <c r="Q52" i="30"/>
  <c r="H52" i="30"/>
  <c r="P51" i="30"/>
  <c r="J50" i="30"/>
  <c r="N49" i="30"/>
  <c r="J51" i="30" l="1"/>
  <c r="N50" i="30"/>
  <c r="H53" i="30"/>
  <c r="P52" i="30"/>
  <c r="P53" i="30" l="1"/>
  <c r="J52" i="30"/>
  <c r="N51" i="30"/>
  <c r="J53" i="30" l="1"/>
  <c r="N53" i="30" s="1"/>
  <c r="N52" i="30"/>
</calcChain>
</file>

<file path=xl/sharedStrings.xml><?xml version="1.0" encoding="utf-8"?>
<sst xmlns="http://schemas.openxmlformats.org/spreadsheetml/2006/main" count="740" uniqueCount="272">
  <si>
    <t>UITVOERE/EXPORTS - 2021/22 Marketing season/ bemarkingseisoen</t>
  </si>
  <si>
    <t>UIT SUID-AFRIKA/FROM SOUTH AFRICA</t>
  </si>
  <si>
    <t>till</t>
  </si>
  <si>
    <t xml:space="preserve">Remaining weeks in marketing year </t>
  </si>
  <si>
    <t>Exports/Uitvoere BLNS</t>
  </si>
  <si>
    <t>WIT MIELIES/WHITE MAIZE</t>
  </si>
  <si>
    <t>Metric Tons</t>
  </si>
  <si>
    <t>wit/white</t>
  </si>
  <si>
    <t>geel/yellow</t>
  </si>
  <si>
    <t>Totaal</t>
  </si>
  <si>
    <t>2011/12</t>
  </si>
  <si>
    <t>2012/13</t>
  </si>
  <si>
    <t>2013/14</t>
  </si>
  <si>
    <t>2014/15</t>
  </si>
  <si>
    <t>2015/16*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</si>
  <si>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</si>
  <si>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</si>
  <si>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</si>
  <si>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</si>
  <si>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</si>
  <si>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</si>
  <si>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</si>
  <si>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</si>
  <si>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</si>
  <si>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</si>
  <si>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Botswana</t>
  </si>
  <si>
    <t>Eswatini (Swaziland)</t>
  </si>
  <si>
    <t>Lesotho</t>
  </si>
  <si>
    <t>Namibia</t>
  </si>
  <si>
    <t>Mozambique</t>
  </si>
  <si>
    <t>Swaziland</t>
  </si>
  <si>
    <t>Zimbabwe</t>
  </si>
  <si>
    <t>Totaal/Total</t>
  </si>
  <si>
    <t>Mexiko</t>
  </si>
  <si>
    <t>Exports-Africa vs Rest/Uitvoere- Afrika vs res</t>
  </si>
  <si>
    <t>Angola</t>
  </si>
  <si>
    <t>Benin</t>
  </si>
  <si>
    <t>Africa/Afrika (BLNS included/ingesluit)</t>
  </si>
  <si>
    <t>Brazil</t>
  </si>
  <si>
    <t>Other than Africa/Ander as Afrika</t>
  </si>
  <si>
    <t>Cameroon</t>
  </si>
  <si>
    <t>Chad</t>
  </si>
  <si>
    <t>Congo</t>
  </si>
  <si>
    <t>Guinea</t>
  </si>
  <si>
    <t>Dar-es-Salaam</t>
  </si>
  <si>
    <t>Djibouti</t>
  </si>
  <si>
    <t>Ethiopia</t>
  </si>
  <si>
    <t>Weeklikse gemid uitvoer tempo vir 2025/26. Weekly average export pace for 2025/26</t>
  </si>
  <si>
    <t>Wit/white</t>
  </si>
  <si>
    <t>Geel/yellow</t>
  </si>
  <si>
    <t>Ghana</t>
  </si>
  <si>
    <t>Kenya</t>
  </si>
  <si>
    <t>Projeksie* vir 52 weke / Projection* for 52 weeks</t>
  </si>
  <si>
    <t>Korea (North)</t>
  </si>
  <si>
    <t>*Reguitlyn / Straight line</t>
  </si>
  <si>
    <t>Iran</t>
  </si>
  <si>
    <t xml:space="preserve">Madagascar </t>
  </si>
  <si>
    <t xml:space="preserve"> White maize export projections</t>
  </si>
  <si>
    <t>Malawië</t>
  </si>
  <si>
    <t xml:space="preserve">Conservative 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</si>
  <si>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</si>
  <si>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t>Optimistic</t>
  </si>
  <si>
    <t>Mali</t>
  </si>
  <si>
    <t>Projected total white maize exports for marketing season</t>
  </si>
  <si>
    <t>Portugal</t>
  </si>
  <si>
    <t>Progressive white maize exports since 2 May 2025</t>
  </si>
  <si>
    <t>Nigeria</t>
  </si>
  <si>
    <t>Outstanding total</t>
  </si>
  <si>
    <t>Italy</t>
  </si>
  <si>
    <t>Remaining weeks</t>
  </si>
  <si>
    <t>Somalia</t>
  </si>
  <si>
    <t xml:space="preserve">Weekly export pace needed to obtain projected total </t>
  </si>
  <si>
    <t>Sudan</t>
  </si>
  <si>
    <t>Mauritius</t>
  </si>
  <si>
    <t>1.  Note:  Likely scenario compares with Grain SA S&amp;D number</t>
  </si>
  <si>
    <t>Qatar</t>
  </si>
  <si>
    <t>Senegal</t>
  </si>
  <si>
    <t xml:space="preserve">2. Conservative and optimistic scenario is based on subjective opinion and/or regression estimate  </t>
  </si>
  <si>
    <t>Spain</t>
  </si>
  <si>
    <t>Singapore</t>
  </si>
  <si>
    <t>Tanzania</t>
  </si>
  <si>
    <t>Albania</t>
  </si>
  <si>
    <t>Honduras</t>
  </si>
  <si>
    <t>Guatemala</t>
  </si>
  <si>
    <t>Malaysia</t>
  </si>
  <si>
    <t>Togo</t>
  </si>
  <si>
    <t>Uganda</t>
  </si>
  <si>
    <t>Yellow maize export projections</t>
  </si>
  <si>
    <t>Venezuela</t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</si>
  <si>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</si>
  <si>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>Zambia</t>
  </si>
  <si>
    <t>Projected total yellowmaize exports for marketing season</t>
  </si>
  <si>
    <t>TOTAAL</t>
  </si>
  <si>
    <t>Progressive yellow maize exports since 6 May 2016</t>
  </si>
  <si>
    <t>GEEL MIELIES/YELLOW MAIZE</t>
  </si>
  <si>
    <t>Metric tons</t>
  </si>
  <si>
    <t>Taiwan, Prov of China</t>
  </si>
  <si>
    <t xml:space="preserve"> Total maize export projections</t>
  </si>
  <si>
    <t>Japan</t>
  </si>
  <si>
    <t xml:space="preserve">Likely </t>
  </si>
  <si>
    <t>China</t>
  </si>
  <si>
    <t>Projected total maize exports for marketing season</t>
  </si>
  <si>
    <t>Progressive total maize exports since 6 May 2016</t>
  </si>
  <si>
    <t>Egipte</t>
  </si>
  <si>
    <t>Kuwait</t>
  </si>
  <si>
    <t>Yemen</t>
  </si>
  <si>
    <t>North Korea</t>
  </si>
  <si>
    <t>South Korea</t>
  </si>
  <si>
    <t>Korea, Rep of</t>
  </si>
  <si>
    <t>Korea, Dem Peoples Rep</t>
  </si>
  <si>
    <t>Madagaskar</t>
  </si>
  <si>
    <t>Malawi</t>
  </si>
  <si>
    <t>Palau</t>
  </si>
  <si>
    <t>Saudi Arabia</t>
  </si>
  <si>
    <t>Seychelles</t>
  </si>
  <si>
    <t>Indonesia</t>
  </si>
  <si>
    <t>Vietnam</t>
  </si>
  <si>
    <t>Central African Republic</t>
  </si>
  <si>
    <t>TOTAAL/TOTAL</t>
  </si>
  <si>
    <t>ALLE MIELIES/ALL MAIZE</t>
  </si>
  <si>
    <t>SAGIS INVOERE/IMPORTS</t>
  </si>
  <si>
    <t>NA SUID-AFRIKA/TO SOUTH AFRICA</t>
  </si>
  <si>
    <t>30 April 2023 to</t>
  </si>
  <si>
    <t>Zambië</t>
  </si>
  <si>
    <t>Weekly ave</t>
  </si>
  <si>
    <t>Tanzanië</t>
  </si>
  <si>
    <t>Weeks remaining</t>
  </si>
  <si>
    <t>Projected total imports</t>
  </si>
  <si>
    <t>Mexico</t>
  </si>
  <si>
    <t>United States</t>
  </si>
  <si>
    <t>Argentina</t>
  </si>
  <si>
    <t>Romania</t>
  </si>
  <si>
    <t>Paraquay</t>
  </si>
  <si>
    <t>USA</t>
  </si>
  <si>
    <t>Ukraine</t>
  </si>
  <si>
    <t>Germany</t>
  </si>
  <si>
    <t>SAGIS: WEEKLIKSE INVOERE EN UITVOERE 2024/25 Bemarkingseisoen</t>
  </si>
  <si>
    <t>SAGIS: WEEKLY IMPORTS AND EXPORTS 2024/25 Marketing season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</si>
  <si>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</si>
  <si>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Fisiese Invoere</t>
  </si>
  <si>
    <t>Invoer intensies</t>
  </si>
  <si>
    <t>Fisiese Uitvoere</t>
  </si>
  <si>
    <t>Uitvoer intensies</t>
  </si>
  <si>
    <t>Invoere/Imports</t>
  </si>
  <si>
    <t>Uitvoere/Exports</t>
  </si>
  <si>
    <t>Physical Imports</t>
  </si>
  <si>
    <t>Import intentions</t>
  </si>
  <si>
    <t>Physical Exports</t>
  </si>
  <si>
    <t>Export intentions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</si>
  <si>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</si>
  <si>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</si>
  <si>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</si>
  <si>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</si>
  <si>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</si>
  <si>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</si>
  <si>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</si>
  <si>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</si>
  <si>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</si>
  <si>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</si>
  <si>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 xml:space="preserve"> </t>
  </si>
  <si>
    <t xml:space="preserve">                                                          </t>
  </si>
  <si>
    <t>SAGIS: WEEKLIKSE INVOERE EN UITVOERE 2025/26 Bemarkingseisoen</t>
  </si>
  <si>
    <t>SAGIS: WEEKLY IMPORTS AND EXPORTS 2025/26 Marketing season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</si>
  <si>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</si>
  <si>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</si>
  <si>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</si>
  <si>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</si>
  <si>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</si>
  <si>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</si>
  <si>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</si>
  <si>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</si>
  <si>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>SAGIS WIT INVOERE/WHITE IMPORTS</t>
  </si>
  <si>
    <t>NA ANDER LANDE/TO OTHER COUNTRIES</t>
  </si>
  <si>
    <t>30 April 2016 to</t>
  </si>
  <si>
    <t xml:space="preserve">30 April 2016 tot </t>
  </si>
  <si>
    <t>SAGIS GEEL INVOERE/YELLOW IMPORTS</t>
  </si>
  <si>
    <t>YELLOW MAIZE: WEEKLY IMPORTS FOR OTHER COUNTRIES - 2016/17 SEASON</t>
  </si>
  <si>
    <t>GEELMIELIES: WEEKLIKSE INVOERE VIR ANDER LANDE - 2016/17 SEISOEN</t>
  </si>
  <si>
    <t/>
  </si>
  <si>
    <t>Week</t>
  </si>
  <si>
    <t>ARGENTINA</t>
  </si>
  <si>
    <t>ROMANIA</t>
  </si>
  <si>
    <t>UKRAINE</t>
  </si>
  <si>
    <t>UNITED STATES</t>
  </si>
  <si>
    <t>Total/Totaal</t>
  </si>
  <si>
    <t>30 Apr - 06 May/Mei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</si>
  <si>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</si>
  <si>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</si>
  <si>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</si>
  <si>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</si>
  <si>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</si>
  <si>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</si>
  <si>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</si>
  <si>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</si>
  <si>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</si>
  <si>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</si>
  <si>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16 Jul - 22 Jul 2016</t>
  </si>
  <si>
    <t>23 Jul - 29 Jul 2016</t>
  </si>
  <si>
    <t>30 Jul - 05 Aug 2016</t>
  </si>
  <si>
    <t>06 Aug - 12 Aug 2016</t>
  </si>
  <si>
    <t>13 Aug - 19 Aug 2016</t>
  </si>
  <si>
    <t>20 Aug - 26 Aug 2016</t>
  </si>
  <si>
    <t>27 Aug - 02 Sep 2016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</si>
  <si>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</si>
  <si>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</si>
  <si>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</si>
  <si>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</si>
  <si>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</si>
  <si>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</si>
  <si>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</si>
  <si>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22 Oct/Okt - 28 Oct/Okt 2016</t>
  </si>
  <si>
    <t>29 Oct/Okt - 04 Nov 2016</t>
  </si>
  <si>
    <t>05 Nov - 11 Nov 2016</t>
  </si>
  <si>
    <t>12 Nov - 18 Nov 2016</t>
  </si>
  <si>
    <t>19 Nov - 25 Nov 2016</t>
  </si>
  <si>
    <t>26 Nov - 02 Dec/Des 2016</t>
  </si>
  <si>
    <t>03 Dec/Des - 09 Dec/Des 2016</t>
  </si>
  <si>
    <t>10 Dec/Des - 16 Dec/Des 2016</t>
  </si>
  <si>
    <t>17 Dec/Des - 23 Dec/Des 2016</t>
  </si>
  <si>
    <t>*35</t>
  </si>
  <si>
    <t>24 Dec/Des - 30 Dec/Des 2016</t>
  </si>
  <si>
    <t>31 Dec/Des - 06 Jan 2017</t>
  </si>
  <si>
    <t>07 Jan - 13 Jan 2017</t>
  </si>
  <si>
    <t>14 Jan - 20 Jan 2017</t>
  </si>
  <si>
    <t>21 Jan - 27 Jan 2017</t>
  </si>
  <si>
    <t>28 Jan - 03 Feb 2017</t>
  </si>
  <si>
    <t>04 Feb - 10 Feb 2017</t>
  </si>
  <si>
    <t>11 Feb - 17 Feb 2017</t>
  </si>
  <si>
    <t>18 Feb - 24 Feb 2017</t>
  </si>
  <si>
    <t>25 Feb - 03 Mar 2017</t>
  </si>
  <si>
    <t>04 Mar - 10 Mar 2017</t>
  </si>
  <si>
    <t>11 Mar - 17 Mar 2017</t>
  </si>
  <si>
    <t>18 Mar - 24 Mar 2017</t>
  </si>
  <si>
    <t>25 Mar - 31 Mar 2017</t>
  </si>
  <si>
    <t>01 Apr - 07 Apr 2017</t>
  </si>
  <si>
    <t>08 Apr - 14 Apr 2017</t>
  </si>
  <si>
    <t>15 Apr - 21 Apr 2017</t>
  </si>
  <si>
    <t>22 Apr - 28 Apr 2017</t>
  </si>
  <si>
    <t>Total</t>
  </si>
  <si>
    <t>* Total Imports for other countries for weeks 3 December 2016 - 30 December 2016</t>
  </si>
  <si>
    <t>SAGIS WIT UITVOERE / WHITE EXPORTS</t>
  </si>
  <si>
    <t>VIR INGEVOERDE MIELIES /  FOR IMPORTED MAIZE</t>
  </si>
  <si>
    <t>WHITE MAIZE: EXPORTS OF IMPORTED MAIZE - 2016/17 SEASON</t>
  </si>
  <si>
    <t>WITMIELIES: UITVOERE VAN INGEVOERDE MIELIES - 2016/17 SEISOEN</t>
  </si>
  <si>
    <t>BOTSWANA</t>
  </si>
  <si>
    <t>LESOTHO</t>
  </si>
  <si>
    <t>MOZAMBIQUE</t>
  </si>
  <si>
    <t>NAMIBIA</t>
  </si>
  <si>
    <t>SWAZILAND</t>
  </si>
  <si>
    <t>TANZANIA</t>
  </si>
  <si>
    <t>ZIMBABWE</t>
  </si>
  <si>
    <t>* Total Exports of Imported maize  for weeks 3 December 2016 - 30 December 2016</t>
  </si>
  <si>
    <t>SAGIS GEEL UITVOERE / YELLOW EXPORTS</t>
  </si>
  <si>
    <t>VAN INGEVOERDE MIELIES /  FOR IMPORTED MAIZE</t>
  </si>
  <si>
    <t>YELLOW MAIZE: EXPORTS OF IMPORTED MAIZE - 2016/17 SEASON</t>
  </si>
  <si>
    <t>GEELMIELIES: UITVOERE VAN INGEVOERDE MIELIES - 2016/17 SEISOEN</t>
  </si>
  <si>
    <t>ANGOLA</t>
  </si>
  <si>
    <t>SAGIS WM WEEKLIKSE INVOERE PER HAWE/WM WEEKLY IMPORTS PER HARBOUR</t>
  </si>
  <si>
    <t>WHITE MAIZE: WEEKLY IMPORT PER HARBOUR - 2016/17 SEASON</t>
  </si>
  <si>
    <t>WITMIELIES: WEEKLIKSE INVOER PER HAWE - 2016/17 SEISOEN</t>
  </si>
  <si>
    <t>Durban</t>
  </si>
  <si>
    <t>East London</t>
  </si>
  <si>
    <t>Richards Bay</t>
  </si>
  <si>
    <t>*Total/Totaal</t>
  </si>
  <si>
    <t>*Includes: Imports for RSA and other countries</t>
  </si>
  <si>
    <t>*Sluit in: Invoer vir RSA en ander lande</t>
  </si>
  <si>
    <t>SAGIS GM WEEKLIKSE INVOERE PER HAWE/YM WEEKLY IMPORTS PER HARBOUR</t>
  </si>
  <si>
    <t>YELLOW MAIZE: WEEKLY IMPORT PER HARBOUR - 2016/17 SEASON</t>
  </si>
  <si>
    <t>GEELMIELIES: WEEKLIKSE INVOER PER HAWE - 2016/17 SEISOEN</t>
  </si>
  <si>
    <t>Cape Town</t>
  </si>
  <si>
    <t>Port Elizabeth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</si>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</sst>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7" fillId="2" borderId="32" applyNumberFormat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4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166" fontId="3" fillId="0" borderId="0" xfId="1" applyNumberFormat="1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15" fontId="9" fillId="0" borderId="0" xfId="0" applyNumberFormat="1" applyFont="1"/>
    <xf numFmtId="3" fontId="9" fillId="0" borderId="0" xfId="0" applyNumberFormat="1" applyFont="1"/>
    <xf numFmtId="166" fontId="9" fillId="0" borderId="0" xfId="1" applyNumberFormat="1" applyFont="1"/>
    <xf numFmtId="0" fontId="8" fillId="0" borderId="8" xfId="0" applyFont="1" applyBorder="1"/>
    <xf numFmtId="166" fontId="8" fillId="0" borderId="8" xfId="1" applyNumberFormat="1" applyFont="1" applyBorder="1"/>
    <xf numFmtId="0" fontId="9" fillId="0" borderId="8" xfId="0" applyFont="1" applyBorder="1"/>
    <xf numFmtId="166" fontId="9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0" fillId="0" borderId="0" xfId="0" applyFont="1"/>
    <xf numFmtId="0" fontId="13" fillId="0" borderId="0" xfId="0" applyFont="1"/>
    <xf numFmtId="3" fontId="8" fillId="0" borderId="8" xfId="0" applyNumberFormat="1" applyFont="1" applyBorder="1"/>
    <xf numFmtId="167" fontId="13" fillId="0" borderId="11" xfId="0" applyNumberFormat="1" applyFont="1" applyBorder="1"/>
    <xf numFmtId="167" fontId="13" fillId="0" borderId="12" xfId="0" applyNumberFormat="1" applyFont="1" applyBorder="1"/>
    <xf numFmtId="0" fontId="13" fillId="0" borderId="16" xfId="0" applyFont="1" applyBorder="1"/>
    <xf numFmtId="0" fontId="3" fillId="0" borderId="23" xfId="0" applyFont="1" applyBorder="1"/>
    <xf numFmtId="0" fontId="6" fillId="0" borderId="2" xfId="0" applyFont="1" applyBorder="1" applyAlignment="1">
      <alignment horizontal="right"/>
    </xf>
    <xf numFmtId="166" fontId="17" fillId="2" borderId="32" xfId="2" applyNumberFormat="1"/>
    <xf numFmtId="3" fontId="17" fillId="2" borderId="32" xfId="2" applyNumberFormat="1"/>
    <xf numFmtId="166" fontId="17" fillId="2" borderId="33" xfId="2" applyNumberFormat="1" applyBorder="1"/>
    <xf numFmtId="15" fontId="18" fillId="2" borderId="32" xfId="2" applyNumberFormat="1" applyFont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19" fillId="3" borderId="8" xfId="2" applyNumberFormat="1" applyFont="1" applyFill="1" applyBorder="1"/>
    <xf numFmtId="3" fontId="19" fillId="3" borderId="8" xfId="2" applyNumberFormat="1" applyFont="1" applyFill="1" applyBorder="1"/>
    <xf numFmtId="3" fontId="20" fillId="3" borderId="8" xfId="0" applyNumberFormat="1" applyFont="1" applyFill="1" applyBorder="1"/>
    <xf numFmtId="0" fontId="19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7" fillId="2" borderId="35" xfId="2" applyNumberFormat="1" applyBorder="1" applyAlignment="1">
      <alignment horizontal="right"/>
    </xf>
    <xf numFmtId="0" fontId="17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1" fillId="3" borderId="8" xfId="2" applyNumberFormat="1" applyFont="1" applyFill="1" applyBorder="1"/>
    <xf numFmtId="3" fontId="21" fillId="3" borderId="8" xfId="2" applyNumberFormat="1" applyFont="1" applyFill="1" applyBorder="1"/>
    <xf numFmtId="15" fontId="17" fillId="2" borderId="36" xfId="2" applyNumberFormat="1" applyBorder="1" applyAlignment="1">
      <alignment horizontal="center"/>
    </xf>
    <xf numFmtId="0" fontId="17" fillId="2" borderId="32" xfId="2" applyNumberFormat="1"/>
    <xf numFmtId="0" fontId="6" fillId="0" borderId="3" xfId="0" applyFont="1" applyBorder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15" fontId="17" fillId="2" borderId="32" xfId="2" applyNumberFormat="1"/>
    <xf numFmtId="15" fontId="21" fillId="0" borderId="0" xfId="0" applyNumberFormat="1" applyFont="1"/>
    <xf numFmtId="0" fontId="14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7" fillId="2" borderId="37" xfId="2" applyNumberFormat="1" applyBorder="1"/>
    <xf numFmtId="166" fontId="21" fillId="0" borderId="8" xfId="2" applyNumberFormat="1" applyFont="1" applyFill="1" applyBorder="1"/>
    <xf numFmtId="3" fontId="21" fillId="0" borderId="8" xfId="2" applyNumberFormat="1" applyFont="1" applyFill="1" applyBorder="1"/>
    <xf numFmtId="165" fontId="0" fillId="0" borderId="17" xfId="1" applyFont="1" applyBorder="1"/>
    <xf numFmtId="0" fontId="16" fillId="0" borderId="0" xfId="0" applyFont="1"/>
    <xf numFmtId="168" fontId="9" fillId="0" borderId="0" xfId="0" applyNumberFormat="1" applyFont="1"/>
    <xf numFmtId="0" fontId="23" fillId="0" borderId="38" xfId="0" applyFont="1" applyBorder="1" applyAlignment="1">
      <alignment horizontal="right"/>
    </xf>
    <xf numFmtId="0" fontId="23" fillId="0" borderId="38" xfId="0" applyFont="1" applyBorder="1" applyAlignment="1">
      <alignment horizontal="center"/>
    </xf>
    <xf numFmtId="3" fontId="24" fillId="0" borderId="38" xfId="0" applyNumberFormat="1" applyFont="1" applyBorder="1" applyAlignment="1">
      <alignment horizontal="right"/>
    </xf>
    <xf numFmtId="3" fontId="23" fillId="0" borderId="38" xfId="0" applyNumberFormat="1" applyFont="1" applyBorder="1" applyAlignment="1">
      <alignment horizontal="right"/>
    </xf>
    <xf numFmtId="15" fontId="17" fillId="3" borderId="0" xfId="2" applyNumberFormat="1" applyFill="1" applyBorder="1" applyAlignment="1">
      <alignment horizontal="right"/>
    </xf>
    <xf numFmtId="0" fontId="17" fillId="3" borderId="0" xfId="2" applyFill="1" applyBorder="1"/>
    <xf numFmtId="15" fontId="17" fillId="3" borderId="28" xfId="2" applyNumberFormat="1" applyFill="1" applyBorder="1" applyAlignment="1">
      <alignment horizontal="right"/>
    </xf>
    <xf numFmtId="0" fontId="17" fillId="3" borderId="28" xfId="2" applyFill="1" applyBorder="1"/>
    <xf numFmtId="166" fontId="21" fillId="0" borderId="23" xfId="2" applyNumberFormat="1" applyFont="1" applyFill="1" applyBorder="1"/>
    <xf numFmtId="3" fontId="21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5" fillId="0" borderId="2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3" xfId="0" applyFont="1" applyBorder="1"/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1" xfId="2" applyNumberFormat="1" applyFill="1" applyBorder="1"/>
    <xf numFmtId="0" fontId="17" fillId="0" borderId="7" xfId="2" applyNumberFormat="1" applyFill="1" applyBorder="1"/>
    <xf numFmtId="0" fontId="17" fillId="0" borderId="4" xfId="2" applyNumberFormat="1" applyFill="1" applyBorder="1"/>
    <xf numFmtId="0" fontId="17" fillId="0" borderId="18" xfId="2" applyNumberFormat="1" applyFill="1" applyBorder="1"/>
    <xf numFmtId="0" fontId="3" fillId="0" borderId="0" xfId="0" quotePrefix="1" applyFont="1" applyAlignment="1">
      <alignment horizontal="right"/>
    </xf>
    <xf numFmtId="0" fontId="20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7" fillId="0" borderId="6" xfId="2" applyNumberFormat="1" applyFill="1" applyBorder="1"/>
    <xf numFmtId="0" fontId="17" fillId="0" borderId="20" xfId="2" applyNumberFormat="1" applyFill="1" applyBorder="1"/>
    <xf numFmtId="15" fontId="21" fillId="3" borderId="0" xfId="2" applyNumberFormat="1" applyFont="1" applyFill="1" applyBorder="1" applyAlignment="1">
      <alignment horizontal="right"/>
    </xf>
    <xf numFmtId="0" fontId="21" fillId="3" borderId="0" xfId="2" applyFont="1" applyFill="1" applyBorder="1"/>
    <xf numFmtId="166" fontId="21" fillId="0" borderId="37" xfId="2" applyNumberFormat="1" applyFont="1" applyFill="1" applyBorder="1"/>
    <xf numFmtId="15" fontId="17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7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7" fillId="2" borderId="37" xfId="2" applyNumberFormat="1" applyBorder="1"/>
    <xf numFmtId="0" fontId="20" fillId="0" borderId="0" xfId="0" applyFont="1"/>
    <xf numFmtId="0" fontId="1" fillId="0" borderId="8" xfId="0" applyFont="1" applyBorder="1"/>
    <xf numFmtId="166" fontId="6" fillId="0" borderId="7" xfId="1" applyNumberFormat="1" applyFont="1" applyBorder="1"/>
    <xf numFmtId="3" fontId="4" fillId="0" borderId="0" xfId="0" applyNumberFormat="1" applyFont="1"/>
    <xf numFmtId="3" fontId="17" fillId="2" borderId="34" xfId="2" applyNumberFormat="1" applyBorder="1"/>
    <xf numFmtId="3" fontId="17" fillId="2" borderId="32" xfId="2" applyNumberFormat="1" applyAlignment="1">
      <alignment horizontal="right"/>
    </xf>
    <xf numFmtId="3" fontId="17" fillId="2" borderId="44" xfId="2" applyNumberFormat="1" applyBorder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166" fontId="21" fillId="0" borderId="26" xfId="2" applyNumberFormat="1" applyFont="1" applyFill="1" applyBorder="1"/>
    <xf numFmtId="0" fontId="1" fillId="0" borderId="14" xfId="0" applyFont="1" applyBorder="1"/>
    <xf numFmtId="1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 applyAlignment="1">
      <alignment horizontal="right"/>
    </xf>
    <xf numFmtId="0" fontId="6" fillId="0" borderId="14" xfId="0" applyFont="1" applyBorder="1"/>
    <xf numFmtId="0" fontId="1" fillId="0" borderId="17" xfId="0" applyFont="1" applyBorder="1"/>
    <xf numFmtId="166" fontId="6" fillId="0" borderId="8" xfId="1" applyNumberFormat="1" applyFont="1" applyBorder="1"/>
    <xf numFmtId="166" fontId="6" fillId="0" borderId="15" xfId="1" applyNumberFormat="1" applyFont="1" applyBorder="1"/>
    <xf numFmtId="0" fontId="1" fillId="0" borderId="22" xfId="0" applyFont="1" applyBorder="1"/>
    <xf numFmtId="3" fontId="1" fillId="0" borderId="0" xfId="0" applyNumberFormat="1" applyFont="1"/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1" fillId="0" borderId="20" xfId="0" applyFont="1" applyBorder="1"/>
    <xf numFmtId="3" fontId="1" fillId="0" borderId="25" xfId="0" applyNumberFormat="1" applyFont="1" applyBorder="1" applyAlignment="1">
      <alignment horizontal="right"/>
    </xf>
    <xf numFmtId="3" fontId="1" fillId="0" borderId="20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6" fontId="1" fillId="0" borderId="18" xfId="1" applyNumberFormat="1" applyFont="1" applyBorder="1"/>
    <xf numFmtId="166" fontId="1" fillId="0" borderId="4" xfId="1" applyNumberFormat="1" applyFont="1" applyBorder="1"/>
    <xf numFmtId="166" fontId="1" fillId="0" borderId="0" xfId="1" applyNumberFormat="1" applyFont="1" applyBorder="1"/>
    <xf numFmtId="166" fontId="1" fillId="0" borderId="21" xfId="1" applyNumberFormat="1" applyFont="1" applyBorder="1"/>
    <xf numFmtId="166" fontId="1" fillId="0" borderId="20" xfId="1" applyNumberFormat="1" applyFont="1" applyBorder="1"/>
    <xf numFmtId="166" fontId="1" fillId="0" borderId="6" xfId="1" applyNumberFormat="1" applyFont="1" applyBorder="1"/>
    <xf numFmtId="15" fontId="1" fillId="0" borderId="0" xfId="0" applyNumberFormat="1" applyFont="1"/>
    <xf numFmtId="49" fontId="1" fillId="0" borderId="0" xfId="0" applyNumberFormat="1" applyFont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3" fillId="0" borderId="40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5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2025/26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bestem.'!$P$56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7237-4D95-B20D-7C0DED10092B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30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96-454B-B071-B55D7535F8D2}"/>
                </c:ext>
              </c:extLst>
            </c:dLbl>
            <c:dLbl>
              <c:idx val="33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C96-454B-B071-B55D7535F8D2}"/>
                </c:ext>
              </c:extLst>
            </c:dLbl>
            <c:dLbl>
              <c:idx val="37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2C2-42BA-974F-66FD66375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bestem.'!$A$57:$A$95</c:f>
              <c:strCache>
                <c:ptCount val="39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Sri Lanka</c:v>
                </c:pt>
                <c:pt idx="29">
                  <c:v>Tanzania</c:v>
                </c:pt>
                <c:pt idx="30">
                  <c:v>Zambia</c:v>
                </c:pt>
                <c:pt idx="31">
                  <c:v>Seychelles</c:v>
                </c:pt>
                <c:pt idx="32">
                  <c:v>Spain</c:v>
                </c:pt>
                <c:pt idx="33">
                  <c:v>Zimbabwe</c:v>
                </c:pt>
                <c:pt idx="34">
                  <c:v>Iran</c:v>
                </c:pt>
                <c:pt idx="35">
                  <c:v>Italy</c:v>
                </c:pt>
                <c:pt idx="36">
                  <c:v>Indonesia</c:v>
                </c:pt>
                <c:pt idx="37">
                  <c:v>Vietnam</c:v>
                </c:pt>
                <c:pt idx="38">
                  <c:v>Central African Republic</c:v>
                </c:pt>
              </c:strCache>
            </c:strRef>
          </c:cat>
          <c:val>
            <c:numRef>
              <c:f>'Export destin -Uitvoer bestem.'!$P$57:$P$95</c:f>
              <c:numCache>
                <c:formatCode>_ * #\ ##0_ ;_ * \-#\ ##0_ ;_ * "-"??_ ;_ @_ </c:formatCode>
                <c:ptCount val="39"/>
                <c:pt idx="0">
                  <c:v>868</c:v>
                </c:pt>
                <c:pt idx="1">
                  <c:v>35109</c:v>
                </c:pt>
                <c:pt idx="2">
                  <c:v>38760</c:v>
                </c:pt>
                <c:pt idx="3">
                  <c:v>20524</c:v>
                </c:pt>
                <c:pt idx="4">
                  <c:v>23886</c:v>
                </c:pt>
                <c:pt idx="5">
                  <c:v>50255</c:v>
                </c:pt>
                <c:pt idx="16">
                  <c:v>47633</c:v>
                </c:pt>
                <c:pt idx="20">
                  <c:v>0</c:v>
                </c:pt>
                <c:pt idx="26">
                  <c:v>0</c:v>
                </c:pt>
                <c:pt idx="28">
                  <c:v>713</c:v>
                </c:pt>
                <c:pt idx="30">
                  <c:v>0</c:v>
                </c:pt>
                <c:pt idx="33">
                  <c:v>29802</c:v>
                </c:pt>
                <c:pt idx="37">
                  <c:v>109120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2025/26</a:t>
            </a:r>
          </a:p>
          <a:p>
            <a:pPr>
              <a:defRPr/>
            </a:pPr>
            <a:r>
              <a:rPr lang="en-ZA"/>
              <a:t>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bestem.'!$P$8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bestem.'!$P$9:$P$52</c:f>
              <c:numCache>
                <c:formatCode>_ * #\ ##0_ ;_ * \-#\ ##0_ ;_ * "-"??_ ;_ @_ </c:formatCode>
                <c:ptCount val="44"/>
                <c:pt idx="0">
                  <c:v>11085</c:v>
                </c:pt>
                <c:pt idx="1">
                  <c:v>30777</c:v>
                </c:pt>
                <c:pt idx="2">
                  <c:v>20811</c:v>
                </c:pt>
                <c:pt idx="3">
                  <c:v>33248</c:v>
                </c:pt>
                <c:pt idx="4">
                  <c:v>10305</c:v>
                </c:pt>
                <c:pt idx="5">
                  <c:v>64099</c:v>
                </c:pt>
                <c:pt idx="42">
                  <c:v>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'Weekliks-Weekly'!$T$9:$T$27</c:f>
              <c:numCache>
                <c:formatCode>_ * #\ ##0_ ;_ * \-#\ ##0_ ;_ * "-"??_ ;_ @_ </c:formatCode>
                <c:ptCount val="19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33453</c:v>
                </c:pt>
                <c:pt idx="5">
                  <c:v>13678</c:v>
                </c:pt>
                <c:pt idx="6">
                  <c:v>51139</c:v>
                </c:pt>
                <c:pt idx="7">
                  <c:v>55080</c:v>
                </c:pt>
                <c:pt idx="8">
                  <c:v>66636</c:v>
                </c:pt>
                <c:pt idx="9">
                  <c:v>52555</c:v>
                </c:pt>
                <c:pt idx="10">
                  <c:v>13220</c:v>
                </c:pt>
                <c:pt idx="11">
                  <c:v>13991</c:v>
                </c:pt>
                <c:pt idx="12">
                  <c:v>67562</c:v>
                </c:pt>
                <c:pt idx="13">
                  <c:v>32793</c:v>
                </c:pt>
                <c:pt idx="14">
                  <c:v>30412</c:v>
                </c:pt>
                <c:pt idx="15">
                  <c:v>45039</c:v>
                </c:pt>
                <c:pt idx="16">
                  <c:v>14691</c:v>
                </c:pt>
                <c:pt idx="17">
                  <c:v>15112</c:v>
                </c:pt>
                <c:pt idx="18">
                  <c:v>23811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'Weekliks-Weekly'!$M$9:$M$27</c:f>
              <c:numCache>
                <c:formatCode>#,##0</c:formatCode>
                <c:ptCount val="19"/>
                <c:pt idx="0">
                  <c:v>2858</c:v>
                </c:pt>
                <c:pt idx="1">
                  <c:v>9460</c:v>
                </c:pt>
                <c:pt idx="2">
                  <c:v>18299</c:v>
                </c:pt>
                <c:pt idx="3">
                  <c:v>29473</c:v>
                </c:pt>
                <c:pt idx="4">
                  <c:v>44210</c:v>
                </c:pt>
                <c:pt idx="5">
                  <c:v>52292</c:v>
                </c:pt>
                <c:pt idx="6">
                  <c:v>63928</c:v>
                </c:pt>
                <c:pt idx="7">
                  <c:v>72677</c:v>
                </c:pt>
                <c:pt idx="8">
                  <c:v>88257</c:v>
                </c:pt>
                <c:pt idx="9">
                  <c:v>93320</c:v>
                </c:pt>
                <c:pt idx="10">
                  <c:v>97794</c:v>
                </c:pt>
                <c:pt idx="11">
                  <c:v>103922</c:v>
                </c:pt>
                <c:pt idx="12">
                  <c:v>114510</c:v>
                </c:pt>
                <c:pt idx="13">
                  <c:v>138716</c:v>
                </c:pt>
                <c:pt idx="14">
                  <c:v>159240</c:v>
                </c:pt>
                <c:pt idx="15">
                  <c:v>198637</c:v>
                </c:pt>
                <c:pt idx="16">
                  <c:v>208129</c:v>
                </c:pt>
                <c:pt idx="17">
                  <c:v>217904</c:v>
                </c:pt>
                <c:pt idx="18">
                  <c:v>236324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2025/26</a:t>
            </a:r>
          </a:p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'Weekliks-Weekly'!$K$9:$K$27</c:f>
              <c:numCache>
                <c:formatCode>General</c:formatCode>
                <c:ptCount val="19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>
                  <c:v>14737</c:v>
                </c:pt>
                <c:pt idx="5">
                  <c:v>8082</c:v>
                </c:pt>
                <c:pt idx="6">
                  <c:v>11636</c:v>
                </c:pt>
                <c:pt idx="7">
                  <c:v>8749</c:v>
                </c:pt>
                <c:pt idx="8">
                  <c:v>15580</c:v>
                </c:pt>
                <c:pt idx="9">
                  <c:v>5063</c:v>
                </c:pt>
                <c:pt idx="10">
                  <c:v>4474</c:v>
                </c:pt>
                <c:pt idx="11">
                  <c:v>6128</c:v>
                </c:pt>
                <c:pt idx="12">
                  <c:v>10588</c:v>
                </c:pt>
                <c:pt idx="13">
                  <c:v>24206</c:v>
                </c:pt>
                <c:pt idx="14">
                  <c:v>20524</c:v>
                </c:pt>
                <c:pt idx="15">
                  <c:v>39397</c:v>
                </c:pt>
                <c:pt idx="16">
                  <c:v>9492</c:v>
                </c:pt>
                <c:pt idx="17">
                  <c:v>9775</c:v>
                </c:pt>
                <c:pt idx="18">
                  <c:v>18420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'Vorige Weekliks-Previous 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Weekly'!$V$9:$V$27</c:f>
              <c:numCache>
                <c:formatCode>_ * #\ ##0_ ;_ * \-#\ ##0_ ;_ * "-"??_ ;_ @_ </c:formatCode>
                <c:ptCount val="19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620136</c:v>
                </c:pt>
                <c:pt idx="15">
                  <c:v>673384</c:v>
                </c:pt>
                <c:pt idx="16">
                  <c:v>718232</c:v>
                </c:pt>
                <c:pt idx="17">
                  <c:v>771409</c:v>
                </c:pt>
                <c:pt idx="18">
                  <c:v>810641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2025/26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'Weekliks-Weekly'!$N$9:$N$27</c:f>
              <c:numCache>
                <c:formatCode>#,##0</c:formatCode>
                <c:ptCount val="19"/>
                <c:pt idx="0">
                  <c:v>4741</c:v>
                </c:pt>
                <c:pt idx="1">
                  <c:v>12025</c:v>
                </c:pt>
                <c:pt idx="2">
                  <c:v>21917</c:v>
                </c:pt>
                <c:pt idx="3">
                  <c:v>34349</c:v>
                </c:pt>
                <c:pt idx="4">
                  <c:v>53065</c:v>
                </c:pt>
                <c:pt idx="5">
                  <c:v>58661</c:v>
                </c:pt>
                <c:pt idx="6">
                  <c:v>98164</c:v>
                </c:pt>
                <c:pt idx="7">
                  <c:v>144495</c:v>
                </c:pt>
                <c:pt idx="8">
                  <c:v>195551</c:v>
                </c:pt>
                <c:pt idx="9">
                  <c:v>243043</c:v>
                </c:pt>
                <c:pt idx="10">
                  <c:v>251789</c:v>
                </c:pt>
                <c:pt idx="11">
                  <c:v>259652</c:v>
                </c:pt>
                <c:pt idx="12">
                  <c:v>316626</c:v>
                </c:pt>
                <c:pt idx="13">
                  <c:v>325213</c:v>
                </c:pt>
                <c:pt idx="14">
                  <c:v>335101</c:v>
                </c:pt>
                <c:pt idx="15">
                  <c:v>340743</c:v>
                </c:pt>
                <c:pt idx="16">
                  <c:v>345942</c:v>
                </c:pt>
                <c:pt idx="17">
                  <c:v>351279</c:v>
                </c:pt>
                <c:pt idx="18">
                  <c:v>356670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Weekly'!$V$9:$V$27</c:f>
              <c:numCache>
                <c:formatCode>_ * #\ ##0_ ;_ * \-#\ ##0_ ;_ * "-"??_ ;_ @_ </c:formatCode>
                <c:ptCount val="19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620136</c:v>
                </c:pt>
                <c:pt idx="15">
                  <c:v>673384</c:v>
                </c:pt>
                <c:pt idx="16">
                  <c:v>718232</c:v>
                </c:pt>
                <c:pt idx="17">
                  <c:v>771409</c:v>
                </c:pt>
                <c:pt idx="18">
                  <c:v>810641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'Weekliks-Weekly'!$K$9:$K$27</c:f>
              <c:numCache>
                <c:formatCode>General</c:formatCode>
                <c:ptCount val="19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>
                  <c:v>14737</c:v>
                </c:pt>
                <c:pt idx="5">
                  <c:v>8082</c:v>
                </c:pt>
                <c:pt idx="6">
                  <c:v>11636</c:v>
                </c:pt>
                <c:pt idx="7">
                  <c:v>8749</c:v>
                </c:pt>
                <c:pt idx="8">
                  <c:v>15580</c:v>
                </c:pt>
                <c:pt idx="9">
                  <c:v>5063</c:v>
                </c:pt>
                <c:pt idx="10">
                  <c:v>4474</c:v>
                </c:pt>
                <c:pt idx="11">
                  <c:v>6128</c:v>
                </c:pt>
                <c:pt idx="12">
                  <c:v>10588</c:v>
                </c:pt>
                <c:pt idx="13">
                  <c:v>24206</c:v>
                </c:pt>
                <c:pt idx="14">
                  <c:v>20524</c:v>
                </c:pt>
                <c:pt idx="15">
                  <c:v>39397</c:v>
                </c:pt>
                <c:pt idx="16">
                  <c:v>9492</c:v>
                </c:pt>
                <c:pt idx="17">
                  <c:v>9775</c:v>
                </c:pt>
                <c:pt idx="18">
                  <c:v>18420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'Weekliks-Weekly'!$L$6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'Weekliks-Weekly'!$L$9:$L$27</c:f>
              <c:numCache>
                <c:formatCode>General</c:formatCode>
                <c:ptCount val="19"/>
                <c:pt idx="0">
                  <c:v>4741</c:v>
                </c:pt>
                <c:pt idx="1">
                  <c:v>7284</c:v>
                </c:pt>
                <c:pt idx="2">
                  <c:v>9892</c:v>
                </c:pt>
                <c:pt idx="3">
                  <c:v>12432</c:v>
                </c:pt>
                <c:pt idx="4">
                  <c:v>18716</c:v>
                </c:pt>
                <c:pt idx="5">
                  <c:v>5596</c:v>
                </c:pt>
                <c:pt idx="6">
                  <c:v>39503</c:v>
                </c:pt>
                <c:pt idx="7">
                  <c:v>46331</c:v>
                </c:pt>
                <c:pt idx="8">
                  <c:v>51056</c:v>
                </c:pt>
                <c:pt idx="9">
                  <c:v>47492</c:v>
                </c:pt>
                <c:pt idx="10">
                  <c:v>8746</c:v>
                </c:pt>
                <c:pt idx="11">
                  <c:v>7863</c:v>
                </c:pt>
                <c:pt idx="12">
                  <c:v>56974</c:v>
                </c:pt>
                <c:pt idx="13">
                  <c:v>8587</c:v>
                </c:pt>
                <c:pt idx="14">
                  <c:v>9888</c:v>
                </c:pt>
                <c:pt idx="15">
                  <c:v>5642</c:v>
                </c:pt>
                <c:pt idx="16">
                  <c:v>5199</c:v>
                </c:pt>
                <c:pt idx="17">
                  <c:v>5337</c:v>
                </c:pt>
                <c:pt idx="18">
                  <c:v>5391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'Weekliks-Weekly'!$T$9:$T$27</c:f>
              <c:numCache>
                <c:formatCode>_ * #\ ##0_ ;_ * \-#\ ##0_ ;_ * "-"??_ ;_ @_ </c:formatCode>
                <c:ptCount val="19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33453</c:v>
                </c:pt>
                <c:pt idx="5">
                  <c:v>13678</c:v>
                </c:pt>
                <c:pt idx="6">
                  <c:v>51139</c:v>
                </c:pt>
                <c:pt idx="7">
                  <c:v>55080</c:v>
                </c:pt>
                <c:pt idx="8">
                  <c:v>66636</c:v>
                </c:pt>
                <c:pt idx="9">
                  <c:v>52555</c:v>
                </c:pt>
                <c:pt idx="10">
                  <c:v>13220</c:v>
                </c:pt>
                <c:pt idx="11">
                  <c:v>13991</c:v>
                </c:pt>
                <c:pt idx="12">
                  <c:v>67562</c:v>
                </c:pt>
                <c:pt idx="13">
                  <c:v>32793</c:v>
                </c:pt>
                <c:pt idx="14">
                  <c:v>30412</c:v>
                </c:pt>
                <c:pt idx="15">
                  <c:v>45039</c:v>
                </c:pt>
                <c:pt idx="16">
                  <c:v>14691</c:v>
                </c:pt>
                <c:pt idx="17">
                  <c:v>15112</c:v>
                </c:pt>
                <c:pt idx="18">
                  <c:v>23811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  <c:max val="4587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2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33043422408684"/>
          <c:y val="0.17905761779777529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'Weekliks-Weekly'!$M$9:$M$27</c15:sqref>
                  </c15:fullRef>
                </c:ext>
              </c:extLst>
              <c:f>('Weekliks-Weekly'!$M$9,'Weekliks-Weekly'!$M$11:$M$27)</c:f>
              <c:numCache>
                <c:formatCode>#,##0</c:formatCode>
                <c:ptCount val="18"/>
                <c:pt idx="0">
                  <c:v>2858</c:v>
                </c:pt>
                <c:pt idx="1">
                  <c:v>18299</c:v>
                </c:pt>
                <c:pt idx="2">
                  <c:v>29473</c:v>
                </c:pt>
                <c:pt idx="3">
                  <c:v>44210</c:v>
                </c:pt>
                <c:pt idx="4">
                  <c:v>52292</c:v>
                </c:pt>
                <c:pt idx="5">
                  <c:v>63928</c:v>
                </c:pt>
                <c:pt idx="6">
                  <c:v>72677</c:v>
                </c:pt>
                <c:pt idx="7">
                  <c:v>88257</c:v>
                </c:pt>
                <c:pt idx="8">
                  <c:v>93320</c:v>
                </c:pt>
                <c:pt idx="9">
                  <c:v>97794</c:v>
                </c:pt>
                <c:pt idx="10">
                  <c:v>103922</c:v>
                </c:pt>
                <c:pt idx="11">
                  <c:v>114510</c:v>
                </c:pt>
                <c:pt idx="12">
                  <c:v>138716</c:v>
                </c:pt>
                <c:pt idx="13">
                  <c:v>159240</c:v>
                </c:pt>
                <c:pt idx="14">
                  <c:v>198637</c:v>
                </c:pt>
                <c:pt idx="15">
                  <c:v>208129</c:v>
                </c:pt>
                <c:pt idx="16">
                  <c:v>217904</c:v>
                </c:pt>
                <c:pt idx="17">
                  <c:v>236324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'Weekliks-Weekly'!$T$9:$T$27</c15:sqref>
                  </c15:fullRef>
                </c:ext>
              </c:extLst>
              <c:f>('Weekliks-Weekly'!$T$9,'Weekliks-Weekly'!$T$11:$T$27)</c:f>
              <c:numCache>
                <c:formatCode>_ * #\ ##0_ ;_ * \-#\ ##0_ ;_ * "-"??_ ;_ @_ </c:formatCode>
                <c:ptCount val="18"/>
                <c:pt idx="0">
                  <c:v>7599</c:v>
                </c:pt>
                <c:pt idx="1">
                  <c:v>18731</c:v>
                </c:pt>
                <c:pt idx="2">
                  <c:v>23606</c:v>
                </c:pt>
                <c:pt idx="3">
                  <c:v>33453</c:v>
                </c:pt>
                <c:pt idx="4">
                  <c:v>13678</c:v>
                </c:pt>
                <c:pt idx="5">
                  <c:v>51139</c:v>
                </c:pt>
                <c:pt idx="6">
                  <c:v>55080</c:v>
                </c:pt>
                <c:pt idx="7">
                  <c:v>66636</c:v>
                </c:pt>
                <c:pt idx="8">
                  <c:v>52555</c:v>
                </c:pt>
                <c:pt idx="9">
                  <c:v>13220</c:v>
                </c:pt>
                <c:pt idx="10">
                  <c:v>13991</c:v>
                </c:pt>
                <c:pt idx="11">
                  <c:v>67562</c:v>
                </c:pt>
                <c:pt idx="12">
                  <c:v>32793</c:v>
                </c:pt>
                <c:pt idx="13">
                  <c:v>30412</c:v>
                </c:pt>
                <c:pt idx="14">
                  <c:v>45039</c:v>
                </c:pt>
                <c:pt idx="15">
                  <c:v>14691</c:v>
                </c:pt>
                <c:pt idx="16">
                  <c:v>15112</c:v>
                </c:pt>
                <c:pt idx="17">
                  <c:v>23811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006910565545267"/>
          <c:y val="0.65561701339056766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Sheet1!$N$1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Sheet1!$L$1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Sheet1!$L$2:$L$53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601236" cy="75557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"/>
  <sheetViews>
    <sheetView topLeftCell="A82" zoomScale="141" zoomScaleNormal="141" workbookViewId="0">
      <selection activeCell="P94" sqref="P94"/>
    </sheetView>
  </sheetViews>
  <sheetFormatPr defaultRowHeight="13.2" x14ac:dyDescent="0.25"/>
  <cols>
    <col min="1" max="1" width="31" customWidth="1"/>
    <col min="2" max="2" width="9.6640625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52" hidden="1" customWidth="1"/>
    <col min="11" max="13" width="11.33203125" hidden="1" customWidth="1"/>
    <col min="14" max="16" width="11.33203125" customWidth="1"/>
    <col min="18" max="18" width="48.33203125" customWidth="1"/>
    <col min="19" max="19" width="14" bestFit="1" customWidth="1"/>
    <col min="20" max="20" width="13.33203125" customWidth="1"/>
    <col min="21" max="21" width="12.109375" customWidth="1"/>
  </cols>
  <sheetData>
    <row r="1" spans="1:21" x14ac:dyDescent="0.25">
      <c r="A1" s="1" t="s">
        <v>0</v>
      </c>
      <c r="B1" s="1"/>
      <c r="C1" s="1"/>
      <c r="D1" s="1"/>
      <c r="J1" s="162"/>
    </row>
    <row r="2" spans="1:21" x14ac:dyDescent="0.25">
      <c r="A2" s="1" t="s">
        <v>1</v>
      </c>
      <c r="B2" s="1"/>
      <c r="C2" s="1"/>
      <c r="D2" s="1"/>
      <c r="J2" s="162"/>
    </row>
    <row r="4" spans="1:21" ht="14.4" x14ac:dyDescent="0.3">
      <c r="A4" s="161">
        <f>'Weekliks-Weekly'!B9</f>
        <v>45779</v>
      </c>
      <c r="B4" s="162" t="s">
        <v>2</v>
      </c>
      <c r="C4" s="161">
        <f>P4</f>
        <v>45905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84">
        <f>'Weekliks-Weekly'!B27</f>
        <v>45905</v>
      </c>
    </row>
    <row r="5" spans="1:21" ht="14.4" x14ac:dyDescent="0.3">
      <c r="B5" s="164"/>
      <c r="C5" s="164"/>
      <c r="D5" s="164"/>
      <c r="H5" s="112"/>
      <c r="I5" s="110"/>
      <c r="J5" s="133"/>
      <c r="K5" s="110"/>
      <c r="L5" s="110"/>
      <c r="M5" s="110"/>
      <c r="N5" s="110"/>
      <c r="O5" s="110"/>
      <c r="P5" s="85">
        <f>52-19</f>
        <v>33</v>
      </c>
    </row>
    <row r="6" spans="1:21" ht="15" thickBot="1" x14ac:dyDescent="0.35">
      <c r="A6" t="s">
        <v>3</v>
      </c>
      <c r="H6" s="113"/>
      <c r="I6" s="111"/>
      <c r="J6" s="134"/>
      <c r="K6" s="111"/>
      <c r="L6" s="111"/>
      <c r="M6" s="111"/>
      <c r="N6" s="111"/>
      <c r="O6" s="111"/>
      <c r="P6" s="111"/>
      <c r="R6" s="1" t="s">
        <v>4</v>
      </c>
    </row>
    <row r="7" spans="1:21" x14ac:dyDescent="0.25">
      <c r="A7" s="1" t="s">
        <v>5</v>
      </c>
      <c r="B7" s="1"/>
      <c r="C7" s="1"/>
      <c r="D7" s="1"/>
      <c r="H7" s="44"/>
      <c r="I7" s="44"/>
      <c r="J7" s="162"/>
      <c r="K7" s="1"/>
      <c r="L7" s="1"/>
      <c r="M7" s="1"/>
      <c r="N7" s="1"/>
      <c r="O7" s="1"/>
      <c r="P7" s="1" t="s">
        <v>6</v>
      </c>
      <c r="R7" s="24"/>
      <c r="S7" s="20" t="s">
        <v>7</v>
      </c>
      <c r="T7" s="20" t="s">
        <v>8</v>
      </c>
      <c r="U7" s="21" t="s">
        <v>9</v>
      </c>
    </row>
    <row r="8" spans="1:21" x14ac:dyDescent="0.25">
      <c r="B8" s="164" t="s">
        <v>10</v>
      </c>
      <c r="C8" s="164" t="s">
        <v>11</v>
      </c>
      <c r="D8" s="128" t="s">
        <v>12</v>
      </c>
      <c r="E8" s="128" t="s">
        <v>13</v>
      </c>
      <c r="F8" s="128" t="s">
        <v>14</v>
      </c>
      <c r="G8" s="128" t="s">
        <v>15</v>
      </c>
      <c r="H8" s="128" t="s">
        <v>16</v>
      </c>
      <c r="I8" s="128" t="s">
        <v>17</v>
      </c>
      <c r="J8" s="128" t="s">
        <v>18</v>
      </c>
      <c r="K8" s="128" t="s">
        <v>19</v>
      </c>
      <c r="L8" s="128" t="s">
        <v>20</v>
      </c>
      <c r="M8" s="128" t="s">
        <v>21</v>
      </c>
      <c r="N8" s="128" t="s">
        <v>22</v>
      </c>
      <c r="O8" s="128" t="s">
        <v>23</v>
      </c>
      <c r="P8" s="128" t="s">
        <v>24</v>
      </c>
      <c r="R8" s="25" t="s">
        <v>25</v>
      </c>
      <c r="S8" s="19">
        <f>P14</f>
        <v>64099</v>
      </c>
      <c r="T8" s="19">
        <f>P61</f>
        <v>23886</v>
      </c>
      <c r="U8" s="26">
        <f>SUM(S8:T8)</f>
        <v>87985</v>
      </c>
    </row>
    <row r="9" spans="1:21" ht="14.4" x14ac:dyDescent="0.3">
      <c r="A9" s="34" t="s">
        <v>26</v>
      </c>
      <c r="B9" s="34">
        <v>12890</v>
      </c>
      <c r="C9" s="18">
        <f>555+35+215+798+376+1230+1454+637+78+297+2470+1069+900+274+1664+770+1034+1133+619+2257+286+336+1270+651+215</f>
        <v>20623</v>
      </c>
      <c r="D9" s="78">
        <f>310+315+485+483+136+781+929+1115+929+274+489+464+499+314+31+92+958+612+186+204+101+54+15+40+507+874+516+444+556+597+322+1091+71+1512+1461+240+587+404</f>
        <v>18998</v>
      </c>
      <c r="E9" s="88">
        <f>12+298+655+339+517+859+944+725+1023+706+652+630+763+378+796+343+70+1276+548+1093+1440+713+671+448+1044+1460+870+286+1255+580+953+69+306+382+112+209+854+388+146+228+37+89+77</f>
        <v>25244</v>
      </c>
      <c r="F9" s="101">
        <f>154+354+25+1723+2524+137+2911+791+1087+914+613+1024+415+21+445+3901+1810+1615+553+1073+1035+655+837+142+34+34+34+68+67+103+238+735+1300+700+135+33+1118+172</f>
        <v>29530</v>
      </c>
      <c r="G9" s="114">
        <f>33+136+66+862+2158+1432+958+971+578+2133+1333+425+313+1664+99+584+139+1945+1676+1938+999+1073+1235+2290+1935+2241+1418+1755+929+869+980+1339+2426+847+1375+1542+2881+950+36+2985+574+861+1088+361+592</f>
        <v>53024</v>
      </c>
      <c r="H9" s="101">
        <f>872+296+560+500+1151+850+494+208+386+594+304+331+136+476+164+505+135+1296+221+309+549+549+757+67+177+155+218+141+1176+841+108+33+1752+412+2711+4+1074+1581+1126+788+721+1343+1431</f>
        <v>27502</v>
      </c>
      <c r="I9" s="101">
        <f>770+480+342+759+539+448+1521+102+277+776+674+918+1123+869+1388+1232+137+281+210</f>
        <v>12846</v>
      </c>
      <c r="J9" s="101">
        <f>1284+817+1781+1941+736+1642+1179+1117+1627+920+544+865+1321+1113+1613+900+74+502+954+1136+1391+2084+1981+1203+912+794+1636+688+485+410+137+645+993+803+68+196+474+1300+866+1114+858</f>
        <v>41104</v>
      </c>
      <c r="K9" s="101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01">
        <f>1369+1996+1830+1562+1510+952+980+798+949+841+932+1166+2085+1668+1915+871+1445+877+709+950+819+1958+1647+1294+1062+773+650+544+834+316+1169+505+608+341+476+36+35+107+481+312+278+546+1985+316+1142</f>
        <v>43639</v>
      </c>
      <c r="M9" s="101">
        <f>796+959+1083+1087+781+741+1747+683+740+1630+1930+1041+309+1218+2395+1827+1047+432+1269+671+944+1185+1417+1412+689+449+349+104+64+350+318+101+411+760+376+2917+1584+738+777</f>
        <v>37331</v>
      </c>
      <c r="N9" s="101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01">
        <f>740+420+536+1270+2428+1538+2194+1088+1401+1328+1334+1505+942+2679+888+682+350+1044+2340+1424+3336+2875+1381+1297+979+912+1001+994+927+2273+325+1528+2347+1095+1048+971+137+168+282+452+344+1780+628+634+414+391+1917+1339</f>
        <v>57906</v>
      </c>
      <c r="P9" s="100">
        <f>199+99+66+68+97+60+55+632+1157+1825+1261+1869+1836+1349+512</f>
        <v>11085</v>
      </c>
      <c r="R9" s="25" t="s">
        <v>27</v>
      </c>
      <c r="S9" s="19">
        <f>P10</f>
        <v>30777</v>
      </c>
      <c r="T9" s="19">
        <f>P57</f>
        <v>868</v>
      </c>
      <c r="U9" s="26">
        <f>SUM(S9:T9)</f>
        <v>31645</v>
      </c>
    </row>
    <row r="10" spans="1:21" ht="14.4" x14ac:dyDescent="0.3">
      <c r="A10" s="34" t="s">
        <v>27</v>
      </c>
      <c r="B10" s="34">
        <v>139001</v>
      </c>
      <c r="C10" s="18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78">
        <f>1005+574+888+1545+1054+1089+1831+527+308+723+1365+2599+1095+181+749+2095+1761+310+483+1012+2552+836+792+46+1045+1775+1813+2506+2355+2536+1631+1949+560+1691+354+243+397+934+1291+1295+843</f>
        <v>48638</v>
      </c>
      <c r="E10" s="88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01">
        <f>2662+670+602+178+233+615+305+404+1201+2406+3246+1082+265+199+1168+1165+252+4875+2385+2481+1637+1305+1755+879+349+2365+823+150+1395+396+695+465+4284+3728+4148+3254+3005+2259+131+65+1421+292+401+863+527</f>
        <v>62986</v>
      </c>
      <c r="G10" s="114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01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01">
        <f>1011+307+396+1386+847+2003+1267+1319+880+2242+106+228+3566+7754+647+475+383+1225+32+12+1561+440+134+2177+633+229+563+2774+726+8+441+936+3133+308+668+1408</f>
        <v>42225</v>
      </c>
      <c r="J10" s="101">
        <f>418+864+132+1163+2075+1319+1638+1105+396+438+974+855+4699+1143+542+264+162+913+1314+2210+1641+1111+119+2004+584+969+1025+1632+609+210+1294+1906+1613+2457+2103+1430+1596+994+1934+879+52+654+1276+308+712</f>
        <v>51736</v>
      </c>
      <c r="K10" s="101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01">
        <f>2229+1257+64+4840+936+1039+299+1832+1320+1848+567+1234+877+536+508+242+1340+1676+3426+1338+2294+1393+4050+1317+1348+1255+1436+1681+1500+1852+584+1209+1184+649+745+273+536+447+539</f>
        <v>51700</v>
      </c>
      <c r="M10" s="101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01">
        <f>302+302+501+3937+1119+1564+1656+1091+4388+2771+757+3173+1028+1807+6723+1104+1129+635+3720+618+596+900+3177+1755+1789+1757+4469+880+440+6079+4660+488</f>
        <v>65315</v>
      </c>
      <c r="O10" s="101">
        <f>1416+1063+2134+893+2671+416+180+1154+2919+1446+1237+955+1124+1836+1861+3533+5+318+3401+507+653+618+1723+1937+1719+1230+1003+72+569+1533+1031+2184+2390+2490+1977+2106+4348+3295+3124+3489+3020+2466+2371+2696+5483+499+606+312</f>
        <v>84013</v>
      </c>
      <c r="P10" s="100">
        <f>1434+1124+461+1390+1262+1174+4135+2608+2017+223+7575+163+1566+1404+2146+1393+178+524</f>
        <v>30777</v>
      </c>
      <c r="R10" s="25" t="s">
        <v>28</v>
      </c>
      <c r="S10" s="19">
        <f>P13</f>
        <v>10305</v>
      </c>
      <c r="T10" s="19">
        <f>P60</f>
        <v>20524</v>
      </c>
      <c r="U10" s="26">
        <f>SUM(S10:T10)</f>
        <v>30829</v>
      </c>
    </row>
    <row r="11" spans="1:21" ht="14.4" x14ac:dyDescent="0.3">
      <c r="A11" s="34" t="s">
        <v>29</v>
      </c>
      <c r="B11" s="34">
        <v>65301</v>
      </c>
      <c r="C11" s="18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78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88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01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14">
        <f>431+270+133+1268+1316+127+739+1238+1950+1733+535+1814+1038+1382+1576+1256+2107+5198+936+837+266+330+494+173+305+507+609+355+858+1696+1109+732+702+700+133+69+290+2375+1434+1378+814+796</f>
        <v>42009</v>
      </c>
      <c r="H11" s="101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01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01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01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01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01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01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01">
        <f>649+1171+11167+1075+1883+1868+1304+998+881+1022+992+820+608+828+11513+359+393+257+1626+68+1643+1835+3351+681+179+561+681+1279+12560+686+1294+689+789+1671+1487+1821+2451+2613+2385+2747+752+11354+691+189+909+71+1204+1095+1677+1134+923+1014</f>
        <v>101898</v>
      </c>
      <c r="P11" s="100">
        <f>11006+1668+767+917+770+354+942+684+504+547+108+37+205+107+823+540+510+322</f>
        <v>20811</v>
      </c>
      <c r="R11" s="25" t="s">
        <v>30</v>
      </c>
      <c r="S11" s="19">
        <f>P9</f>
        <v>11085</v>
      </c>
      <c r="T11" s="19">
        <f>P59</f>
        <v>38760</v>
      </c>
      <c r="U11" s="26">
        <f>SUM(S11:T11)</f>
        <v>49845</v>
      </c>
    </row>
    <row r="12" spans="1:21" ht="15.6" customHeight="1" thickBot="1" x14ac:dyDescent="0.35">
      <c r="A12" s="34" t="s">
        <v>31</v>
      </c>
      <c r="B12" s="34">
        <v>352</v>
      </c>
      <c r="C12" s="18">
        <f>1189+572+171+1660+947+880+484+176</f>
        <v>6079</v>
      </c>
      <c r="D12" s="78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88">
        <f>508+74+792+2224+1364+682+2860+2552+2200+1185+836+1848+792+2508+1100+1232+2387+2288+1450+1844+0+2499+5101+5415+4184+4330+1500+650+2625+529</f>
        <v>57559</v>
      </c>
      <c r="F12" s="101">
        <f>632+740+1494+2640+2508+3651+4311+4224+3300+2728+1012+1760+3080+2420+1980</f>
        <v>36480</v>
      </c>
      <c r="G12" s="114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01">
        <f>35+36+109+109+1100+880+2156+1276+111+35+35+99+272+1185+3039</f>
        <v>10477</v>
      </c>
      <c r="I12" s="101"/>
      <c r="J12" s="101">
        <f>14517+8245+7549+14757+20712+13141+17226+21883+18560+15913+17442+21347+17457+13688+8650+6478+3984+3090+3118+2333+1651+1310+1036+2599+1300+34+135+34+64+906</f>
        <v>259159</v>
      </c>
      <c r="K12" s="101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01">
        <f>4+11+475+1256+921+1949</f>
        <v>4616</v>
      </c>
      <c r="M12" s="101">
        <f>7851+8066+4756+6449+15625+5016+7767+1712+5073+6849+4287+2709+2091+4576+2606+1536+3065+1547+1026+2328+489+452+3074+880+1364+2268+1891+596+1895+1257+1907+1312+1098+878</f>
        <v>114296</v>
      </c>
      <c r="N12" s="101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01">
        <f>6976+8047+9284+11571+9865+11632+16975+13953+18882+19263+17841+21026+23603+19328+19597+19526+16959+13883+22595+22821+18482+21804+18548+15931+17109+13175+16537+18619+16919+15059+14535+16812+16350+16022+24985+17422+18884+12036+13406+25722+19351+19462+16931+19506+14095+10725+13365+11172+11058+10348+10152+6628</f>
        <v>834777</v>
      </c>
      <c r="P12" s="100">
        <f>213+422+1465+210+2344+4093+3210+1633+7802+5772+2979+2478+627</f>
        <v>33248</v>
      </c>
      <c r="R12" s="27" t="s">
        <v>32</v>
      </c>
      <c r="S12" s="28">
        <f>SUM(S8:S11)</f>
        <v>116266</v>
      </c>
      <c r="T12" s="28">
        <f>SUM(T8:T11)</f>
        <v>84038</v>
      </c>
      <c r="U12" s="29">
        <f>SUM(S12:T12)</f>
        <v>200304</v>
      </c>
    </row>
    <row r="13" spans="1:21" ht="14.4" x14ac:dyDescent="0.3">
      <c r="A13" s="34" t="s">
        <v>28</v>
      </c>
      <c r="B13" s="34">
        <v>37759</v>
      </c>
      <c r="C13" s="18">
        <f>2765+2237+3193+2301+2796+3816+4022+4320+3409+7642+1250+4861+2643+4705+2924+2477+237+4181+1347+1484+1477+100+135+30+94+96+521+66+51+1045</f>
        <v>66225</v>
      </c>
      <c r="D13" s="78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88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01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14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01">
        <f>1687+3385+2873+1928+2386+3420+2940+2712+3185+2841+3423+3234+2791+3362+2478+120+118+62+150+94+58+90+10+60+89+120+91+175+116+59+55+59+86+1+89+28+342+236+236+637+1887+2007+2098+2196+2060</f>
        <v>56074</v>
      </c>
      <c r="I13" s="101">
        <f>2568+2374+2186+2379+1766+2725+2406+2926+70+509+1845+2782+2589+2892+2930+2633+1461+380+618+2939+1989</f>
        <v>42967</v>
      </c>
      <c r="J13" s="101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01">
        <f>3471+4581+5195+3224+2506+4474+4111+3823+3044+3046+3356+3629+3516+4231+4386+3719+4230+599+282+3690+5693+3934+3532+3790+3553+3086+2308+2371+353+11+1991+263+1116+1498+1762+1263+1297+2818</f>
        <v>109752</v>
      </c>
      <c r="L13" s="101">
        <f>4072+4042+4174+4657+4550+5197+5577+6095+5816+5715+5855+4714+5545+6113+5182+4019+2584+1754+3756+4225+4447+4718+3166+2470+1663+36+104+257+2480+3191</f>
        <v>116174</v>
      </c>
      <c r="M13" s="101">
        <f>4356+5177+3969+4342+6952+4924+5495+5975+3719+4439+4394+4433+3467+4488+4822+5673+4281+1718+3665+5943+4702+2562+1882</f>
        <v>101378</v>
      </c>
      <c r="N13" s="101">
        <f>5520+6730+6906+4235+3330+6714+5374+5968+4911+5850+6320+5207+5507+5269+5663+5776+3624+696+4066+5153+6264+5626+5956+4555+4174+4571+4153+4522+4697+3536+4472+4582+3757+4292+1806+2592+2147+647+237+181+469+72</f>
        <v>176127</v>
      </c>
      <c r="O13" s="101">
        <f>508+866+1180+838+4226+2400+4062+5197+5365+4926+4896+5913+4552+4663+4036+3490+987+968+3799+5744+5354+4418+4601+4505+4580+5446+6621+5702+6113+5922+4965+5156+3350+3266+3022+4926+4968+3892+4642+5183+5054+3580+3212+2756+3199+3873+3733+4407+2622+4204+1789+2419</f>
        <v>206096</v>
      </c>
      <c r="P13" s="100">
        <f>2489+1958+2858+968+70+108+233+24+707+705+185</f>
        <v>10305</v>
      </c>
      <c r="R13" s="1"/>
      <c r="S13" s="33"/>
      <c r="T13" s="33"/>
      <c r="U13" s="33"/>
    </row>
    <row r="14" spans="1:21" ht="14.4" x14ac:dyDescent="0.3">
      <c r="A14" s="34" t="s">
        <v>25</v>
      </c>
      <c r="B14" s="34">
        <v>149901</v>
      </c>
      <c r="C14" s="18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78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88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01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14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01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01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01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01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01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01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01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01">
        <f>2987+2158+3860+5046+5442+3291+3025+3542+3779+3254+4048+3953+2267+292+3439+5210+1426+2570+3258+4002+4035+5033+3140+4043+2750+312+5610+3145+3479+4695+3197+3222+3178+1666+3242+4904+4496+3944+4113+4743+2023+3123+3094+4162+4780+4364+5151+5754+6030+6062+6542+2814</f>
        <v>193695</v>
      </c>
      <c r="P14" s="100">
        <f>3292+4713+5340+3123+3290+4293+3916+2626+1898+4293+5445+3824+5498+3113+2472+1576+2629+2070+688</f>
        <v>64099</v>
      </c>
      <c r="R14" s="1"/>
      <c r="S14" s="33"/>
      <c r="T14" s="33"/>
      <c r="U14" s="33"/>
    </row>
    <row r="15" spans="1:21" ht="15" thickBot="1" x14ac:dyDescent="0.35">
      <c r="A15" s="34" t="s">
        <v>33</v>
      </c>
      <c r="B15" s="34">
        <v>1162100</v>
      </c>
      <c r="C15" s="18">
        <f>41799+7929+33870+5287+34531+16808+21292+9016+33661+23950+35584+31309+33991+6700+29671+25192+50399+87300+26999+61633+74765+14729+81000+32550</f>
        <v>819965</v>
      </c>
      <c r="D15" s="78">
        <f>19803+18866+8186+31763+4804+33834+7893+28248+36700</f>
        <v>190097</v>
      </c>
      <c r="E15" s="88"/>
      <c r="F15" s="101"/>
      <c r="G15" s="114"/>
      <c r="H15" s="101"/>
      <c r="I15" s="101"/>
      <c r="J15" s="101"/>
      <c r="K15" s="101"/>
      <c r="L15" s="101"/>
      <c r="M15" s="101">
        <f>35493+5034+17540+27460+50100+18415+36121+17070+4251+7031+4718+29287+23558+20442+40400</f>
        <v>336920</v>
      </c>
      <c r="N15" s="101"/>
      <c r="O15" s="101"/>
      <c r="P15" s="100"/>
      <c r="R15" s="1" t="s">
        <v>34</v>
      </c>
    </row>
    <row r="16" spans="1:21" ht="14.4" x14ac:dyDescent="0.3">
      <c r="A16" s="34" t="s">
        <v>35</v>
      </c>
      <c r="B16" s="34"/>
      <c r="C16" s="19"/>
      <c r="D16" s="79">
        <v>2369</v>
      </c>
      <c r="E16" s="89"/>
      <c r="F16" s="102"/>
      <c r="G16" s="115"/>
      <c r="H16" s="102"/>
      <c r="I16" s="102"/>
      <c r="J16" s="101"/>
      <c r="K16" s="101"/>
      <c r="L16" s="101">
        <f>309+549+1195+652+858+515+4704+1034+241+483+692+340+342+276+1387+205+445+549+307+410+479+136+272+102+272+204+170+34+102</f>
        <v>17264</v>
      </c>
      <c r="M16" s="101">
        <v>0</v>
      </c>
      <c r="N16" s="101"/>
      <c r="O16" s="101"/>
      <c r="P16" s="100"/>
      <c r="R16" s="24"/>
      <c r="S16" s="20" t="s">
        <v>7</v>
      </c>
      <c r="T16" s="20" t="s">
        <v>8</v>
      </c>
      <c r="U16" s="21" t="s">
        <v>9</v>
      </c>
    </row>
    <row r="17" spans="1:24" ht="14.4" x14ac:dyDescent="0.3">
      <c r="A17" s="34" t="s">
        <v>36</v>
      </c>
      <c r="B17" s="34"/>
      <c r="C17" s="18"/>
      <c r="D17" s="78"/>
      <c r="E17" s="88"/>
      <c r="F17" s="101"/>
      <c r="G17" s="114"/>
      <c r="H17" s="101"/>
      <c r="I17" s="101"/>
      <c r="J17" s="101"/>
      <c r="K17" s="101"/>
      <c r="L17" s="101"/>
      <c r="M17" s="101"/>
      <c r="N17" s="101"/>
      <c r="O17" s="101"/>
      <c r="P17" s="100"/>
      <c r="R17" s="25" t="s">
        <v>37</v>
      </c>
      <c r="S17" s="73">
        <f>L9+L10+L11+L12+L13+L14</f>
        <v>532952</v>
      </c>
      <c r="T17" s="73">
        <f>L57+L58+L59+L60+L61+L65+L90+L87</f>
        <v>214392</v>
      </c>
      <c r="U17" s="26">
        <f>SUM(S17:T17)</f>
        <v>747344</v>
      </c>
      <c r="W17" s="2"/>
      <c r="X17" s="2"/>
    </row>
    <row r="18" spans="1:24" ht="14.4" x14ac:dyDescent="0.3">
      <c r="A18" s="34" t="s">
        <v>38</v>
      </c>
      <c r="B18" s="34"/>
      <c r="C18" s="18"/>
      <c r="D18" s="78"/>
      <c r="E18" s="88"/>
      <c r="F18" s="101"/>
      <c r="G18" s="114"/>
      <c r="H18" s="101"/>
      <c r="I18" s="101"/>
      <c r="J18" s="101"/>
      <c r="K18" s="101"/>
      <c r="L18" s="101"/>
      <c r="M18" s="101"/>
      <c r="N18" s="101"/>
      <c r="O18" s="101"/>
      <c r="P18" s="100"/>
      <c r="R18" s="160" t="s">
        <v>39</v>
      </c>
      <c r="S18" s="73">
        <f>P35</f>
        <v>0</v>
      </c>
      <c r="T18" s="73">
        <f>P62+P63+P73+P89+P92+P94</f>
        <v>207008</v>
      </c>
      <c r="U18" s="26">
        <f>SUM(S18:T18)</f>
        <v>207008</v>
      </c>
    </row>
    <row r="19" spans="1:24" ht="15" thickBot="1" x14ac:dyDescent="0.35">
      <c r="A19" s="34" t="s">
        <v>40</v>
      </c>
      <c r="B19" s="34"/>
      <c r="C19" s="18"/>
      <c r="D19" s="78">
        <v>1058</v>
      </c>
      <c r="E19" s="88"/>
      <c r="F19" s="101"/>
      <c r="G19" s="114"/>
      <c r="H19" s="101"/>
      <c r="I19" s="101"/>
      <c r="J19" s="101"/>
      <c r="K19" s="101"/>
      <c r="L19" s="101"/>
      <c r="M19" s="101"/>
      <c r="N19" s="101"/>
      <c r="O19" s="101"/>
      <c r="P19" s="100"/>
      <c r="R19" s="27" t="s">
        <v>32</v>
      </c>
      <c r="S19" s="28">
        <f>SUM(S17:S18)</f>
        <v>532952</v>
      </c>
      <c r="T19" s="28">
        <f>SUM(T17:T18)</f>
        <v>421400</v>
      </c>
      <c r="U19" s="29">
        <f>SUM(S19:T19)</f>
        <v>954352</v>
      </c>
    </row>
    <row r="20" spans="1:24" ht="14.4" x14ac:dyDescent="0.3">
      <c r="A20" s="34" t="s">
        <v>41</v>
      </c>
      <c r="B20" s="34"/>
      <c r="C20" s="18">
        <f>43+774+645</f>
        <v>1462</v>
      </c>
      <c r="D20" s="78"/>
      <c r="E20" s="88"/>
      <c r="F20" s="101"/>
      <c r="G20" s="114"/>
      <c r="H20" s="101"/>
      <c r="I20" s="101"/>
      <c r="J20" s="101"/>
      <c r="K20" s="101"/>
      <c r="L20" s="101"/>
      <c r="M20" s="101"/>
      <c r="N20" s="101"/>
      <c r="O20" s="101"/>
      <c r="P20" s="100"/>
      <c r="R20" s="1"/>
      <c r="S20" s="33"/>
      <c r="T20" s="33"/>
      <c r="U20" s="33"/>
    </row>
    <row r="21" spans="1:24" ht="14.4" x14ac:dyDescent="0.3">
      <c r="A21" s="34" t="s">
        <v>42</v>
      </c>
      <c r="B21" s="34"/>
      <c r="C21" s="18"/>
      <c r="D21" s="78"/>
      <c r="E21" s="88"/>
      <c r="F21" s="101"/>
      <c r="G21" s="114"/>
      <c r="H21" s="101"/>
      <c r="I21" s="101"/>
      <c r="J21" s="101"/>
      <c r="K21" s="101"/>
      <c r="L21" s="101"/>
      <c r="M21" s="101"/>
      <c r="N21" s="101"/>
      <c r="O21" s="101"/>
      <c r="P21" s="100"/>
      <c r="R21" s="1"/>
      <c r="S21" s="33"/>
      <c r="T21" s="33"/>
      <c r="U21" s="33"/>
    </row>
    <row r="22" spans="1:24" ht="14.4" x14ac:dyDescent="0.3">
      <c r="A22" s="34" t="s">
        <v>43</v>
      </c>
      <c r="B22" s="34"/>
      <c r="C22" s="18"/>
      <c r="D22" s="78"/>
      <c r="E22" s="88"/>
      <c r="F22" s="101"/>
      <c r="G22" s="114"/>
      <c r="H22" s="101"/>
      <c r="I22" s="101"/>
      <c r="J22" s="101"/>
      <c r="K22" s="101"/>
      <c r="L22" s="101"/>
      <c r="M22" s="101"/>
      <c r="N22" s="101"/>
      <c r="O22" s="101"/>
      <c r="P22" s="100"/>
      <c r="R22" s="1"/>
      <c r="S22" s="33"/>
      <c r="T22" s="33"/>
      <c r="U22" s="33"/>
    </row>
    <row r="23" spans="1:24" ht="14.4" x14ac:dyDescent="0.3">
      <c r="A23" s="34" t="s">
        <v>44</v>
      </c>
      <c r="B23" s="34"/>
      <c r="C23" s="18"/>
      <c r="D23" s="78"/>
      <c r="E23" s="88"/>
      <c r="F23" s="101"/>
      <c r="G23" s="114"/>
      <c r="H23" s="101"/>
      <c r="I23" s="101"/>
      <c r="J23" s="101"/>
      <c r="K23" s="101"/>
      <c r="L23" s="101"/>
      <c r="M23" s="101"/>
      <c r="N23" s="101"/>
      <c r="O23" s="101"/>
      <c r="P23" s="100"/>
      <c r="R23" s="1"/>
      <c r="S23" s="33"/>
      <c r="T23" s="33"/>
      <c r="U23" s="33"/>
    </row>
    <row r="24" spans="1:24" ht="15" thickBot="1" x14ac:dyDescent="0.35">
      <c r="A24" s="34" t="s">
        <v>45</v>
      </c>
      <c r="B24" s="34"/>
      <c r="C24" s="18"/>
      <c r="D24" s="78"/>
      <c r="E24" s="88"/>
      <c r="F24" s="101"/>
      <c r="G24" s="114"/>
      <c r="H24" s="101"/>
      <c r="I24" s="101"/>
      <c r="J24" s="101"/>
      <c r="K24" s="101"/>
      <c r="L24" s="101"/>
      <c r="M24" s="101"/>
      <c r="N24" s="101"/>
      <c r="O24" s="101"/>
      <c r="P24" s="100"/>
      <c r="R24" s="62"/>
      <c r="S24" s="63"/>
      <c r="T24" s="63"/>
      <c r="U24" s="63"/>
    </row>
    <row r="25" spans="1:24" ht="14.4" x14ac:dyDescent="0.3">
      <c r="A25" s="34" t="s">
        <v>46</v>
      </c>
      <c r="B25" s="34"/>
      <c r="C25" s="18"/>
      <c r="D25" s="78"/>
      <c r="E25" s="88"/>
      <c r="F25" s="101"/>
      <c r="G25" s="114"/>
      <c r="H25" s="101"/>
      <c r="I25" s="101">
        <f>38509</f>
        <v>38509</v>
      </c>
      <c r="J25" s="101">
        <f>35521+14360+24140</f>
        <v>74021</v>
      </c>
      <c r="K25" s="101">
        <f>20014</f>
        <v>20014</v>
      </c>
      <c r="L25" s="101"/>
      <c r="M25" s="101"/>
      <c r="N25" s="101"/>
      <c r="O25" s="101"/>
      <c r="P25" s="100"/>
      <c r="R25" s="194" t="s">
        <v>47</v>
      </c>
      <c r="S25" s="20" t="s">
        <v>48</v>
      </c>
      <c r="T25" s="20" t="s">
        <v>49</v>
      </c>
      <c r="U25" s="21" t="s">
        <v>32</v>
      </c>
    </row>
    <row r="26" spans="1:24" ht="14.4" x14ac:dyDescent="0.3">
      <c r="A26" s="34" t="s">
        <v>50</v>
      </c>
      <c r="B26" s="34"/>
      <c r="C26" s="18"/>
      <c r="D26" s="78"/>
      <c r="E26" s="88"/>
      <c r="F26" s="101"/>
      <c r="G26" s="114"/>
      <c r="H26" s="101"/>
      <c r="I26" s="101"/>
      <c r="J26" s="101"/>
      <c r="K26" s="101"/>
      <c r="L26" s="101"/>
      <c r="M26" s="101"/>
      <c r="N26" s="101">
        <f>2051+1967</f>
        <v>4018</v>
      </c>
      <c r="O26" s="101"/>
      <c r="P26" s="100"/>
      <c r="R26" s="195"/>
      <c r="S26" s="103">
        <f>P53/(52-S35)</f>
        <v>12438.105263157895</v>
      </c>
      <c r="T26" s="103">
        <f>P96/(52-S35)</f>
        <v>18772.105263157893</v>
      </c>
      <c r="U26" s="86">
        <f>H97/(52-S35)</f>
        <v>118246</v>
      </c>
    </row>
    <row r="27" spans="1:24" ht="15" thickBot="1" x14ac:dyDescent="0.35">
      <c r="A27" s="34" t="s">
        <v>51</v>
      </c>
      <c r="B27" s="34"/>
      <c r="C27" s="18"/>
      <c r="D27" s="78"/>
      <c r="E27" s="88"/>
      <c r="F27" s="101"/>
      <c r="G27" s="114"/>
      <c r="H27" s="101">
        <f>22591+20001+24996+71010+552+706+38442+38518+30434</f>
        <v>247250</v>
      </c>
      <c r="I27" s="101"/>
      <c r="J27" s="101"/>
      <c r="K27" s="101"/>
      <c r="L27" s="101"/>
      <c r="M27" s="101">
        <f>48868+20906+6367+4974+4170+1761</f>
        <v>87046</v>
      </c>
      <c r="N27" s="101">
        <f>143+2407+108+5494+6813+3480+4910+5719+17750+4637+2757+4114+6361+3099</f>
        <v>67792</v>
      </c>
      <c r="O27" s="101"/>
      <c r="P27" s="100"/>
      <c r="R27" s="69" t="s">
        <v>52</v>
      </c>
      <c r="S27" s="67">
        <f>S26*52</f>
        <v>646781.47368421056</v>
      </c>
      <c r="T27" s="67">
        <f>T26*52</f>
        <v>976149.47368421045</v>
      </c>
      <c r="U27" s="68">
        <f>S27+T27</f>
        <v>1622930.9473684211</v>
      </c>
    </row>
    <row r="28" spans="1:24" ht="14.4" x14ac:dyDescent="0.3">
      <c r="A28" s="34" t="s">
        <v>53</v>
      </c>
      <c r="B28" s="34">
        <v>45234</v>
      </c>
      <c r="C28" s="18">
        <f>9621+39629+997</f>
        <v>50247</v>
      </c>
      <c r="D28" s="78"/>
      <c r="E28" s="88">
        <f>1687+1690+723+731+326+408</f>
        <v>5565</v>
      </c>
      <c r="F28" s="101"/>
      <c r="G28" s="114"/>
      <c r="H28" s="101"/>
      <c r="I28" s="101"/>
      <c r="J28" s="101"/>
      <c r="K28" s="101"/>
      <c r="L28" s="101"/>
      <c r="M28" s="101">
        <f>24664+19336+26509+24991</f>
        <v>95500</v>
      </c>
      <c r="N28" s="101"/>
      <c r="O28" s="101"/>
      <c r="P28" s="100"/>
      <c r="R28" s="162" t="s">
        <v>54</v>
      </c>
      <c r="S28" s="41"/>
      <c r="T28" s="41"/>
    </row>
    <row r="29" spans="1:24" ht="14.4" x14ac:dyDescent="0.3">
      <c r="A29" s="34" t="s">
        <v>55</v>
      </c>
      <c r="B29" s="34"/>
      <c r="C29" s="18"/>
      <c r="D29" s="78"/>
      <c r="E29" s="88"/>
      <c r="F29" s="101"/>
      <c r="G29" s="114"/>
      <c r="H29" s="101"/>
      <c r="I29" s="101"/>
      <c r="J29" s="101"/>
      <c r="K29" s="101"/>
      <c r="L29" s="101"/>
      <c r="M29" s="101"/>
      <c r="N29" s="101"/>
      <c r="O29" s="101"/>
      <c r="P29" s="100"/>
      <c r="S29" s="41"/>
      <c r="T29" s="41"/>
    </row>
    <row r="30" spans="1:24" ht="15" thickBot="1" x14ac:dyDescent="0.35">
      <c r="A30" s="34" t="s">
        <v>56</v>
      </c>
      <c r="B30" s="34"/>
      <c r="C30" s="18"/>
      <c r="D30" s="78"/>
      <c r="E30" s="88"/>
      <c r="F30" s="101"/>
      <c r="G30" s="114"/>
      <c r="H30" s="101"/>
      <c r="I30" s="101"/>
      <c r="J30" s="101"/>
      <c r="K30" s="101"/>
      <c r="L30" s="101"/>
      <c r="M30" s="101"/>
      <c r="N30" s="101"/>
      <c r="O30" s="101"/>
      <c r="P30" s="100"/>
      <c r="R30" s="1" t="s">
        <v>57</v>
      </c>
    </row>
    <row r="31" spans="1:24" ht="14.4" x14ac:dyDescent="0.3">
      <c r="A31" s="34" t="s">
        <v>58</v>
      </c>
      <c r="B31" s="34"/>
      <c r="C31" s="18"/>
      <c r="D31" s="78"/>
      <c r="E31" s="88"/>
      <c r="F31" s="101"/>
      <c r="G31" s="114">
        <f>134+238+65+100+133+165+357+229+316+604+29+457</f>
        <v>2827</v>
      </c>
      <c r="H31" s="101"/>
      <c r="I31" s="101"/>
      <c r="J31" s="101"/>
      <c r="K31" s="101"/>
      <c r="L31" s="101"/>
      <c r="M31" s="101"/>
      <c r="N31" s="101"/>
      <c r="O31" s="101"/>
      <c r="P31" s="100"/>
      <c r="R31" s="30"/>
      <c r="S31" s="20" t="s">
        <v>59</v>
      </c>
      <c r="T31" s="20" t="s">
        <v>60</v>
      </c>
      <c r="U31" s="21" t="s">
        <v>61</v>
      </c>
    </row>
    <row r="32" spans="1:24" ht="14.4" x14ac:dyDescent="0.3">
      <c r="A32" s="34" t="s">
        <v>62</v>
      </c>
      <c r="B32" s="34"/>
      <c r="C32" s="18">
        <f>817+559+516+967</f>
        <v>2859</v>
      </c>
      <c r="D32" s="78"/>
      <c r="E32" s="88"/>
      <c r="F32" s="101"/>
      <c r="G32" s="114"/>
      <c r="H32" s="101"/>
      <c r="I32" s="101"/>
      <c r="J32" s="101"/>
      <c r="K32" s="101"/>
      <c r="L32" s="101"/>
      <c r="M32" s="101"/>
      <c r="N32" s="101"/>
      <c r="O32" s="101"/>
      <c r="P32" s="100"/>
      <c r="R32" s="165" t="s">
        <v>63</v>
      </c>
      <c r="S32" s="72">
        <v>2000000</v>
      </c>
      <c r="T32" s="72">
        <v>2650000</v>
      </c>
      <c r="U32" s="74">
        <v>2700000</v>
      </c>
      <c r="X32" s="162"/>
    </row>
    <row r="33" spans="1:21" ht="14.4" x14ac:dyDescent="0.3">
      <c r="A33" s="34" t="s">
        <v>64</v>
      </c>
      <c r="B33" s="34"/>
      <c r="C33" s="18"/>
      <c r="D33" s="78"/>
      <c r="E33" s="88"/>
      <c r="F33" s="101"/>
      <c r="G33" s="114"/>
      <c r="H33" s="101"/>
      <c r="I33" s="101"/>
      <c r="J33" s="101"/>
      <c r="K33" s="101"/>
      <c r="L33" s="101"/>
      <c r="M33" s="101">
        <f>24024+28476</f>
        <v>52500</v>
      </c>
      <c r="N33" s="101"/>
      <c r="O33" s="101"/>
      <c r="P33" s="100"/>
      <c r="R33" s="160" t="s">
        <v>65</v>
      </c>
      <c r="S33" s="18">
        <f>P53</f>
        <v>236324</v>
      </c>
      <c r="T33" s="18">
        <f>P53</f>
        <v>236324</v>
      </c>
      <c r="U33" s="31">
        <f>H53</f>
        <v>769973</v>
      </c>
    </row>
    <row r="34" spans="1:21" ht="14.4" x14ac:dyDescent="0.3">
      <c r="A34" s="34" t="s">
        <v>66</v>
      </c>
      <c r="B34" s="34"/>
      <c r="C34" s="18"/>
      <c r="D34" s="78"/>
      <c r="E34" s="88"/>
      <c r="F34" s="101"/>
      <c r="G34" s="114"/>
      <c r="H34" s="101"/>
      <c r="I34" s="101"/>
      <c r="J34" s="101"/>
      <c r="K34" s="101"/>
      <c r="L34" s="101"/>
      <c r="M34" s="101"/>
      <c r="N34" s="101"/>
      <c r="O34" s="101"/>
      <c r="P34" s="100"/>
      <c r="R34" s="25" t="s">
        <v>67</v>
      </c>
      <c r="S34" s="18">
        <f>S32-S33</f>
        <v>1763676</v>
      </c>
      <c r="T34" s="18">
        <f>T32-T33</f>
        <v>2413676</v>
      </c>
      <c r="U34" s="31">
        <f>U32-U33</f>
        <v>1930027</v>
      </c>
    </row>
    <row r="35" spans="1:21" ht="14.4" x14ac:dyDescent="0.3">
      <c r="A35" s="34" t="s">
        <v>68</v>
      </c>
      <c r="B35" s="34">
        <v>68005</v>
      </c>
      <c r="C35" s="18">
        <f>27700+33176</f>
        <v>60876</v>
      </c>
      <c r="D35" s="78"/>
      <c r="E35" s="88"/>
      <c r="F35" s="101"/>
      <c r="G35" s="114"/>
      <c r="H35" s="101"/>
      <c r="I35" s="101">
        <f>29110+14968+19022+27529</f>
        <v>90629</v>
      </c>
      <c r="J35" s="101"/>
      <c r="K35" s="101">
        <f>26114+6536+29628+17007+22887+25729</f>
        <v>127901</v>
      </c>
      <c r="L35" s="101">
        <f>36387+12000+29972+14028+11250+31298+39447</f>
        <v>174382</v>
      </c>
      <c r="M35" s="101">
        <f>47500+31566+12434+41651+12405+27595+44000+45060</f>
        <v>262211</v>
      </c>
      <c r="N35" s="101"/>
      <c r="O35" s="101"/>
      <c r="P35" s="100"/>
      <c r="R35" s="25" t="s">
        <v>69</v>
      </c>
      <c r="S35" s="18">
        <f>P5</f>
        <v>33</v>
      </c>
      <c r="T35" s="18">
        <f>$S$35</f>
        <v>33</v>
      </c>
      <c r="U35" s="31">
        <f>$S$35</f>
        <v>33</v>
      </c>
    </row>
    <row r="36" spans="1:21" ht="15" thickBot="1" x14ac:dyDescent="0.35">
      <c r="A36" s="34" t="s">
        <v>70</v>
      </c>
      <c r="B36" s="34">
        <v>19442</v>
      </c>
      <c r="C36" s="18"/>
      <c r="D36" s="78"/>
      <c r="E36" s="88"/>
      <c r="F36" s="101"/>
      <c r="G36" s="114"/>
      <c r="H36" s="101">
        <f>480</f>
        <v>480</v>
      </c>
      <c r="I36" s="101"/>
      <c r="J36" s="101">
        <f>22900</f>
        <v>22900</v>
      </c>
      <c r="K36" s="101"/>
      <c r="L36" s="101"/>
      <c r="M36" s="101"/>
      <c r="N36" s="101"/>
      <c r="O36" s="101"/>
      <c r="P36" s="100"/>
      <c r="R36" s="32" t="s">
        <v>71</v>
      </c>
      <c r="S36" s="22">
        <f>S34/S35</f>
        <v>53444.727272727272</v>
      </c>
      <c r="T36" s="22">
        <f>T34/T35</f>
        <v>73141.696969696975</v>
      </c>
      <c r="U36" s="23">
        <f>U34/U35</f>
        <v>58485.666666666664</v>
      </c>
    </row>
    <row r="37" spans="1:21" ht="14.4" x14ac:dyDescent="0.3">
      <c r="A37" s="34" t="s">
        <v>72</v>
      </c>
      <c r="B37" s="34"/>
      <c r="C37" s="18"/>
      <c r="D37" s="78"/>
      <c r="E37" s="88"/>
      <c r="F37" s="101"/>
      <c r="G37" s="114"/>
      <c r="H37" s="101"/>
      <c r="I37" s="101"/>
      <c r="J37" s="101"/>
      <c r="K37" s="101"/>
      <c r="L37" s="101"/>
      <c r="M37" s="101"/>
      <c r="N37" s="101"/>
      <c r="O37" s="101"/>
      <c r="P37" s="100"/>
      <c r="S37" s="42"/>
      <c r="T37" s="33"/>
      <c r="U37" s="42"/>
    </row>
    <row r="38" spans="1:21" ht="14.4" x14ac:dyDescent="0.3">
      <c r="A38" s="34" t="s">
        <v>73</v>
      </c>
      <c r="B38" s="34"/>
      <c r="C38" s="18"/>
      <c r="D38" s="78"/>
      <c r="E38" s="88"/>
      <c r="F38" s="101"/>
      <c r="G38" s="114"/>
      <c r="H38" s="101"/>
      <c r="I38" s="101"/>
      <c r="J38" s="101"/>
      <c r="K38" s="101"/>
      <c r="L38" s="101"/>
      <c r="M38" s="101"/>
      <c r="N38" s="101"/>
      <c r="O38" s="101"/>
      <c r="P38" s="100"/>
      <c r="R38" s="65" t="s">
        <v>74</v>
      </c>
      <c r="S38" s="42"/>
      <c r="T38" s="33"/>
      <c r="U38" s="42"/>
    </row>
    <row r="39" spans="1:21" ht="14.4" x14ac:dyDescent="0.3">
      <c r="A39" s="34" t="s">
        <v>75</v>
      </c>
      <c r="B39" s="34"/>
      <c r="C39" s="18"/>
      <c r="D39" s="78"/>
      <c r="E39" s="88"/>
      <c r="F39" s="101"/>
      <c r="G39" s="114"/>
      <c r="H39" s="101"/>
      <c r="I39" s="101"/>
      <c r="J39" s="101"/>
      <c r="K39" s="101"/>
      <c r="L39" s="101"/>
      <c r="M39" s="101"/>
      <c r="N39" s="101"/>
      <c r="O39" s="101"/>
      <c r="P39" s="100"/>
      <c r="R39" s="65"/>
      <c r="S39" s="42"/>
      <c r="T39" s="33"/>
      <c r="U39" s="42"/>
    </row>
    <row r="40" spans="1:21" ht="14.4" x14ac:dyDescent="0.3">
      <c r="A40" s="34" t="s">
        <v>76</v>
      </c>
      <c r="B40" s="34">
        <v>258</v>
      </c>
      <c r="C40" s="18"/>
      <c r="D40" s="78"/>
      <c r="E40" s="88"/>
      <c r="F40" s="101"/>
      <c r="G40" s="114"/>
      <c r="H40" s="101"/>
      <c r="I40" s="101"/>
      <c r="J40" s="101"/>
      <c r="K40" s="101"/>
      <c r="L40" s="101"/>
      <c r="M40" s="101"/>
      <c r="N40" s="101"/>
      <c r="O40" s="101"/>
      <c r="P40" s="100"/>
      <c r="R40" s="65" t="s">
        <v>77</v>
      </c>
      <c r="S40" s="42"/>
      <c r="T40" s="33"/>
      <c r="U40" s="42"/>
    </row>
    <row r="41" spans="1:21" ht="14.4" x14ac:dyDescent="0.3">
      <c r="A41" s="34" t="s">
        <v>78</v>
      </c>
      <c r="B41" s="34"/>
      <c r="C41" s="18"/>
      <c r="D41" s="78"/>
      <c r="E41" s="88"/>
      <c r="F41" s="101"/>
      <c r="G41" s="114"/>
      <c r="H41" s="101">
        <f>5820+44789+22</f>
        <v>50631</v>
      </c>
      <c r="I41" s="101">
        <f>1496+16080</f>
        <v>17576</v>
      </c>
      <c r="J41" s="101"/>
      <c r="K41" s="101"/>
      <c r="L41" s="101"/>
      <c r="M41" s="101"/>
      <c r="N41" s="101"/>
      <c r="O41" s="101"/>
      <c r="P41" s="100"/>
      <c r="R41" s="65"/>
      <c r="S41" s="42"/>
      <c r="T41" s="33"/>
      <c r="U41" s="42"/>
    </row>
    <row r="42" spans="1:21" ht="14.4" x14ac:dyDescent="0.3">
      <c r="A42" s="34" t="s">
        <v>79</v>
      </c>
      <c r="B42" s="34"/>
      <c r="C42" s="18"/>
      <c r="D42" s="78"/>
      <c r="E42" s="88"/>
      <c r="F42" s="101"/>
      <c r="G42" s="114"/>
      <c r="H42" s="101"/>
      <c r="I42" s="101"/>
      <c r="J42" s="101"/>
      <c r="K42" s="101"/>
      <c r="L42" s="101"/>
      <c r="M42" s="101"/>
      <c r="N42" s="101"/>
      <c r="O42" s="101"/>
      <c r="P42" s="100"/>
      <c r="S42" s="42"/>
      <c r="T42" s="42"/>
      <c r="U42" s="42"/>
    </row>
    <row r="43" spans="1:21" ht="14.4" x14ac:dyDescent="0.3">
      <c r="A43" s="34" t="s">
        <v>80</v>
      </c>
      <c r="B43" s="34"/>
      <c r="C43" s="18"/>
      <c r="D43" s="78"/>
      <c r="E43" s="88"/>
      <c r="F43" s="101"/>
      <c r="G43" s="114">
        <f>10105</f>
        <v>10105</v>
      </c>
      <c r="H43" s="101"/>
      <c r="I43" s="101"/>
      <c r="J43" s="101">
        <f>10100+12982</f>
        <v>23082</v>
      </c>
      <c r="K43" s="101"/>
      <c r="L43" s="101"/>
      <c r="M43" s="101"/>
      <c r="N43" s="101"/>
      <c r="O43" s="101"/>
      <c r="P43" s="100"/>
      <c r="S43" s="42"/>
      <c r="T43" s="42"/>
      <c r="U43" s="42"/>
    </row>
    <row r="44" spans="1:21" ht="14.4" x14ac:dyDescent="0.3">
      <c r="A44" s="34" t="s">
        <v>81</v>
      </c>
      <c r="B44" s="34"/>
      <c r="C44" s="18"/>
      <c r="D44" s="78"/>
      <c r="E44" s="88"/>
      <c r="F44" s="101"/>
      <c r="G44" s="114"/>
      <c r="H44" s="101"/>
      <c r="I44" s="101"/>
      <c r="J44" s="101"/>
      <c r="K44" s="101"/>
      <c r="L44" s="101"/>
      <c r="M44" s="101">
        <f>21+21</f>
        <v>42</v>
      </c>
      <c r="N44" s="101"/>
      <c r="O44" s="101"/>
      <c r="P44" s="100"/>
      <c r="S44" s="42"/>
      <c r="T44" s="42"/>
      <c r="U44" s="42"/>
    </row>
    <row r="45" spans="1:21" ht="14.4" x14ac:dyDescent="0.3">
      <c r="A45" s="145" t="s">
        <v>35</v>
      </c>
      <c r="B45" s="34"/>
      <c r="C45" s="18"/>
      <c r="D45" s="78"/>
      <c r="E45" s="88"/>
      <c r="F45" s="101"/>
      <c r="G45" s="114"/>
      <c r="H45" s="101"/>
      <c r="I45" s="101"/>
      <c r="J45" s="101"/>
      <c r="K45" s="101"/>
      <c r="L45" s="101"/>
      <c r="M45" s="101"/>
      <c r="N45" s="101">
        <f>35+70</f>
        <v>105</v>
      </c>
      <c r="O45" s="101"/>
      <c r="P45" s="100"/>
      <c r="S45" s="42"/>
      <c r="T45" s="42"/>
      <c r="U45" s="42"/>
    </row>
    <row r="46" spans="1:21" ht="14.4" x14ac:dyDescent="0.3">
      <c r="A46" s="34" t="s">
        <v>82</v>
      </c>
      <c r="B46" s="34"/>
      <c r="C46" s="18"/>
      <c r="D46" s="78"/>
      <c r="E46" s="88"/>
      <c r="F46" s="101"/>
      <c r="G46" s="114"/>
      <c r="H46" s="101"/>
      <c r="I46" s="101"/>
      <c r="J46" s="101"/>
      <c r="K46" s="101"/>
      <c r="L46" s="101"/>
      <c r="M46" s="101">
        <f>1811+20000+25000</f>
        <v>46811</v>
      </c>
      <c r="N46" s="101"/>
      <c r="O46" s="101"/>
      <c r="P46" s="100"/>
      <c r="S46" s="42"/>
      <c r="T46" s="42"/>
      <c r="U46" s="42"/>
    </row>
    <row r="47" spans="1:21" ht="14.4" x14ac:dyDescent="0.3">
      <c r="A47" s="34" t="s">
        <v>83</v>
      </c>
      <c r="B47" s="34"/>
      <c r="C47" s="18"/>
      <c r="D47" s="78"/>
      <c r="E47" s="88"/>
      <c r="F47" s="101"/>
      <c r="G47" s="114"/>
      <c r="H47" s="101"/>
      <c r="I47" s="101"/>
      <c r="J47" s="101"/>
      <c r="K47" s="101"/>
      <c r="L47" s="101"/>
      <c r="M47" s="101">
        <f>4811+17000</f>
        <v>21811</v>
      </c>
      <c r="N47" s="101">
        <f>23327+19443</f>
        <v>42770</v>
      </c>
      <c r="O47" s="101"/>
      <c r="P47" s="100"/>
      <c r="S47" s="42"/>
      <c r="T47" s="42"/>
      <c r="U47" s="42"/>
    </row>
    <row r="48" spans="1:21" ht="14.4" x14ac:dyDescent="0.3">
      <c r="A48" s="34" t="s">
        <v>84</v>
      </c>
      <c r="B48" s="34"/>
      <c r="C48" s="18"/>
      <c r="D48" s="78"/>
      <c r="E48" s="88"/>
      <c r="F48" s="101"/>
      <c r="G48" s="114"/>
      <c r="H48" s="101"/>
      <c r="I48" s="101"/>
      <c r="J48" s="101"/>
      <c r="K48" s="101"/>
      <c r="L48" s="101"/>
      <c r="M48" s="101"/>
      <c r="N48" s="101"/>
      <c r="O48" s="101"/>
      <c r="P48" s="100"/>
      <c r="S48" s="42"/>
      <c r="T48" s="42"/>
      <c r="U48" s="42"/>
    </row>
    <row r="49" spans="1:21" ht="14.4" x14ac:dyDescent="0.3">
      <c r="A49" s="34" t="s">
        <v>85</v>
      </c>
      <c r="B49" s="34"/>
      <c r="C49" s="18"/>
      <c r="D49" s="78"/>
      <c r="E49" s="88"/>
      <c r="F49" s="101"/>
      <c r="G49" s="114"/>
      <c r="H49" s="101"/>
      <c r="I49" s="101"/>
      <c r="J49" s="101"/>
      <c r="K49" s="101"/>
      <c r="L49" s="101"/>
      <c r="M49" s="101"/>
      <c r="N49" s="101"/>
      <c r="O49" s="101"/>
      <c r="P49" s="100"/>
    </row>
    <row r="50" spans="1:21" ht="15" thickBot="1" x14ac:dyDescent="0.35">
      <c r="A50" s="34" t="s">
        <v>86</v>
      </c>
      <c r="B50" s="34"/>
      <c r="C50" s="18"/>
      <c r="D50" s="78"/>
      <c r="E50" s="88"/>
      <c r="F50" s="101"/>
      <c r="G50" s="114"/>
      <c r="H50" s="101">
        <f>24998</f>
        <v>24998</v>
      </c>
      <c r="I50" s="101"/>
      <c r="J50" s="101">
        <f>20000</f>
        <v>20000</v>
      </c>
      <c r="K50" s="101"/>
      <c r="L50" s="101"/>
      <c r="M50" s="101"/>
      <c r="N50" s="101"/>
      <c r="O50" s="101"/>
      <c r="P50" s="100"/>
      <c r="R50" s="1" t="s">
        <v>87</v>
      </c>
    </row>
    <row r="51" spans="1:21" ht="14.4" x14ac:dyDescent="0.3">
      <c r="A51" s="34" t="s">
        <v>88</v>
      </c>
      <c r="B51" s="34">
        <v>31000</v>
      </c>
      <c r="C51" s="18"/>
      <c r="D51" s="78"/>
      <c r="E51" s="88"/>
      <c r="F51" s="101"/>
      <c r="G51" s="114"/>
      <c r="H51" s="101">
        <f>17289+14711</f>
        <v>32000</v>
      </c>
      <c r="I51" s="101"/>
      <c r="J51" s="101"/>
      <c r="K51" s="101"/>
      <c r="L51" s="101"/>
      <c r="M51" s="101"/>
      <c r="N51" s="101"/>
      <c r="O51" s="101"/>
      <c r="P51" s="100">
        <f>32999+15134+17866</f>
        <v>65999</v>
      </c>
      <c r="R51" s="30"/>
      <c r="S51" s="20" t="s">
        <v>59</v>
      </c>
      <c r="T51" s="20" t="s">
        <v>89</v>
      </c>
      <c r="U51" s="21" t="s">
        <v>61</v>
      </c>
    </row>
    <row r="52" spans="1:21" ht="14.4" x14ac:dyDescent="0.3">
      <c r="A52" s="34" t="s">
        <v>90</v>
      </c>
      <c r="B52" s="34"/>
      <c r="C52" s="18"/>
      <c r="D52" s="78"/>
      <c r="E52" s="88"/>
      <c r="F52" s="101"/>
      <c r="G52" s="114">
        <f>30+225+33</f>
        <v>288</v>
      </c>
      <c r="H52" s="101"/>
      <c r="I52" s="101"/>
      <c r="J52" s="101"/>
      <c r="K52" s="101"/>
      <c r="L52" s="101"/>
      <c r="M52" s="101"/>
      <c r="N52" s="101"/>
      <c r="O52" s="101">
        <f>68+69</f>
        <v>137</v>
      </c>
      <c r="P52" s="100"/>
      <c r="R52" s="165" t="s">
        <v>91</v>
      </c>
      <c r="S52" s="72">
        <v>1400000</v>
      </c>
      <c r="T52" s="72">
        <v>1600000</v>
      </c>
      <c r="U52" s="72">
        <v>1800000</v>
      </c>
    </row>
    <row r="53" spans="1:21" ht="14.4" x14ac:dyDescent="0.3">
      <c r="A53" s="35" t="s">
        <v>92</v>
      </c>
      <c r="B53" s="35">
        <f>SUM(B9:B51)</f>
        <v>1731243</v>
      </c>
      <c r="C53" s="76">
        <f>SUM(C9:C35)</f>
        <v>1395153</v>
      </c>
      <c r="D53" s="80">
        <f t="shared" ref="D53:I53" si="0">SUM(D9:D52)</f>
        <v>901227</v>
      </c>
      <c r="E53" s="87">
        <f t="shared" si="0"/>
        <v>536014</v>
      </c>
      <c r="F53" s="102">
        <f t="shared" si="0"/>
        <v>456646</v>
      </c>
      <c r="G53" s="115">
        <f t="shared" si="0"/>
        <v>525079</v>
      </c>
      <c r="H53" s="102">
        <f t="shared" si="0"/>
        <v>769973</v>
      </c>
      <c r="I53" s="102">
        <f t="shared" si="0"/>
        <v>468657</v>
      </c>
      <c r="J53" s="101">
        <f t="shared" ref="J53:O53" si="1">SUM(J9:J52)</f>
        <v>1018191</v>
      </c>
      <c r="K53" s="101">
        <f t="shared" si="1"/>
        <v>1117073</v>
      </c>
      <c r="L53" s="101">
        <f t="shared" si="1"/>
        <v>724598</v>
      </c>
      <c r="M53" s="101">
        <f t="shared" si="1"/>
        <v>1490776</v>
      </c>
      <c r="N53" s="101">
        <f t="shared" si="1"/>
        <v>1249746</v>
      </c>
      <c r="O53" s="101">
        <f t="shared" si="1"/>
        <v>1478522</v>
      </c>
      <c r="P53" s="143">
        <f t="shared" ref="P53" si="2">SUM(P9:P52)</f>
        <v>236324</v>
      </c>
      <c r="R53" s="160" t="s">
        <v>93</v>
      </c>
      <c r="S53" s="18">
        <f>H96</f>
        <v>1476701</v>
      </c>
      <c r="T53" s="18">
        <f>H96</f>
        <v>1476701</v>
      </c>
      <c r="U53" s="31">
        <f>F96</f>
        <v>210799</v>
      </c>
    </row>
    <row r="54" spans="1:21" ht="14.4" x14ac:dyDescent="0.3">
      <c r="E54" s="81"/>
      <c r="H54" s="166"/>
      <c r="J54" s="162"/>
      <c r="K54" s="135"/>
      <c r="L54" s="135"/>
      <c r="O54" s="159"/>
      <c r="R54" s="25" t="s">
        <v>67</v>
      </c>
      <c r="S54" s="18">
        <f>S52-S53</f>
        <v>-76701</v>
      </c>
      <c r="T54" s="18">
        <f>T52-T53</f>
        <v>123299</v>
      </c>
      <c r="U54" s="31">
        <f>U52-U53</f>
        <v>1589201</v>
      </c>
    </row>
    <row r="55" spans="1:21" ht="14.4" x14ac:dyDescent="0.3">
      <c r="A55" s="1" t="s">
        <v>94</v>
      </c>
      <c r="B55" s="1"/>
      <c r="C55" s="1"/>
      <c r="D55" s="1"/>
      <c r="H55" s="162"/>
      <c r="J55" s="162"/>
      <c r="K55" s="135"/>
      <c r="L55" s="135" t="s">
        <v>95</v>
      </c>
      <c r="M55" s="144" t="s">
        <v>95</v>
      </c>
      <c r="N55" s="1"/>
      <c r="O55" s="1"/>
      <c r="P55" s="1" t="s">
        <v>6</v>
      </c>
      <c r="R55" s="25" t="s">
        <v>69</v>
      </c>
      <c r="S55" s="18">
        <f>$S$35</f>
        <v>33</v>
      </c>
      <c r="T55" s="18">
        <f>$S$35</f>
        <v>33</v>
      </c>
      <c r="U55" s="31">
        <f>$S$35</f>
        <v>33</v>
      </c>
    </row>
    <row r="56" spans="1:21" ht="13.8" thickBot="1" x14ac:dyDescent="0.3">
      <c r="B56" s="164" t="s">
        <v>10</v>
      </c>
      <c r="C56" s="164" t="s">
        <v>11</v>
      </c>
      <c r="D56" s="129" t="s">
        <v>12</v>
      </c>
      <c r="E56" s="128" t="s">
        <v>13</v>
      </c>
      <c r="F56" s="128" t="s">
        <v>14</v>
      </c>
      <c r="G56" s="128" t="s">
        <v>15</v>
      </c>
      <c r="H56" s="130" t="s">
        <v>16</v>
      </c>
      <c r="I56" s="128" t="s">
        <v>17</v>
      </c>
      <c r="J56" s="128" t="s">
        <v>18</v>
      </c>
      <c r="K56" s="128" t="s">
        <v>18</v>
      </c>
      <c r="L56" s="128" t="s">
        <v>20</v>
      </c>
      <c r="M56" s="128" t="s">
        <v>21</v>
      </c>
      <c r="N56" s="128" t="s">
        <v>22</v>
      </c>
      <c r="O56" s="128" t="s">
        <v>23</v>
      </c>
      <c r="P56" s="128" t="s">
        <v>24</v>
      </c>
      <c r="R56" s="32" t="s">
        <v>71</v>
      </c>
      <c r="S56" s="22">
        <f>S54/S55</f>
        <v>-2324.2727272727275</v>
      </c>
      <c r="T56" s="22">
        <f>T54/T55</f>
        <v>3736.3333333333335</v>
      </c>
      <c r="U56" s="23">
        <f>U54/U55</f>
        <v>48157.606060606064</v>
      </c>
    </row>
    <row r="57" spans="1:21" ht="14.4" x14ac:dyDescent="0.3">
      <c r="A57" s="34" t="s">
        <v>27</v>
      </c>
      <c r="B57" s="34">
        <v>6587</v>
      </c>
      <c r="C57" s="51">
        <f>15+593+506+514+2+172+104+492+454+220+228+781+182+405+743+1096+189+228+819+50+301+274+56+3+160+223+56+36+279+5</f>
        <v>9186</v>
      </c>
      <c r="D57" s="78">
        <f>432+66+344+134+148+212+250+640+33+32+35+159+679+19+135+2137+176+137+560+726+209+15+36+248+166+439+324+121+34+168</f>
        <v>8814</v>
      </c>
      <c r="E57" s="78">
        <v>7506</v>
      </c>
      <c r="F57" s="101">
        <f>748+34+694+396+440+317+704+484+440+968+484+484+484+484+484+968+660+880+616+484+484</f>
        <v>11737</v>
      </c>
      <c r="G57" s="114">
        <f>45+34+42+34+6+34+61+20+1012+979+1470+49+58+527+484+774+572+1188+851+660+949+440+799+771+357+469</f>
        <v>12685</v>
      </c>
      <c r="H57" s="101">
        <f>10+176+18+440+6+440+487+3</f>
        <v>1580</v>
      </c>
      <c r="I57" s="101">
        <f>5+395+12+533+15+466+96+234+480+904+166+509+419+34+204+137+647+240+240+1092+337+131</f>
        <v>7296</v>
      </c>
      <c r="J57" s="101">
        <f>556+924+616+414+159+37+484+320+949+20+489+264+977+826+412+536+275+2167+521+7+26+792+14+704+12+20+21+18+36+23+19+26</f>
        <v>12664</v>
      </c>
      <c r="K57" s="101">
        <f>57+12+1311+440+6+111+150+224+288+1421+347+172+633+428+793+339+418+138+140+209+105+23+572+482+30+11+12+520+60</f>
        <v>9452</v>
      </c>
      <c r="L57" s="101">
        <f>8+20+5+12+15+17+9+12+55+50+55+67</f>
        <v>325</v>
      </c>
      <c r="M57" s="101">
        <f>5+38+6+6+11+7+11+11+5+3+69+96+201+136+3+132+880+814+432+271+265+144+103+409+287+240+271+268+636+268+815+136+135+34+174+212+276+201+201+242+44+32+113+237+3</f>
        <v>8883</v>
      </c>
      <c r="N57" s="101">
        <f>9+11+2+17+14+6+3+6+3+3+36+654+5+307+8+12+3+3+4+23+33</f>
        <v>1162</v>
      </c>
      <c r="O57" s="101">
        <f>23+15+12+5+370+358+66+218+449+400+292+316+70+590+342+18+8+3+8+52+482+18+1030+245+383</f>
        <v>5773</v>
      </c>
      <c r="P57" s="100">
        <f>35+104+423+3+3+6+79+8+207</f>
        <v>868</v>
      </c>
      <c r="S57" s="42"/>
      <c r="T57" s="33"/>
      <c r="U57" s="42"/>
    </row>
    <row r="58" spans="1:21" ht="14.4" x14ac:dyDescent="0.3">
      <c r="A58" s="34" t="s">
        <v>29</v>
      </c>
      <c r="B58" s="34">
        <v>14833</v>
      </c>
      <c r="C58" s="51">
        <f>442+352+471+159+522+155+97+223+98+1208+427+220+251+320+451+535+294+1020+1115+271+326+258+513+168+181+35+47+255+1680+791+1175+749+394+958+83+84+82+27+511+427+400</f>
        <v>17775</v>
      </c>
      <c r="D58" s="78">
        <f>104+81+631+231+213+199+138+220+979+131+507+487+461+1509+410+771+288+1886+496+624+850+1081+544+865+409+194+124+205+197+169+639+362+433+364+735+911+168+570+1013+550+381+793+183+164+67+110+95</f>
        <v>22542</v>
      </c>
      <c r="E58" s="78">
        <v>24483</v>
      </c>
      <c r="F58" s="101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14">
        <f>235+241+1120+329+492+842+101+227+554+859+468+273+143+203+367+132+1909+956+675+348+508+588+570+536+498+295+1238+102+477+175+348+170+267+207+800+931+539+744+203+206+1185+1131+885+296+730+1078+803+811</f>
        <v>26795</v>
      </c>
      <c r="H58" s="101">
        <f>499+589+492+655+625+570+159+760+991+445+237+467+535+510+269+501+102+914+134+247+237+512+770+1239+539+235+540+131+32+394+1070+473+344+542+163+70+318+434+1307+1308+301+9+134+204+160+62+374+215+98</f>
        <v>21916</v>
      </c>
      <c r="I58" s="101">
        <f>378+431+1056+1195+1017+926+519+880+371+1897+582+492+590+588+472+643+854+1280+951+537+896+379+408+1030+913+1079+920+271+374+306+261+1080+274+373+714+339+356+697+764+395+382+432+1125+441</f>
        <v>29868</v>
      </c>
      <c r="J58" s="101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01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01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01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01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01">
        <f>508+603+527+1044+524+379+1287+641+562+1108+1350+1287+3547+1230+1004+2039+1012+3481+2253+271+2518+2726+4139+2032+418+1725+2201+1974+1298+673+316+583+1587+1018+1040+828+1397+628+1141+2158+1634+1081+407+537+1309+2511+1069+1392+1314+1605+1936+1678</f>
        <v>71530</v>
      </c>
      <c r="P58" s="100">
        <f>526+1368+1162+1322+3514+2555+3267+3251+3235+2286+1315+1758+957+1297+3057+1384+1430+1046+379</f>
        <v>35109</v>
      </c>
      <c r="R58" s="65" t="s">
        <v>74</v>
      </c>
      <c r="S58" s="42"/>
      <c r="T58" s="33"/>
      <c r="U58" s="42"/>
    </row>
    <row r="59" spans="1:21" ht="14.4" x14ac:dyDescent="0.3">
      <c r="A59" s="34" t="s">
        <v>26</v>
      </c>
      <c r="B59" s="34">
        <v>55618</v>
      </c>
      <c r="C59" s="51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78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78">
        <v>45076</v>
      </c>
      <c r="F59" s="101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14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01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01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01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01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01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01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01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01">
        <f>1065+531+1791+1709+1091+1095+1513+1603+1595+1994+1799+1789+331+827+1231+2325+1861+1125+1479+1966+2385+2301+2188+1545+1907+1622+2514+1766+1589+1478+2339+1630+1272+1802+1834+1626+2011+1705+1607+621+1188+1473+1723+1729+1847+1916+1804+2057+1470+2164+1975+1116</f>
        <v>84924</v>
      </c>
      <c r="P59" s="100">
        <f>1935+1894+2048+2077+3095+1829+1565+2201+2372+1752+1895+2018+2213+2492+957+2010+2633+1758+2016</f>
        <v>38760</v>
      </c>
      <c r="R59" s="65" t="s">
        <v>77</v>
      </c>
    </row>
    <row r="60" spans="1:21" ht="14.4" x14ac:dyDescent="0.3">
      <c r="A60" s="34" t="s">
        <v>28</v>
      </c>
      <c r="B60" s="34">
        <v>15632</v>
      </c>
      <c r="C60" s="51">
        <f>351+605+233+305+817+415+277+384+367+848+1059+1094+689+993+572+818+73+1858+1438+1599+1054+1189+664+565+719+322+922+570+477+461+256+152+398+605+389+694+154+531+395+336+669+471+699+566+330+125+873+139+136+279</f>
        <v>29935</v>
      </c>
      <c r="D60" s="78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78">
        <v>37518</v>
      </c>
      <c r="F60" s="101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14">
        <f>215+224+301+248+200+130+165+66+144+441+463+294+291+1198+277+143+1423+231+312+227+343+594+946+682+29+138+66+25+162+589+419+297+387+457+1+35+35+36+116+183+255+290+481+502+501+133+296</f>
        <v>14991</v>
      </c>
      <c r="H60" s="101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01">
        <f>1373+1525+1030+1146+1014+1019+1011+1134+157+1248+1677+1556+1457+775+529+786+1611+1312+1047+488+392+280+374+295+380+482+464+1068+861+639+626+1190+557+468+1076+1110+1065+785+893+1510+331+143+307</f>
        <v>37191</v>
      </c>
      <c r="J60" s="101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01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01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01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01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01">
        <f>34+217+99+130+523+580+1324+1364+1551+1255+681+1278+1626+1087+944+702+698+719+889+1212+1054+1826+1506+1460+1135+1601+2476+1165+926+1372+2453+959+1757+960+1044+762+1760+1321+1518+2141+1355+1135+629+2016+849+1160+1920+1467+894+752+203+304</f>
        <v>58793</v>
      </c>
      <c r="P60" s="100">
        <f>908+994+983+714+1027+2167+535+1262+1046+887+1340+1977+1622+982+1557+1408+1010+75+30</f>
        <v>20524</v>
      </c>
    </row>
    <row r="61" spans="1:21" ht="14.4" x14ac:dyDescent="0.3">
      <c r="A61" s="34" t="s">
        <v>25</v>
      </c>
      <c r="B61" s="34">
        <v>22153</v>
      </c>
      <c r="C61" s="51">
        <f>540+329+759+511+168+346+135+401+270+406+532+201+416+716+209+318+544+1004+287+269+934+901+534+878+844+1100+725+688+590+1335+1240+418+2824+1226+1603+825+1233+861+1339+1503+411+528+1620+679+635+491+636+930+322</f>
        <v>36214</v>
      </c>
      <c r="D61" s="78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78">
        <v>30126</v>
      </c>
      <c r="F61" s="101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14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01">
        <f>235+162+435+304+658+363+748+470+606+258+422+299+289+371+247+278+89+1091+339+242+292+208+210+540+395+132+36+169+180+11+158+179+83+204+71+134+27+57+34+592+141+34+224+168+1850+915+943+510+551+1039</f>
        <v>17993</v>
      </c>
      <c r="I61" s="101">
        <f>1445+2094+674+1059+1447+1725+1958+997+290+273+466+868+771+329+587+366+834+490+497+723+541+70+493+664+241+395+423+315+243+273+248+767+130+518+386+677+457+726+173+130+2076+524+537+135</f>
        <v>29035</v>
      </c>
      <c r="J61" s="101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01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01">
        <f>159+97+99+128+1164+64+35+115+935+30+69+92+1298+1+160+31+317+28+97+717+68+34+533+67+68+276+68+241+70+232+71+100+208+599+172+102+353+1135+472+483+480</f>
        <v>11468</v>
      </c>
      <c r="M61" s="101">
        <f>1406+1625+1053+713+654+810+1300+1110+1362+557+828+1586+1627+1384+1307+1554+1103+1085+1766+1503+460+32+100+32+35+34+45+35+35+6+90+316+35+107+341+33+34+125+101+68+121+33+32+33+369+321+63</f>
        <v>27369</v>
      </c>
      <c r="N61" s="101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01">
        <f>1372+1021+1728+815+1961+1706+2103+2995+3906+1162+2214+2051+3339+36+1282+2791+546+2950+1269+1564+2531+2819+1820+2308+2211+2227+2933+1753+2185+2259+2632+2109+1274+1837+2844+2671+1769+2458+2130+1744+1922+1755+2440+2297+1274+2066+1858+2005+2424+2318+905+1309</f>
        <v>103898</v>
      </c>
      <c r="P61" s="100">
        <f>1578+1081+1006+1494+2252+1898+1177+1045+2093+1121+2628+323+1291+678+2293+1070+308+522+28</f>
        <v>23886</v>
      </c>
    </row>
    <row r="62" spans="1:21" ht="15" thickBot="1" x14ac:dyDescent="0.35">
      <c r="A62" s="145" t="s">
        <v>96</v>
      </c>
      <c r="B62" s="34">
        <v>161550</v>
      </c>
      <c r="C62" s="51">
        <f>31849+21249+27982</f>
        <v>81080</v>
      </c>
      <c r="D62" s="78">
        <f>236+4206+2320+14699+21493+23043+26457+20376+54124+1726</f>
        <v>168680</v>
      </c>
      <c r="E62" s="78">
        <v>679185</v>
      </c>
      <c r="F62" s="101"/>
      <c r="G62" s="114"/>
      <c r="H62" s="101">
        <f>12779+27898+7311+53225+66100+40001+36317+18283</f>
        <v>261914</v>
      </c>
      <c r="I62" s="101">
        <f>54399+51999</f>
        <v>106398</v>
      </c>
      <c r="J62" s="101"/>
      <c r="K62" s="101">
        <f>8891+44641+56118+13109+41491+52489+22512+32088+21400+30450</f>
        <v>323189</v>
      </c>
      <c r="L62" s="101">
        <f>9205+10001+55000+53132+32042+44157+75547+13060+46758+17913+45262+54550+24060+30290+46821+3074+6056+52010+35106+18780+55000+54000+52700</f>
        <v>834524</v>
      </c>
      <c r="M62" s="101">
        <f>31992+100221+51648+51501+2477+31226+23531+47728+4785+55300+54230+32203+23669+10226+44224+32486+77964+23512+21087</f>
        <v>720010</v>
      </c>
      <c r="N62" s="101">
        <f>52478+20385+32083+7717+31863+23638+23651+25915+6225+13039+28442+54980+24500+47723+36877+33570</f>
        <v>463086</v>
      </c>
      <c r="O62" s="101"/>
      <c r="P62" s="100">
        <f>50255</f>
        <v>50255</v>
      </c>
      <c r="R62" s="1" t="s">
        <v>97</v>
      </c>
    </row>
    <row r="63" spans="1:21" ht="14.4" x14ac:dyDescent="0.3">
      <c r="A63" s="145" t="s">
        <v>98</v>
      </c>
      <c r="B63" s="145">
        <v>48880</v>
      </c>
      <c r="C63" s="51">
        <f>25083+24806+39128+27873+22427</f>
        <v>139317</v>
      </c>
      <c r="D63" s="78">
        <f>18608+30231+50170+2930+92055+7681+84537+77568+54112+24125+34803+39324+29995+45209+4967</f>
        <v>596315</v>
      </c>
      <c r="E63" s="78">
        <v>198197</v>
      </c>
      <c r="F63" s="101"/>
      <c r="G63" s="114"/>
      <c r="H63" s="102">
        <f>10250+40114+36227+39306+55248+22494+47041+5682+1846+51254+34370+11130+52611+22466+57016+99855+53806+74644+28124+2398+19786</f>
        <v>765668</v>
      </c>
      <c r="I63" s="102">
        <f>51000+26957+23135+50425</f>
        <v>151517</v>
      </c>
      <c r="J63" s="101"/>
      <c r="K63" s="101">
        <f>30685+21955+34334+15776+39311+10719+7695+44775</f>
        <v>205250</v>
      </c>
      <c r="L63" s="101">
        <f>32459+18294+27805+22845+28298+53428+23937+52460+52155+19755+82796+6370+101747+85190+61911+52133+55000+48240</f>
        <v>824823</v>
      </c>
      <c r="M63" s="101">
        <f>50146+24477+28273+34402+15013+14317+33995+9192+68604+51520+54262+53047+59513+32722+30962+44701</f>
        <v>605146</v>
      </c>
      <c r="N63" s="101">
        <f>30131+23009+6802+24368+20000+113666+84008+12419+61515+19250+20001+22580+30554</f>
        <v>468303</v>
      </c>
      <c r="O63" s="101"/>
      <c r="P63" s="143"/>
      <c r="R63" s="30"/>
      <c r="S63" s="20" t="s">
        <v>59</v>
      </c>
      <c r="T63" s="20" t="s">
        <v>99</v>
      </c>
      <c r="U63" s="21" t="s">
        <v>61</v>
      </c>
    </row>
    <row r="64" spans="1:21" ht="14.4" x14ac:dyDescent="0.3">
      <c r="A64" s="145" t="s">
        <v>100</v>
      </c>
      <c r="B64" s="145"/>
      <c r="C64" s="51"/>
      <c r="D64" s="78"/>
      <c r="E64" s="78"/>
      <c r="F64" s="101"/>
      <c r="G64" s="114"/>
      <c r="H64" s="102"/>
      <c r="I64" s="102"/>
      <c r="J64" s="101"/>
      <c r="K64" s="101"/>
      <c r="L64" s="101"/>
      <c r="M64" s="101">
        <f>26652+81452</f>
        <v>108104</v>
      </c>
      <c r="N64" s="101">
        <f>26953+16628+11972+55960</f>
        <v>111513</v>
      </c>
      <c r="O64" s="101"/>
      <c r="P64" s="143"/>
      <c r="R64" s="165" t="s">
        <v>101</v>
      </c>
      <c r="S64" s="167">
        <f>S52+S32</f>
        <v>3400000</v>
      </c>
      <c r="T64" s="167">
        <f>T52+T32</f>
        <v>4250000</v>
      </c>
      <c r="U64" s="168">
        <f>U52+U32</f>
        <v>4500000</v>
      </c>
    </row>
    <row r="65" spans="1:23" ht="14.4" x14ac:dyDescent="0.3">
      <c r="A65" s="145" t="s">
        <v>35</v>
      </c>
      <c r="B65" s="145"/>
      <c r="C65" s="82"/>
      <c r="D65" s="79">
        <v>1009</v>
      </c>
      <c r="E65" s="79">
        <v>1011</v>
      </c>
      <c r="F65" s="102"/>
      <c r="G65" s="115"/>
      <c r="H65" s="102">
        <f>102+345+172+782+782+299</f>
        <v>2482</v>
      </c>
      <c r="I65" s="102"/>
      <c r="J65" s="101">
        <f>481</f>
        <v>481</v>
      </c>
      <c r="K65" s="101"/>
      <c r="L65" s="101">
        <f>35+35+35+3013+643+1416+2079+35+35+1176+238+68+1013+125+992+34+34+102+34+1013+68+102+34+1000+991+993+1105</f>
        <v>16448</v>
      </c>
      <c r="M65" s="101">
        <f>1983+1978+1488+499+35</f>
        <v>5983</v>
      </c>
      <c r="N65" s="101"/>
      <c r="O65" s="101"/>
      <c r="P65" s="143"/>
      <c r="R65" s="160" t="s">
        <v>102</v>
      </c>
      <c r="S65" s="18">
        <f>H96+H53</f>
        <v>2246674</v>
      </c>
      <c r="T65" s="18">
        <f>S65</f>
        <v>2246674</v>
      </c>
      <c r="U65" s="31">
        <f>T65</f>
        <v>2246674</v>
      </c>
    </row>
    <row r="66" spans="1:23" ht="14.4" x14ac:dyDescent="0.3">
      <c r="A66" s="34" t="s">
        <v>103</v>
      </c>
      <c r="B66" s="34">
        <v>229</v>
      </c>
      <c r="C66" s="51"/>
      <c r="D66" s="78"/>
      <c r="E66" s="78"/>
      <c r="F66" s="101"/>
      <c r="G66" s="114"/>
      <c r="H66" s="101"/>
      <c r="I66" s="101"/>
      <c r="J66" s="101"/>
      <c r="K66" s="101"/>
      <c r="L66" s="101"/>
      <c r="M66" s="101"/>
      <c r="N66" s="101"/>
      <c r="O66" s="101"/>
      <c r="P66" s="100"/>
      <c r="R66" s="25" t="s">
        <v>67</v>
      </c>
      <c r="S66" s="18">
        <f>S64-S65</f>
        <v>1153326</v>
      </c>
      <c r="T66" s="18">
        <f>T64-T65</f>
        <v>2003326</v>
      </c>
      <c r="U66" s="31">
        <f>U64-U65</f>
        <v>2253326</v>
      </c>
    </row>
    <row r="67" spans="1:23" ht="14.4" x14ac:dyDescent="0.3">
      <c r="A67" s="145" t="s">
        <v>104</v>
      </c>
      <c r="B67" s="145">
        <v>28100</v>
      </c>
      <c r="C67" s="51"/>
      <c r="D67" s="78"/>
      <c r="E67" s="78"/>
      <c r="F67" s="101"/>
      <c r="G67" s="114"/>
      <c r="H67" s="101"/>
      <c r="I67" s="101"/>
      <c r="J67" s="101"/>
      <c r="K67" s="101"/>
      <c r="L67" s="101"/>
      <c r="M67" s="101"/>
      <c r="N67" s="101"/>
      <c r="O67" s="101"/>
      <c r="P67" s="100"/>
      <c r="R67" s="25" t="s">
        <v>69</v>
      </c>
      <c r="S67" s="18">
        <f>$S$35</f>
        <v>33</v>
      </c>
      <c r="T67" s="18">
        <f>$S$35</f>
        <v>33</v>
      </c>
      <c r="U67" s="31">
        <f>$S$35</f>
        <v>33</v>
      </c>
    </row>
    <row r="68" spans="1:23" ht="15" thickBot="1" x14ac:dyDescent="0.35">
      <c r="A68" s="145" t="s">
        <v>40</v>
      </c>
      <c r="B68" s="145"/>
      <c r="C68" s="51"/>
      <c r="D68" s="78">
        <f>382+452+516</f>
        <v>1350</v>
      </c>
      <c r="E68" s="78">
        <v>3540</v>
      </c>
      <c r="F68" s="101"/>
      <c r="G68" s="114"/>
      <c r="H68" s="101"/>
      <c r="I68" s="101"/>
      <c r="J68" s="101"/>
      <c r="K68" s="101"/>
      <c r="L68" s="101"/>
      <c r="M68" s="101"/>
      <c r="N68" s="101"/>
      <c r="O68" s="101"/>
      <c r="P68" s="100"/>
      <c r="R68" s="32" t="s">
        <v>71</v>
      </c>
      <c r="S68" s="22">
        <f>S66/S67</f>
        <v>34949.272727272728</v>
      </c>
      <c r="T68" s="22">
        <f>T66/T67</f>
        <v>60706.848484848488</v>
      </c>
      <c r="U68" s="23">
        <f>U66/U67</f>
        <v>68282.606060606064</v>
      </c>
    </row>
    <row r="69" spans="1:23" ht="14.4" x14ac:dyDescent="0.3">
      <c r="A69" s="145" t="s">
        <v>105</v>
      </c>
      <c r="B69" s="145"/>
      <c r="C69" s="51"/>
      <c r="D69" s="78"/>
      <c r="E69" s="78"/>
      <c r="F69" s="101"/>
      <c r="G69" s="114"/>
      <c r="H69" s="101"/>
      <c r="I69" s="101"/>
      <c r="J69" s="101"/>
      <c r="K69" s="101"/>
      <c r="L69" s="101"/>
      <c r="M69" s="101"/>
      <c r="N69" s="101"/>
      <c r="O69" s="101"/>
      <c r="P69" s="100"/>
    </row>
    <row r="70" spans="1:23" ht="14.4" x14ac:dyDescent="0.3">
      <c r="A70" s="145" t="s">
        <v>50</v>
      </c>
      <c r="B70" s="145">
        <v>7700</v>
      </c>
      <c r="C70" s="51"/>
      <c r="D70" s="78"/>
      <c r="E70" s="78"/>
      <c r="F70" s="101"/>
      <c r="G70" s="114"/>
      <c r="H70" s="101">
        <f>301</f>
        <v>301</v>
      </c>
      <c r="I70" s="101">
        <f>20000</f>
        <v>20000</v>
      </c>
      <c r="J70" s="101"/>
      <c r="K70" s="101"/>
      <c r="L70" s="101">
        <f>9505</f>
        <v>9505</v>
      </c>
      <c r="M70" s="101">
        <v>0</v>
      </c>
      <c r="N70" s="101">
        <f>654+1315</f>
        <v>1969</v>
      </c>
      <c r="O70" s="101"/>
      <c r="P70" s="100"/>
      <c r="S70" s="42"/>
      <c r="T70" s="45"/>
      <c r="U70" s="42"/>
    </row>
    <row r="71" spans="1:23" ht="14.4" x14ac:dyDescent="0.3">
      <c r="A71" s="145" t="s">
        <v>106</v>
      </c>
      <c r="B71" s="145"/>
      <c r="C71" s="51"/>
      <c r="D71" s="78"/>
      <c r="E71" s="78"/>
      <c r="F71" s="101">
        <f>1104+543+810+36+788</f>
        <v>3281</v>
      </c>
      <c r="G71" s="114"/>
      <c r="H71" s="101"/>
      <c r="I71" s="101"/>
      <c r="J71" s="101"/>
      <c r="K71" s="101"/>
      <c r="L71" s="101"/>
      <c r="M71" s="101"/>
      <c r="N71" s="101"/>
      <c r="O71" s="101"/>
      <c r="P71" s="100"/>
      <c r="S71" s="42"/>
      <c r="T71" s="45"/>
      <c r="U71" s="42"/>
    </row>
    <row r="72" spans="1:23" ht="14.4" x14ac:dyDescent="0.3">
      <c r="A72" s="145" t="s">
        <v>107</v>
      </c>
      <c r="B72" s="145">
        <v>302259</v>
      </c>
      <c r="C72" s="51">
        <f>594+1100+5818+12152</f>
        <v>19664</v>
      </c>
      <c r="D72" s="78">
        <f>2544+29810+36024+30166+49500</f>
        <v>148044</v>
      </c>
      <c r="E72" s="78">
        <v>214474</v>
      </c>
      <c r="F72" s="101">
        <f>2277</f>
        <v>2277</v>
      </c>
      <c r="G72" s="114">
        <f>506+828+483+1932+691+510+530+483</f>
        <v>5963</v>
      </c>
      <c r="H72" s="101">
        <f>644+828+828</f>
        <v>2300</v>
      </c>
      <c r="I72" s="101"/>
      <c r="J72" s="101"/>
      <c r="K72" s="101"/>
      <c r="L72" s="101"/>
      <c r="M72" s="101"/>
      <c r="N72" s="101"/>
      <c r="O72" s="101"/>
      <c r="P72" s="100"/>
      <c r="W72" s="1"/>
    </row>
    <row r="73" spans="1:23" ht="14.4" x14ac:dyDescent="0.3">
      <c r="A73" s="145" t="s">
        <v>108</v>
      </c>
      <c r="B73" s="145"/>
      <c r="C73" s="51"/>
      <c r="D73" s="78"/>
      <c r="E73" s="78"/>
      <c r="F73" s="101"/>
      <c r="G73" s="114"/>
      <c r="H73" s="101">
        <f>11313+40938+53280+39974+13319+25257+27863</f>
        <v>211944</v>
      </c>
      <c r="I73" s="101">
        <f>2106+590+391+576+307+399+195+200+399+8210+39332+53700+36010+17490+54800</f>
        <v>214705</v>
      </c>
      <c r="J73" s="101">
        <f>513+483+989+84+322+1465+483+490+532+492+496</f>
        <v>6349</v>
      </c>
      <c r="K73" s="101">
        <f>12751+88323+4701+54094+31686+38182+22125+16475+12942+40501+41337+508</f>
        <v>363625</v>
      </c>
      <c r="L73" s="101">
        <f>15250+30536+9788+495+248+275+54130+248+371+124+36118+17023+9923+46821+249+55346+15950+40075+50925+500+500+34857+10643</f>
        <v>430395</v>
      </c>
      <c r="M73" s="101">
        <f>25006+21556+31166+52075</f>
        <v>129803</v>
      </c>
      <c r="N73" s="101">
        <f>56211+32529+52830+53033+65447+4532+78700+51399+24015+29648+13914+29994</f>
        <v>492252</v>
      </c>
      <c r="O73" s="101"/>
      <c r="P73" s="100">
        <f>30743+16890</f>
        <v>47633</v>
      </c>
      <c r="W73" s="1"/>
    </row>
    <row r="74" spans="1:23" ht="14.4" x14ac:dyDescent="0.3">
      <c r="A74" s="145" t="s">
        <v>109</v>
      </c>
      <c r="B74" s="145"/>
      <c r="C74" s="51"/>
      <c r="D74" s="78"/>
      <c r="E74" s="78"/>
      <c r="F74" s="101"/>
      <c r="G74" s="114"/>
      <c r="H74" s="101"/>
      <c r="I74" s="101">
        <f>304+506+552+943+23+207+506+483+598</f>
        <v>4122</v>
      </c>
      <c r="J74" s="101">
        <f>968+483+463+969+462+833+629+506+484+2231+276</f>
        <v>8304</v>
      </c>
      <c r="K74" s="101"/>
      <c r="L74" s="101"/>
      <c r="M74" s="101"/>
      <c r="N74" s="101"/>
      <c r="O74" s="101"/>
      <c r="P74" s="100"/>
      <c r="W74" s="1"/>
    </row>
    <row r="75" spans="1:23" ht="14.4" x14ac:dyDescent="0.3">
      <c r="A75" s="145" t="s">
        <v>84</v>
      </c>
      <c r="B75" s="34"/>
      <c r="C75" s="51"/>
      <c r="D75" s="78"/>
      <c r="E75" s="78"/>
      <c r="F75" s="101"/>
      <c r="G75" s="114"/>
      <c r="H75" s="101"/>
      <c r="I75" s="101"/>
      <c r="J75" s="101"/>
      <c r="K75" s="101"/>
      <c r="L75" s="101"/>
      <c r="M75" s="101"/>
      <c r="N75" s="101"/>
      <c r="O75" s="101"/>
      <c r="P75" s="100"/>
      <c r="W75" s="43"/>
    </row>
    <row r="76" spans="1:23" ht="14.4" x14ac:dyDescent="0.3">
      <c r="A76" s="34" t="s">
        <v>73</v>
      </c>
      <c r="B76" s="34"/>
      <c r="C76" s="51"/>
      <c r="D76" s="78"/>
      <c r="E76" s="78"/>
      <c r="F76" s="101"/>
      <c r="G76" s="114"/>
      <c r="H76" s="101"/>
      <c r="I76" s="101"/>
      <c r="J76" s="101"/>
      <c r="K76" s="101"/>
      <c r="L76" s="101"/>
      <c r="M76" s="101"/>
      <c r="N76" s="101"/>
      <c r="O76" s="101"/>
      <c r="P76" s="100"/>
      <c r="W76" s="43"/>
    </row>
    <row r="77" spans="1:23" ht="14.4" x14ac:dyDescent="0.3">
      <c r="A77" s="34" t="s">
        <v>110</v>
      </c>
      <c r="B77" s="34">
        <v>4109</v>
      </c>
      <c r="C77" s="51">
        <f>352+2002</f>
        <v>2354</v>
      </c>
      <c r="D77" s="78">
        <f>1757+280+280+473+2151</f>
        <v>4941</v>
      </c>
      <c r="E77" s="78"/>
      <c r="F77" s="101"/>
      <c r="G77" s="114"/>
      <c r="H77" s="101"/>
      <c r="I77" s="101"/>
      <c r="J77" s="101"/>
      <c r="K77" s="101"/>
      <c r="L77" s="101"/>
      <c r="M77" s="101"/>
      <c r="N77" s="101"/>
      <c r="O77" s="101">
        <f>301</f>
        <v>301</v>
      </c>
      <c r="P77" s="100">
        <v>0</v>
      </c>
      <c r="R77" s="17"/>
      <c r="W77" s="17"/>
    </row>
    <row r="78" spans="1:23" ht="14.4" x14ac:dyDescent="0.3">
      <c r="A78" s="34" t="s">
        <v>66</v>
      </c>
      <c r="B78" s="34"/>
      <c r="C78" s="51"/>
      <c r="D78" s="78">
        <f>5812+7883</f>
        <v>13695</v>
      </c>
      <c r="E78" s="78"/>
      <c r="F78" s="101"/>
      <c r="G78" s="114"/>
      <c r="H78" s="101"/>
      <c r="I78" s="101"/>
      <c r="J78" s="101"/>
      <c r="K78" s="101"/>
      <c r="L78" s="101"/>
      <c r="M78" s="101"/>
      <c r="N78" s="101"/>
      <c r="O78" s="101"/>
      <c r="P78" s="100"/>
      <c r="R78" s="17"/>
      <c r="W78" s="17"/>
    </row>
    <row r="79" spans="1:23" ht="14.4" x14ac:dyDescent="0.3">
      <c r="A79" s="145" t="s">
        <v>111</v>
      </c>
      <c r="B79" s="34"/>
      <c r="C79" s="51"/>
      <c r="D79" s="78"/>
      <c r="E79" s="78"/>
      <c r="F79" s="101"/>
      <c r="G79" s="114"/>
      <c r="H79" s="101"/>
      <c r="I79" s="101"/>
      <c r="J79" s="101"/>
      <c r="K79" s="101"/>
      <c r="L79" s="101"/>
      <c r="M79" s="101"/>
      <c r="N79" s="101">
        <f>136+91+300+379+239</f>
        <v>1145</v>
      </c>
      <c r="O79" s="101"/>
      <c r="P79" s="100"/>
    </row>
    <row r="80" spans="1:23" ht="14.4" x14ac:dyDescent="0.3">
      <c r="A80" s="34" t="s">
        <v>112</v>
      </c>
      <c r="B80" s="34"/>
      <c r="C80" s="51"/>
      <c r="D80" s="78"/>
      <c r="E80" s="78"/>
      <c r="F80" s="101"/>
      <c r="G80" s="114"/>
      <c r="H80" s="101"/>
      <c r="I80" s="101"/>
      <c r="J80" s="101"/>
      <c r="K80" s="101">
        <f>21</f>
        <v>21</v>
      </c>
      <c r="L80" s="101"/>
      <c r="M80" s="101"/>
      <c r="N80" s="101"/>
      <c r="O80" s="101"/>
      <c r="P80" s="100"/>
    </row>
    <row r="81" spans="1:30" ht="14.4" x14ac:dyDescent="0.3">
      <c r="A81" s="34" t="s">
        <v>64</v>
      </c>
      <c r="B81" s="34"/>
      <c r="C81" s="51"/>
      <c r="D81" s="78"/>
      <c r="E81" s="78">
        <v>52499</v>
      </c>
      <c r="F81" s="101"/>
      <c r="G81" s="114"/>
      <c r="H81" s="101"/>
      <c r="I81" s="101"/>
      <c r="J81" s="101"/>
      <c r="K81" s="101"/>
      <c r="L81" s="101"/>
      <c r="M81" s="101"/>
      <c r="N81" s="101"/>
      <c r="O81" s="101"/>
      <c r="P81" s="100"/>
      <c r="R81" s="17"/>
    </row>
    <row r="82" spans="1:30" ht="14.4" x14ac:dyDescent="0.3">
      <c r="A82" s="145" t="s">
        <v>75</v>
      </c>
      <c r="B82" s="34"/>
      <c r="C82" s="51"/>
      <c r="D82" s="78"/>
      <c r="E82" s="78"/>
      <c r="F82" s="101"/>
      <c r="G82" s="114"/>
      <c r="H82" s="101">
        <f>283+594+599+725+552+602+604+456+606+454</f>
        <v>5475</v>
      </c>
      <c r="I82" s="101"/>
      <c r="J82" s="101"/>
      <c r="K82" s="101"/>
      <c r="L82" s="101"/>
      <c r="M82" s="101"/>
      <c r="N82" s="101"/>
      <c r="O82" s="101"/>
      <c r="P82" s="100"/>
      <c r="R82" s="17"/>
    </row>
    <row r="83" spans="1:30" ht="14.4" x14ac:dyDescent="0.3">
      <c r="A83" s="145" t="s">
        <v>113</v>
      </c>
      <c r="B83" s="34"/>
      <c r="C83" s="51"/>
      <c r="D83" s="78"/>
      <c r="E83" s="78">
        <v>55959</v>
      </c>
      <c r="F83" s="101"/>
      <c r="G83" s="114"/>
      <c r="H83" s="101"/>
      <c r="I83" s="101"/>
      <c r="J83" s="101"/>
      <c r="K83" s="101">
        <f>262+254+264</f>
        <v>780</v>
      </c>
      <c r="L83" s="101">
        <f>1116+549</f>
        <v>1665</v>
      </c>
      <c r="M83" s="101">
        <f>2054+506+1364+1518+770+220</f>
        <v>6432</v>
      </c>
      <c r="N83" s="101">
        <f>41+275+572+305+204+512+512+287+225+308+362+273+356+106+382</f>
        <v>4720</v>
      </c>
      <c r="O83" s="101">
        <f>437+569+127+127+429+663+339+237+432+662</f>
        <v>4022</v>
      </c>
      <c r="P83" s="100">
        <v>0</v>
      </c>
      <c r="R83" s="17"/>
    </row>
    <row r="84" spans="1:30" ht="14.4" x14ac:dyDescent="0.3">
      <c r="A84" s="145" t="s">
        <v>76</v>
      </c>
      <c r="B84" s="145">
        <v>2537</v>
      </c>
      <c r="C84" s="51"/>
      <c r="D84" s="78"/>
      <c r="E84" s="78"/>
      <c r="F84" s="101"/>
      <c r="G84" s="114"/>
      <c r="H84" s="101"/>
      <c r="I84" s="101"/>
      <c r="J84" s="101"/>
      <c r="K84" s="101"/>
      <c r="L84" s="101"/>
      <c r="M84" s="101"/>
      <c r="N84" s="101"/>
      <c r="O84" s="101"/>
      <c r="P84" s="100"/>
    </row>
    <row r="85" spans="1:30" ht="14.4" x14ac:dyDescent="0.3">
      <c r="A85" s="145" t="s">
        <v>271</v>
      </c>
      <c r="B85" s="145"/>
      <c r="C85" s="51"/>
      <c r="D85" s="78"/>
      <c r="E85" s="78"/>
      <c r="F85" s="101"/>
      <c r="G85" s="114"/>
      <c r="H85" s="101"/>
      <c r="I85" s="101"/>
      <c r="J85" s="101"/>
      <c r="K85" s="101"/>
      <c r="L85" s="101"/>
      <c r="M85" s="101"/>
      <c r="N85" s="101"/>
      <c r="O85" s="101"/>
      <c r="P85" s="100">
        <f>713</f>
        <v>713</v>
      </c>
    </row>
    <row r="86" spans="1:30" ht="14.4" x14ac:dyDescent="0.3">
      <c r="A86" s="145" t="s">
        <v>80</v>
      </c>
      <c r="B86" s="145"/>
      <c r="C86" s="51"/>
      <c r="D86" s="78"/>
      <c r="E86" s="78"/>
      <c r="F86" s="101"/>
      <c r="G86" s="114"/>
      <c r="H86" s="101"/>
      <c r="I86" s="101"/>
      <c r="J86" s="101"/>
      <c r="K86" s="101"/>
      <c r="L86" s="101"/>
      <c r="M86" s="101"/>
      <c r="N86" s="101"/>
      <c r="O86" s="101"/>
      <c r="P86" s="100"/>
    </row>
    <row r="87" spans="1:30" ht="14.4" x14ac:dyDescent="0.3">
      <c r="A87" s="34" t="s">
        <v>90</v>
      </c>
      <c r="B87" s="34"/>
      <c r="C87" s="51"/>
      <c r="D87" s="78"/>
      <c r="E87" s="78"/>
      <c r="F87" s="101"/>
      <c r="G87" s="114">
        <f>132</f>
        <v>132</v>
      </c>
      <c r="H87" s="101"/>
      <c r="I87" s="101"/>
      <c r="J87" s="101"/>
      <c r="K87" s="101"/>
      <c r="L87" s="101"/>
      <c r="M87" s="101"/>
      <c r="N87" s="101">
        <f>72</f>
        <v>72</v>
      </c>
      <c r="O87" s="101">
        <f>553+315+417+71</f>
        <v>1356</v>
      </c>
      <c r="P87" s="100">
        <v>0</v>
      </c>
    </row>
    <row r="88" spans="1:30" ht="14.4" x14ac:dyDescent="0.3">
      <c r="A88" s="34" t="s">
        <v>114</v>
      </c>
      <c r="B88" s="34"/>
      <c r="C88" s="51"/>
      <c r="D88" s="78"/>
      <c r="E88" s="78"/>
      <c r="F88" s="101"/>
      <c r="G88" s="114"/>
      <c r="H88" s="101"/>
      <c r="I88" s="101"/>
      <c r="J88" s="101"/>
      <c r="K88" s="101"/>
      <c r="L88" s="101">
        <f>335+434</f>
        <v>769</v>
      </c>
      <c r="M88" s="101">
        <f>139+208</f>
        <v>347</v>
      </c>
      <c r="N88" s="101"/>
      <c r="O88" s="101"/>
      <c r="P88" s="100"/>
    </row>
    <row r="89" spans="1:30" ht="14.4" x14ac:dyDescent="0.3">
      <c r="A89" s="34" t="s">
        <v>78</v>
      </c>
      <c r="B89" s="34"/>
      <c r="C89" s="51"/>
      <c r="D89" s="78"/>
      <c r="E89" s="78"/>
      <c r="F89" s="101"/>
      <c r="G89" s="114"/>
      <c r="H89" s="101"/>
      <c r="I89" s="101"/>
      <c r="J89" s="101"/>
      <c r="K89" s="101"/>
      <c r="L89" s="101">
        <f>53610+27400+22400</f>
        <v>103410</v>
      </c>
      <c r="M89" s="101">
        <v>0</v>
      </c>
      <c r="N89" s="101"/>
      <c r="O89" s="101"/>
      <c r="P89" s="100"/>
    </row>
    <row r="90" spans="1:30" ht="14.4" x14ac:dyDescent="0.3">
      <c r="A90" s="34" t="s">
        <v>31</v>
      </c>
      <c r="B90" s="34">
        <v>263</v>
      </c>
      <c r="C90" s="51"/>
      <c r="D90" s="78">
        <f>638+633+506+319+1025+397+1008+1075+488+2034+1910+904+1675+1248+531+66+1085+775+587+1489+1543+1213+968+359+174+70+1035+366+951+598+365+69+318+784</f>
        <v>27206</v>
      </c>
      <c r="E90" s="78">
        <v>3617</v>
      </c>
      <c r="F90" s="101">
        <f>33+67+62+35</f>
        <v>197</v>
      </c>
      <c r="G90" s="114">
        <f>394+179+598+197+491+1740+2194+3167+2177+2486+2619+3109+3240+2734+1713+8992+4692+4785+4210+4018+5162+2556+2616+2436+3011+1426+1349+1233+888+249+922+765+670+37+738+355+362+572+1783+1593+332+101+748+5711+244</f>
        <v>89594</v>
      </c>
      <c r="H90" s="101">
        <f>889</f>
        <v>889</v>
      </c>
      <c r="I90" s="101"/>
      <c r="J90" s="101">
        <f>1226+1351+1901+2089+5750+5079+4513+4378+5445+3977+2687+1448+2015+2522+2337+1820+209+101+1162+1494+1240+925+1281+1230+1501+582+398+68+1137+934+1763+1731+2438+1052+1435+808+705</f>
        <v>70732</v>
      </c>
      <c r="K90" s="101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90" s="101">
        <f>27</f>
        <v>27</v>
      </c>
      <c r="M90" s="101">
        <f>935+202+264+535+770+472+647+1167+809+5+1067+751+376+781+104+64+1015+64</f>
        <v>10028</v>
      </c>
      <c r="N90" s="101">
        <f>7372+7523+7060+5682+4559+6281+7086+7707+6670+8583+7498+7244+7269+9454+5528+8844+4999+1876+2075+5583+8694+6933+7638+5447+4472+4085+5197+4487+6908+2942+2144+15+141+493+495+478</f>
        <v>189462</v>
      </c>
      <c r="O90" s="101">
        <f>4829+5017+3353+4519+8324+6932+8860+7213+7850+5186+4984+6242+5959+10049+10635+13470+8354+6783+8985+13315+13914+17372+14005+8932+9363+6205+9867+9761+11381+8198+9434+8611+8365+8737+10447+7368+11614+8061+9684+8347+8249+9808+6621+8468+8894+9669+7381+8790+8491+5211+4737+2936</f>
        <v>439780</v>
      </c>
      <c r="P90" s="100">
        <f>444+34+175+104+1+37+416+1363+141+10060+6552+4304+3883+2288</f>
        <v>29802</v>
      </c>
    </row>
    <row r="91" spans="1:30" ht="14.4" x14ac:dyDescent="0.3">
      <c r="A91" s="145" t="s">
        <v>55</v>
      </c>
      <c r="B91" s="145">
        <v>40800</v>
      </c>
      <c r="C91" s="51"/>
      <c r="D91" s="78"/>
      <c r="E91" s="78"/>
      <c r="F91" s="101"/>
      <c r="G91" s="114"/>
      <c r="H91" s="101"/>
      <c r="I91" s="101"/>
      <c r="J91" s="101"/>
      <c r="K91" s="101"/>
      <c r="L91" s="101"/>
      <c r="M91" s="101"/>
      <c r="N91" s="101"/>
      <c r="O91" s="101"/>
      <c r="P91" s="100"/>
    </row>
    <row r="92" spans="1:30" ht="14.4" x14ac:dyDescent="0.3">
      <c r="A92" s="166" t="s">
        <v>68</v>
      </c>
      <c r="B92" s="169"/>
      <c r="C92" s="50"/>
      <c r="D92" s="78"/>
      <c r="E92" s="78">
        <v>50078</v>
      </c>
      <c r="F92" s="101"/>
      <c r="G92" s="114"/>
      <c r="H92" s="101"/>
      <c r="I92" s="101">
        <f>9300+39000+40093+11057</f>
        <v>99450</v>
      </c>
      <c r="J92" s="101"/>
      <c r="K92" s="101"/>
      <c r="L92" s="101">
        <f>27150</f>
        <v>27150</v>
      </c>
      <c r="M92" s="101">
        <f>2231+807+983</f>
        <v>4021</v>
      </c>
      <c r="N92" s="101"/>
      <c r="O92" s="101"/>
      <c r="P92" s="100"/>
    </row>
    <row r="93" spans="1:30" ht="14.4" x14ac:dyDescent="0.3">
      <c r="A93" s="166" t="s">
        <v>115</v>
      </c>
      <c r="B93" s="169"/>
      <c r="C93" s="50"/>
      <c r="D93" s="78"/>
      <c r="E93" s="78"/>
      <c r="F93" s="101"/>
      <c r="G93" s="114"/>
      <c r="H93" s="101"/>
      <c r="I93" s="101"/>
      <c r="J93" s="101"/>
      <c r="K93" s="101"/>
      <c r="L93" s="101"/>
      <c r="M93" s="101"/>
      <c r="N93" s="101"/>
      <c r="O93" s="101"/>
      <c r="P93" s="100"/>
    </row>
    <row r="94" spans="1:30" ht="14.4" x14ac:dyDescent="0.3">
      <c r="A94" s="166" t="s">
        <v>116</v>
      </c>
      <c r="B94" s="169"/>
      <c r="C94" s="50"/>
      <c r="D94" s="78"/>
      <c r="E94" s="78"/>
      <c r="F94" s="101"/>
      <c r="G94" s="114"/>
      <c r="H94" s="101">
        <f>54570</f>
        <v>54570</v>
      </c>
      <c r="I94" s="101">
        <f>1200+53400+53520+780+36867+17733+7523+51287+47633+25012+28280+11056+85566+112887+63203+40701+54600</f>
        <v>691248</v>
      </c>
      <c r="J94" s="101"/>
      <c r="K94" s="101">
        <f>23529+27871+10303+44365</f>
        <v>106068</v>
      </c>
      <c r="L94" s="101">
        <f>59950+23037+29065+29828+22672+31844+20656+58957+47161+28536+57458+22946</f>
        <v>432110</v>
      </c>
      <c r="M94" s="101">
        <f>52718+41485+12315+54610+52320+29271+25009+25847+15953+10803+4830+27528</f>
        <v>352689</v>
      </c>
      <c r="N94" s="101">
        <f>52775+54560+21280+6038+44677</f>
        <v>179330</v>
      </c>
      <c r="O94" s="101"/>
      <c r="P94" s="100">
        <f>41445+12675+22946+32054</f>
        <v>109120</v>
      </c>
    </row>
    <row r="95" spans="1:30" ht="14.4" x14ac:dyDescent="0.3">
      <c r="A95" s="166" t="s">
        <v>117</v>
      </c>
      <c r="B95" s="169"/>
      <c r="C95" s="50"/>
      <c r="D95" s="78"/>
      <c r="E95" s="78"/>
      <c r="F95" s="101">
        <f>897</f>
        <v>897</v>
      </c>
      <c r="G95" s="114"/>
      <c r="H95" s="101"/>
      <c r="I95" s="101"/>
      <c r="J95" s="101"/>
      <c r="K95" s="101"/>
      <c r="L95" s="101"/>
      <c r="M95" s="101"/>
      <c r="N95" s="101"/>
      <c r="O95" s="101"/>
      <c r="P95" s="100"/>
    </row>
    <row r="96" spans="1:30" ht="14.4" x14ac:dyDescent="0.3">
      <c r="A96" s="35" t="s">
        <v>118</v>
      </c>
      <c r="B96" s="70">
        <f>SUM(B57:B95)</f>
        <v>711250</v>
      </c>
      <c r="C96" s="77">
        <f>SUM(C57:C77)</f>
        <v>392095</v>
      </c>
      <c r="D96" s="83">
        <f t="shared" ref="D96:O96" si="3">SUM(D57:D95)</f>
        <v>1123009</v>
      </c>
      <c r="E96" s="83">
        <f t="shared" si="3"/>
        <v>1403269</v>
      </c>
      <c r="F96" s="101">
        <f t="shared" si="3"/>
        <v>210799</v>
      </c>
      <c r="G96" s="114">
        <f t="shared" si="3"/>
        <v>289140</v>
      </c>
      <c r="H96" s="101">
        <f t="shared" si="3"/>
        <v>1476701</v>
      </c>
      <c r="I96" s="101">
        <f t="shared" si="3"/>
        <v>1474333</v>
      </c>
      <c r="J96" s="101">
        <f t="shared" si="3"/>
        <v>402373</v>
      </c>
      <c r="K96" s="101">
        <f t="shared" si="3"/>
        <v>1424093</v>
      </c>
      <c r="L96" s="101">
        <f t="shared" si="3"/>
        <v>2878743</v>
      </c>
      <c r="M96" s="101">
        <f t="shared" si="3"/>
        <v>2152746</v>
      </c>
      <c r="N96" s="101">
        <f t="shared" si="3"/>
        <v>2167128</v>
      </c>
      <c r="O96" s="101">
        <f t="shared" si="3"/>
        <v>770377</v>
      </c>
      <c r="P96" s="100">
        <f t="shared" ref="P96" si="4">SUM(P57:P95)</f>
        <v>356670</v>
      </c>
      <c r="R96" s="17"/>
      <c r="Z96" s="162"/>
      <c r="AA96" s="162"/>
      <c r="AB96" s="162"/>
      <c r="AC96" s="162"/>
      <c r="AD96" s="162"/>
    </row>
    <row r="97" spans="1:16" ht="14.4" x14ac:dyDescent="0.3">
      <c r="A97" s="35" t="s">
        <v>119</v>
      </c>
      <c r="B97" s="70">
        <f t="shared" ref="B97:K97" si="5">B53+B96</f>
        <v>2442493</v>
      </c>
      <c r="C97" s="77">
        <f t="shared" si="5"/>
        <v>1787248</v>
      </c>
      <c r="D97" s="83">
        <f t="shared" si="5"/>
        <v>2024236</v>
      </c>
      <c r="E97" s="83">
        <f t="shared" si="5"/>
        <v>1939283</v>
      </c>
      <c r="F97" s="83">
        <f t="shared" si="5"/>
        <v>667445</v>
      </c>
      <c r="G97" s="116">
        <f t="shared" si="5"/>
        <v>814219</v>
      </c>
      <c r="H97" s="116">
        <f t="shared" si="5"/>
        <v>2246674</v>
      </c>
      <c r="I97" s="116">
        <f t="shared" si="5"/>
        <v>1942990</v>
      </c>
      <c r="J97" s="116">
        <f t="shared" si="5"/>
        <v>1420564</v>
      </c>
      <c r="K97" s="116">
        <f t="shared" si="5"/>
        <v>2541166</v>
      </c>
      <c r="L97" s="101"/>
      <c r="M97" s="99"/>
      <c r="N97" s="99"/>
      <c r="O97" s="99"/>
      <c r="P97" s="99"/>
    </row>
  </sheetData>
  <mergeCells count="1">
    <mergeCell ref="R25:R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93" t="s">
        <v>257</v>
      </c>
      <c r="B1" s="94"/>
      <c r="C1" s="94"/>
      <c r="D1" s="94"/>
      <c r="E1" s="94"/>
    </row>
    <row r="2" spans="1:7" ht="14.4" x14ac:dyDescent="0.3">
      <c r="A2" s="94"/>
      <c r="B2" s="94"/>
      <c r="C2" s="94"/>
      <c r="D2" s="94"/>
      <c r="E2" s="94"/>
    </row>
    <row r="3" spans="1:7" ht="14.4" x14ac:dyDescent="0.3">
      <c r="A3" s="95" t="s">
        <v>173</v>
      </c>
      <c r="B3" s="96" t="e">
        <f>#REF!</f>
        <v>#REF!</v>
      </c>
      <c r="C3" s="94"/>
      <c r="D3" s="94"/>
      <c r="E3" s="94"/>
    </row>
    <row r="4" spans="1:7" ht="14.4" x14ac:dyDescent="0.3">
      <c r="A4" s="95" t="s">
        <v>174</v>
      </c>
      <c r="B4" s="97" t="e">
        <f>B3</f>
        <v>#REF!</v>
      </c>
      <c r="C4" s="94"/>
      <c r="D4" s="94"/>
      <c r="E4" s="94"/>
    </row>
    <row r="5" spans="1:7" ht="14.4" x14ac:dyDescent="0.3">
      <c r="A5" s="94"/>
      <c r="B5" s="94"/>
      <c r="C5" s="94"/>
      <c r="D5" s="94"/>
      <c r="E5" s="94"/>
    </row>
    <row r="6" spans="1:7" ht="15.6" x14ac:dyDescent="0.3">
      <c r="A6" s="206" t="s">
        <v>258</v>
      </c>
      <c r="B6" s="207"/>
      <c r="C6" s="207"/>
      <c r="D6" s="207"/>
      <c r="E6" s="207"/>
      <c r="F6" s="207"/>
      <c r="G6" s="208"/>
    </row>
    <row r="7" spans="1:7" ht="15.6" x14ac:dyDescent="0.3">
      <c r="A7" s="206" t="s">
        <v>259</v>
      </c>
      <c r="B7" s="207"/>
      <c r="C7" s="207"/>
      <c r="D7" s="207"/>
      <c r="E7" s="207"/>
      <c r="F7" s="207"/>
      <c r="G7" s="208"/>
    </row>
    <row r="8" spans="1:7" x14ac:dyDescent="0.25">
      <c r="A8" s="209" t="s">
        <v>178</v>
      </c>
      <c r="B8" s="210"/>
      <c r="C8" s="210"/>
      <c r="D8" s="210"/>
      <c r="E8" s="210"/>
      <c r="F8" s="210"/>
      <c r="G8" s="211"/>
    </row>
    <row r="9" spans="1:7" x14ac:dyDescent="0.25">
      <c r="A9" s="107"/>
      <c r="B9" s="107" t="s">
        <v>179</v>
      </c>
      <c r="C9" s="107" t="s">
        <v>260</v>
      </c>
      <c r="D9" s="107" t="s">
        <v>261</v>
      </c>
      <c r="E9" s="107" t="s">
        <v>262</v>
      </c>
      <c r="F9" s="107" t="s">
        <v>263</v>
      </c>
      <c r="G9" s="107" t="s">
        <v>263</v>
      </c>
    </row>
    <row r="10" spans="1:7" x14ac:dyDescent="0.25">
      <c r="A10" s="106">
        <v>1</v>
      </c>
      <c r="B10" s="106" t="s">
        <v>185</v>
      </c>
      <c r="C10" s="108">
        <v>0</v>
      </c>
      <c r="D10" s="108">
        <v>0</v>
      </c>
      <c r="E10" s="108">
        <v>0</v>
      </c>
      <c r="F10" s="109">
        <f t="shared" ref="F10:F61" si="0">SUM(C10:E10)</f>
        <v>0</v>
      </c>
      <c r="G10" s="109">
        <f>F10</f>
        <v>0</v>
      </c>
    </row>
    <row r="11" spans="1:7" x14ac:dyDescent="0.25">
      <c r="A11" s="106">
        <v>2</v>
      </c>
      <c r="B11" s="106" t="s">
        <v>186</v>
      </c>
      <c r="C11" s="108">
        <v>0</v>
      </c>
      <c r="D11" s="108">
        <v>0</v>
      </c>
      <c r="E11" s="108">
        <v>0</v>
      </c>
      <c r="F11" s="109">
        <f t="shared" si="0"/>
        <v>0</v>
      </c>
      <c r="G11" s="109">
        <f t="shared" ref="G11:G61" si="1">F11+G10</f>
        <v>0</v>
      </c>
    </row>
    <row r="12" spans="1:7" x14ac:dyDescent="0.25">
      <c r="A12" s="106">
        <v>3</v>
      </c>
      <c r="B12" s="106" t="s">
        <v>187</v>
      </c>
      <c r="C12" s="108">
        <v>22313</v>
      </c>
      <c r="D12" s="108">
        <v>0</v>
      </c>
      <c r="E12" s="108">
        <v>0</v>
      </c>
      <c r="F12" s="109">
        <f t="shared" si="0"/>
        <v>22313</v>
      </c>
      <c r="G12" s="109">
        <f t="shared" si="1"/>
        <v>22313</v>
      </c>
    </row>
    <row r="13" spans="1:7" x14ac:dyDescent="0.25">
      <c r="A13" s="106">
        <v>4</v>
      </c>
      <c r="B13" s="106" t="s">
        <v>188</v>
      </c>
      <c r="C13" s="108">
        <v>0</v>
      </c>
      <c r="D13" s="108">
        <v>0</v>
      </c>
      <c r="E13" s="108">
        <v>0</v>
      </c>
      <c r="F13" s="109">
        <f t="shared" si="0"/>
        <v>0</v>
      </c>
      <c r="G13" s="109">
        <f t="shared" si="1"/>
        <v>22313</v>
      </c>
    </row>
    <row r="14" spans="1:7" x14ac:dyDescent="0.25">
      <c r="A14" s="106">
        <v>5</v>
      </c>
      <c r="B14" s="106" t="s">
        <v>189</v>
      </c>
      <c r="C14" s="108">
        <v>0</v>
      </c>
      <c r="D14" s="108">
        <v>0</v>
      </c>
      <c r="E14" s="108">
        <v>0</v>
      </c>
      <c r="F14" s="109">
        <f t="shared" si="0"/>
        <v>0</v>
      </c>
      <c r="G14" s="109">
        <f t="shared" si="1"/>
        <v>22313</v>
      </c>
    </row>
    <row r="15" spans="1:7" x14ac:dyDescent="0.25">
      <c r="A15" s="106">
        <v>6</v>
      </c>
      <c r="B15" s="106" t="s">
        <v>190</v>
      </c>
      <c r="C15" s="108">
        <v>0</v>
      </c>
      <c r="D15" s="108">
        <v>0</v>
      </c>
      <c r="E15" s="108">
        <v>0</v>
      </c>
      <c r="F15" s="109">
        <f t="shared" si="0"/>
        <v>0</v>
      </c>
      <c r="G15" s="109">
        <f t="shared" si="1"/>
        <v>22313</v>
      </c>
    </row>
    <row r="16" spans="1:7" x14ac:dyDescent="0.25">
      <c r="A16" s="106">
        <v>7</v>
      </c>
      <c r="B16" s="106" t="s">
        <v>191</v>
      </c>
      <c r="C16" s="108">
        <v>0</v>
      </c>
      <c r="D16" s="108">
        <v>0</v>
      </c>
      <c r="E16" s="108">
        <v>0</v>
      </c>
      <c r="F16" s="109">
        <f t="shared" si="0"/>
        <v>0</v>
      </c>
      <c r="G16" s="109">
        <f t="shared" si="1"/>
        <v>22313</v>
      </c>
    </row>
    <row r="17" spans="1:7" x14ac:dyDescent="0.25">
      <c r="A17" s="106">
        <v>8</v>
      </c>
      <c r="B17" s="106" t="s">
        <v>192</v>
      </c>
      <c r="C17" s="108">
        <v>0</v>
      </c>
      <c r="D17" s="108">
        <v>0</v>
      </c>
      <c r="E17" s="108">
        <v>0</v>
      </c>
      <c r="F17" s="109">
        <f t="shared" si="0"/>
        <v>0</v>
      </c>
      <c r="G17" s="109">
        <f t="shared" si="1"/>
        <v>22313</v>
      </c>
    </row>
    <row r="18" spans="1:7" x14ac:dyDescent="0.25">
      <c r="A18" s="106">
        <v>9</v>
      </c>
      <c r="B18" s="106" t="s">
        <v>193</v>
      </c>
      <c r="C18" s="108">
        <v>1646</v>
      </c>
      <c r="D18" s="108">
        <v>0</v>
      </c>
      <c r="E18" s="108">
        <v>0</v>
      </c>
      <c r="F18" s="109">
        <f t="shared" si="0"/>
        <v>1646</v>
      </c>
      <c r="G18" s="109">
        <f t="shared" si="1"/>
        <v>23959</v>
      </c>
    </row>
    <row r="19" spans="1:7" x14ac:dyDescent="0.25">
      <c r="A19" s="106">
        <v>10</v>
      </c>
      <c r="B19" s="106" t="s">
        <v>194</v>
      </c>
      <c r="C19" s="108">
        <v>42211</v>
      </c>
      <c r="D19" s="108">
        <v>13807</v>
      </c>
      <c r="E19" s="108">
        <v>0</v>
      </c>
      <c r="F19" s="109">
        <f t="shared" si="0"/>
        <v>56018</v>
      </c>
      <c r="G19" s="109">
        <f t="shared" si="1"/>
        <v>79977</v>
      </c>
    </row>
    <row r="20" spans="1:7" x14ac:dyDescent="0.25">
      <c r="A20" s="106">
        <v>11</v>
      </c>
      <c r="B20" s="106" t="s">
        <v>195</v>
      </c>
      <c r="C20" s="108">
        <v>18983</v>
      </c>
      <c r="D20" s="108">
        <v>0</v>
      </c>
      <c r="E20" s="108">
        <v>0</v>
      </c>
      <c r="F20" s="109">
        <f t="shared" si="0"/>
        <v>18983</v>
      </c>
      <c r="G20" s="109">
        <f t="shared" si="1"/>
        <v>98960</v>
      </c>
    </row>
    <row r="21" spans="1:7" x14ac:dyDescent="0.25">
      <c r="A21" s="106">
        <v>12</v>
      </c>
      <c r="B21" s="106" t="s">
        <v>196</v>
      </c>
      <c r="C21" s="108">
        <v>31496</v>
      </c>
      <c r="D21" s="108">
        <v>600</v>
      </c>
      <c r="E21" s="108">
        <v>0</v>
      </c>
      <c r="F21" s="109">
        <f t="shared" si="0"/>
        <v>32096</v>
      </c>
      <c r="G21" s="109">
        <f t="shared" si="1"/>
        <v>131056</v>
      </c>
    </row>
    <row r="22" spans="1:7" x14ac:dyDescent="0.25">
      <c r="A22" s="106">
        <v>13</v>
      </c>
      <c r="B22" s="106" t="s">
        <v>197</v>
      </c>
      <c r="C22" s="108">
        <v>7745</v>
      </c>
      <c r="D22" s="108">
        <v>15815</v>
      </c>
      <c r="E22" s="108">
        <v>0</v>
      </c>
      <c r="F22" s="109">
        <f t="shared" si="0"/>
        <v>23560</v>
      </c>
      <c r="G22" s="109">
        <f t="shared" si="1"/>
        <v>154616</v>
      </c>
    </row>
    <row r="23" spans="1:7" x14ac:dyDescent="0.25">
      <c r="A23" s="106">
        <v>14</v>
      </c>
      <c r="B23" s="106" t="s">
        <v>198</v>
      </c>
      <c r="C23" s="108">
        <v>17262</v>
      </c>
      <c r="D23" s="108">
        <v>0</v>
      </c>
      <c r="E23" s="108">
        <v>0</v>
      </c>
      <c r="F23" s="109">
        <f t="shared" si="0"/>
        <v>17262</v>
      </c>
      <c r="G23" s="109">
        <f t="shared" si="1"/>
        <v>171878</v>
      </c>
    </row>
    <row r="24" spans="1:7" x14ac:dyDescent="0.25">
      <c r="A24" s="106">
        <v>15</v>
      </c>
      <c r="B24" s="106" t="s">
        <v>199</v>
      </c>
      <c r="C24" s="108">
        <v>0</v>
      </c>
      <c r="D24" s="108">
        <v>2894</v>
      </c>
      <c r="E24" s="108">
        <v>0</v>
      </c>
      <c r="F24" s="109">
        <f t="shared" si="0"/>
        <v>2894</v>
      </c>
      <c r="G24" s="109">
        <f t="shared" si="1"/>
        <v>174772</v>
      </c>
    </row>
    <row r="25" spans="1:7" x14ac:dyDescent="0.25">
      <c r="A25" s="106">
        <v>16</v>
      </c>
      <c r="B25" s="106" t="s">
        <v>200</v>
      </c>
      <c r="C25" s="108">
        <v>28877</v>
      </c>
      <c r="D25" s="108">
        <v>13605</v>
      </c>
      <c r="E25" s="108">
        <v>0</v>
      </c>
      <c r="F25" s="109">
        <f t="shared" si="0"/>
        <v>42482</v>
      </c>
      <c r="G25" s="109">
        <f t="shared" si="1"/>
        <v>217254</v>
      </c>
    </row>
    <row r="26" spans="1:7" x14ac:dyDescent="0.25">
      <c r="A26" s="106">
        <v>17</v>
      </c>
      <c r="B26" s="106" t="s">
        <v>201</v>
      </c>
      <c r="C26" s="108">
        <v>58091</v>
      </c>
      <c r="D26" s="108">
        <v>0</v>
      </c>
      <c r="E26" s="108">
        <v>0</v>
      </c>
      <c r="F26" s="109">
        <f t="shared" si="0"/>
        <v>58091</v>
      </c>
      <c r="G26" s="109">
        <f t="shared" si="1"/>
        <v>275345</v>
      </c>
    </row>
    <row r="27" spans="1:7" x14ac:dyDescent="0.25">
      <c r="A27" s="106">
        <v>18</v>
      </c>
      <c r="B27" s="106" t="s">
        <v>202</v>
      </c>
      <c r="C27" s="108">
        <v>14049</v>
      </c>
      <c r="D27" s="108">
        <v>4542</v>
      </c>
      <c r="E27" s="108">
        <v>0</v>
      </c>
      <c r="F27" s="109">
        <f t="shared" si="0"/>
        <v>18591</v>
      </c>
      <c r="G27" s="109">
        <f t="shared" si="1"/>
        <v>293936</v>
      </c>
    </row>
    <row r="28" spans="1:7" x14ac:dyDescent="0.25">
      <c r="A28" s="106">
        <v>19</v>
      </c>
      <c r="B28" s="106" t="s">
        <v>203</v>
      </c>
      <c r="C28" s="108">
        <v>65488</v>
      </c>
      <c r="D28" s="108">
        <v>8978</v>
      </c>
      <c r="E28" s="108">
        <v>0</v>
      </c>
      <c r="F28" s="109">
        <f t="shared" si="0"/>
        <v>74466</v>
      </c>
      <c r="G28" s="109">
        <f t="shared" si="1"/>
        <v>368402</v>
      </c>
    </row>
    <row r="29" spans="1:7" x14ac:dyDescent="0.25">
      <c r="A29" s="106">
        <v>20</v>
      </c>
      <c r="B29" s="106" t="s">
        <v>204</v>
      </c>
      <c r="C29" s="108">
        <v>0</v>
      </c>
      <c r="D29" s="108">
        <v>0</v>
      </c>
      <c r="E29" s="108">
        <v>0</v>
      </c>
      <c r="F29" s="109">
        <f t="shared" si="0"/>
        <v>0</v>
      </c>
      <c r="G29" s="109">
        <f t="shared" si="1"/>
        <v>368402</v>
      </c>
    </row>
    <row r="30" spans="1:7" x14ac:dyDescent="0.25">
      <c r="A30" s="106">
        <v>21</v>
      </c>
      <c r="B30" s="106" t="s">
        <v>205</v>
      </c>
      <c r="C30" s="108">
        <v>0</v>
      </c>
      <c r="D30" s="108">
        <v>17504</v>
      </c>
      <c r="E30" s="108">
        <v>0</v>
      </c>
      <c r="F30" s="109">
        <f t="shared" si="0"/>
        <v>17504</v>
      </c>
      <c r="G30" s="109">
        <f t="shared" si="1"/>
        <v>385906</v>
      </c>
    </row>
    <row r="31" spans="1:7" x14ac:dyDescent="0.25">
      <c r="A31" s="106">
        <v>22</v>
      </c>
      <c r="B31" s="106" t="s">
        <v>206</v>
      </c>
      <c r="C31" s="108">
        <v>33320</v>
      </c>
      <c r="D31" s="108">
        <v>0</v>
      </c>
      <c r="E31" s="108">
        <v>0</v>
      </c>
      <c r="F31" s="109">
        <f t="shared" si="0"/>
        <v>33320</v>
      </c>
      <c r="G31" s="109">
        <f t="shared" si="1"/>
        <v>419226</v>
      </c>
    </row>
    <row r="32" spans="1:7" x14ac:dyDescent="0.25">
      <c r="A32" s="106">
        <v>23</v>
      </c>
      <c r="B32" s="106" t="s">
        <v>207</v>
      </c>
      <c r="C32" s="108">
        <v>20565</v>
      </c>
      <c r="D32" s="108">
        <v>0</v>
      </c>
      <c r="E32" s="108">
        <v>0</v>
      </c>
      <c r="F32" s="109">
        <f t="shared" si="0"/>
        <v>20565</v>
      </c>
      <c r="G32" s="109">
        <f t="shared" si="1"/>
        <v>439791</v>
      </c>
    </row>
    <row r="33" spans="1:7" x14ac:dyDescent="0.25">
      <c r="A33" s="106">
        <v>24</v>
      </c>
      <c r="B33" s="106" t="s">
        <v>208</v>
      </c>
      <c r="C33" s="108">
        <v>6544</v>
      </c>
      <c r="D33" s="108">
        <v>0</v>
      </c>
      <c r="E33" s="108">
        <v>0</v>
      </c>
      <c r="F33" s="109">
        <f t="shared" si="0"/>
        <v>6544</v>
      </c>
      <c r="G33" s="109">
        <f t="shared" si="1"/>
        <v>446335</v>
      </c>
    </row>
    <row r="34" spans="1:7" x14ac:dyDescent="0.25">
      <c r="A34" s="106">
        <v>25</v>
      </c>
      <c r="B34" s="106" t="s">
        <v>209</v>
      </c>
      <c r="C34" s="108">
        <v>28262</v>
      </c>
      <c r="D34" s="108">
        <v>0</v>
      </c>
      <c r="E34" s="108">
        <v>0</v>
      </c>
      <c r="F34" s="109">
        <f t="shared" si="0"/>
        <v>28262</v>
      </c>
      <c r="G34" s="109">
        <f t="shared" si="1"/>
        <v>474597</v>
      </c>
    </row>
    <row r="35" spans="1:7" x14ac:dyDescent="0.25">
      <c r="A35" s="106">
        <v>26</v>
      </c>
      <c r="B35" s="106" t="s">
        <v>210</v>
      </c>
      <c r="C35" s="108">
        <v>36656</v>
      </c>
      <c r="D35" s="108">
        <v>20660</v>
      </c>
      <c r="E35" s="108">
        <v>0</v>
      </c>
      <c r="F35" s="109">
        <f t="shared" si="0"/>
        <v>57316</v>
      </c>
      <c r="G35" s="109">
        <f t="shared" si="1"/>
        <v>531913</v>
      </c>
    </row>
    <row r="36" spans="1:7" x14ac:dyDescent="0.25">
      <c r="A36" s="106">
        <v>27</v>
      </c>
      <c r="B36" s="106" t="s">
        <v>211</v>
      </c>
      <c r="C36" s="108">
        <v>57153</v>
      </c>
      <c r="D36" s="108">
        <v>5843</v>
      </c>
      <c r="E36" s="108">
        <v>0</v>
      </c>
      <c r="F36" s="109">
        <f t="shared" si="0"/>
        <v>62996</v>
      </c>
      <c r="G36" s="109">
        <f t="shared" si="1"/>
        <v>594909</v>
      </c>
    </row>
    <row r="37" spans="1:7" x14ac:dyDescent="0.25">
      <c r="A37" s="106">
        <v>28</v>
      </c>
      <c r="B37" s="106" t="s">
        <v>212</v>
      </c>
      <c r="C37" s="108">
        <v>18023</v>
      </c>
      <c r="D37" s="108">
        <v>0</v>
      </c>
      <c r="E37" s="108">
        <v>0</v>
      </c>
      <c r="F37" s="109">
        <f t="shared" si="0"/>
        <v>18023</v>
      </c>
      <c r="G37" s="109">
        <f t="shared" si="1"/>
        <v>612932</v>
      </c>
    </row>
    <row r="38" spans="1:7" x14ac:dyDescent="0.25">
      <c r="A38" s="106">
        <v>29</v>
      </c>
      <c r="B38" s="106" t="s">
        <v>213</v>
      </c>
      <c r="C38" s="108">
        <v>49972</v>
      </c>
      <c r="D38" s="108">
        <v>0</v>
      </c>
      <c r="E38" s="108">
        <v>2482</v>
      </c>
      <c r="F38" s="109">
        <f t="shared" si="0"/>
        <v>52454</v>
      </c>
      <c r="G38" s="109">
        <f t="shared" si="1"/>
        <v>665386</v>
      </c>
    </row>
    <row r="39" spans="1:7" x14ac:dyDescent="0.25">
      <c r="A39" s="106">
        <v>30</v>
      </c>
      <c r="B39" s="106" t="s">
        <v>214</v>
      </c>
      <c r="C39" s="108">
        <v>28646</v>
      </c>
      <c r="D39" s="108">
        <v>11475</v>
      </c>
      <c r="E39" s="108">
        <v>7805</v>
      </c>
      <c r="F39" s="109">
        <f t="shared" si="0"/>
        <v>47926</v>
      </c>
      <c r="G39" s="109">
        <f t="shared" si="1"/>
        <v>713312</v>
      </c>
    </row>
    <row r="40" spans="1:7" x14ac:dyDescent="0.25">
      <c r="A40" s="106">
        <v>31</v>
      </c>
      <c r="B40" s="106" t="s">
        <v>215</v>
      </c>
      <c r="C40" s="108">
        <v>32601</v>
      </c>
      <c r="D40" s="108">
        <v>9267</v>
      </c>
      <c r="E40" s="108">
        <v>0</v>
      </c>
      <c r="F40" s="109">
        <f t="shared" si="0"/>
        <v>41868</v>
      </c>
      <c r="G40" s="109">
        <f t="shared" si="1"/>
        <v>755180</v>
      </c>
    </row>
    <row r="41" spans="1:7" x14ac:dyDescent="0.25">
      <c r="A41" s="106">
        <v>32</v>
      </c>
      <c r="B41" s="106" t="s">
        <v>216</v>
      </c>
      <c r="C41" s="108">
        <v>0</v>
      </c>
      <c r="D41" s="108">
        <v>0</v>
      </c>
      <c r="E41" s="108">
        <v>0</v>
      </c>
      <c r="F41" s="109">
        <f t="shared" si="0"/>
        <v>0</v>
      </c>
      <c r="G41" s="109">
        <f t="shared" si="1"/>
        <v>755180</v>
      </c>
    </row>
    <row r="42" spans="1:7" x14ac:dyDescent="0.25">
      <c r="A42" s="106">
        <v>33</v>
      </c>
      <c r="B42" s="106" t="s">
        <v>217</v>
      </c>
      <c r="C42" s="108">
        <v>0</v>
      </c>
      <c r="D42" s="108">
        <v>0</v>
      </c>
      <c r="E42" s="108">
        <v>0</v>
      </c>
      <c r="F42" s="109">
        <f t="shared" si="0"/>
        <v>0</v>
      </c>
      <c r="G42" s="109">
        <f t="shared" si="1"/>
        <v>755180</v>
      </c>
    </row>
    <row r="43" spans="1:7" x14ac:dyDescent="0.25">
      <c r="A43" s="106">
        <v>34</v>
      </c>
      <c r="B43" s="106" t="s">
        <v>218</v>
      </c>
      <c r="C43" s="108">
        <v>0</v>
      </c>
      <c r="D43" s="108">
        <v>0</v>
      </c>
      <c r="E43" s="108">
        <v>0</v>
      </c>
      <c r="F43" s="109">
        <f t="shared" si="0"/>
        <v>0</v>
      </c>
      <c r="G43" s="109">
        <f t="shared" si="1"/>
        <v>755180</v>
      </c>
    </row>
    <row r="44" spans="1:7" x14ac:dyDescent="0.25">
      <c r="A44" s="106">
        <v>35</v>
      </c>
      <c r="B44" s="106" t="s">
        <v>220</v>
      </c>
      <c r="C44" s="108">
        <v>17521</v>
      </c>
      <c r="D44" s="108">
        <v>26061</v>
      </c>
      <c r="E44" s="108">
        <v>0</v>
      </c>
      <c r="F44" s="109">
        <f t="shared" si="0"/>
        <v>43582</v>
      </c>
      <c r="G44" s="109">
        <f t="shared" si="1"/>
        <v>798762</v>
      </c>
    </row>
    <row r="45" spans="1:7" x14ac:dyDescent="0.25">
      <c r="A45" s="106">
        <v>36</v>
      </c>
      <c r="B45" s="106" t="s">
        <v>221</v>
      </c>
      <c r="C45" s="108">
        <v>4145</v>
      </c>
      <c r="D45" s="108">
        <v>0</v>
      </c>
      <c r="E45" s="108">
        <v>0</v>
      </c>
      <c r="F45" s="109">
        <f t="shared" si="0"/>
        <v>4145</v>
      </c>
      <c r="G45" s="109">
        <f t="shared" si="1"/>
        <v>802907</v>
      </c>
    </row>
    <row r="46" spans="1:7" x14ac:dyDescent="0.25">
      <c r="A46" s="106">
        <v>37</v>
      </c>
      <c r="B46" s="106" t="s">
        <v>222</v>
      </c>
      <c r="C46" s="108">
        <v>26531</v>
      </c>
      <c r="D46" s="108">
        <v>0</v>
      </c>
      <c r="E46" s="108">
        <v>0</v>
      </c>
      <c r="F46" s="109">
        <f t="shared" si="0"/>
        <v>26531</v>
      </c>
      <c r="G46" s="109">
        <f t="shared" si="1"/>
        <v>829438</v>
      </c>
    </row>
    <row r="47" spans="1:7" x14ac:dyDescent="0.25">
      <c r="A47" s="106">
        <v>38</v>
      </c>
      <c r="B47" s="106" t="s">
        <v>223</v>
      </c>
      <c r="C47" s="108">
        <v>0</v>
      </c>
      <c r="D47" s="108">
        <v>0</v>
      </c>
      <c r="E47" s="108">
        <v>0</v>
      </c>
      <c r="F47" s="109">
        <f t="shared" si="0"/>
        <v>0</v>
      </c>
      <c r="G47" s="109">
        <f t="shared" si="1"/>
        <v>829438</v>
      </c>
    </row>
    <row r="48" spans="1:7" x14ac:dyDescent="0.25">
      <c r="A48" s="106">
        <v>39</v>
      </c>
      <c r="B48" s="106" t="s">
        <v>224</v>
      </c>
      <c r="C48" s="108">
        <v>17090</v>
      </c>
      <c r="D48" s="108">
        <v>4307</v>
      </c>
      <c r="E48" s="108">
        <v>0</v>
      </c>
      <c r="F48" s="109">
        <f t="shared" si="0"/>
        <v>21397</v>
      </c>
      <c r="G48" s="109">
        <f t="shared" si="1"/>
        <v>850835</v>
      </c>
    </row>
    <row r="49" spans="1:7" x14ac:dyDescent="0.25">
      <c r="A49" s="106">
        <v>40</v>
      </c>
      <c r="B49" s="106" t="s">
        <v>225</v>
      </c>
      <c r="C49" s="108">
        <v>0</v>
      </c>
      <c r="D49" s="108">
        <v>16740</v>
      </c>
      <c r="E49" s="108">
        <v>0</v>
      </c>
      <c r="F49" s="109">
        <f t="shared" si="0"/>
        <v>16740</v>
      </c>
      <c r="G49" s="109">
        <f t="shared" si="1"/>
        <v>867575</v>
      </c>
    </row>
    <row r="50" spans="1:7" x14ac:dyDescent="0.25">
      <c r="A50" s="106">
        <v>41</v>
      </c>
      <c r="B50" s="106" t="s">
        <v>226</v>
      </c>
      <c r="C50" s="108">
        <v>0</v>
      </c>
      <c r="D50" s="108">
        <v>3590</v>
      </c>
      <c r="E50" s="108">
        <v>0</v>
      </c>
      <c r="F50" s="109">
        <f t="shared" si="0"/>
        <v>3590</v>
      </c>
      <c r="G50" s="109">
        <f t="shared" si="1"/>
        <v>871165</v>
      </c>
    </row>
    <row r="51" spans="1:7" x14ac:dyDescent="0.25">
      <c r="A51" s="106">
        <v>42</v>
      </c>
      <c r="B51" s="106" t="s">
        <v>227</v>
      </c>
      <c r="C51" s="108">
        <v>0</v>
      </c>
      <c r="D51" s="108">
        <v>0</v>
      </c>
      <c r="E51" s="108">
        <v>0</v>
      </c>
      <c r="F51" s="109">
        <f t="shared" si="0"/>
        <v>0</v>
      </c>
      <c r="G51" s="109">
        <f t="shared" si="1"/>
        <v>871165</v>
      </c>
    </row>
    <row r="52" spans="1:7" x14ac:dyDescent="0.25">
      <c r="A52" s="106">
        <v>43</v>
      </c>
      <c r="B52" s="106" t="s">
        <v>228</v>
      </c>
      <c r="C52" s="108">
        <v>0</v>
      </c>
      <c r="D52" s="108">
        <v>0</v>
      </c>
      <c r="E52" s="108">
        <v>0</v>
      </c>
      <c r="F52" s="109">
        <f t="shared" si="0"/>
        <v>0</v>
      </c>
      <c r="G52" s="109">
        <f t="shared" si="1"/>
        <v>871165</v>
      </c>
    </row>
    <row r="53" spans="1:7" x14ac:dyDescent="0.25">
      <c r="A53" s="106">
        <v>44</v>
      </c>
      <c r="B53" s="106" t="s">
        <v>229</v>
      </c>
      <c r="C53" s="108">
        <v>0</v>
      </c>
      <c r="D53" s="108">
        <v>0</v>
      </c>
      <c r="E53" s="108">
        <v>0</v>
      </c>
      <c r="F53" s="109">
        <f t="shared" si="0"/>
        <v>0</v>
      </c>
      <c r="G53" s="109">
        <f t="shared" si="1"/>
        <v>871165</v>
      </c>
    </row>
    <row r="54" spans="1:7" x14ac:dyDescent="0.25">
      <c r="A54" s="106">
        <v>45</v>
      </c>
      <c r="B54" s="106" t="s">
        <v>230</v>
      </c>
      <c r="C54" s="108">
        <v>0</v>
      </c>
      <c r="D54" s="108">
        <v>0</v>
      </c>
      <c r="E54" s="108">
        <v>0</v>
      </c>
      <c r="F54" s="109">
        <f t="shared" si="0"/>
        <v>0</v>
      </c>
      <c r="G54" s="109">
        <f t="shared" si="1"/>
        <v>871165</v>
      </c>
    </row>
    <row r="55" spans="1:7" x14ac:dyDescent="0.25">
      <c r="A55" s="106">
        <v>46</v>
      </c>
      <c r="B55" s="106" t="s">
        <v>231</v>
      </c>
      <c r="C55" s="108">
        <v>16455</v>
      </c>
      <c r="D55" s="108">
        <v>0</v>
      </c>
      <c r="E55" s="108">
        <v>0</v>
      </c>
      <c r="F55" s="109">
        <f t="shared" si="0"/>
        <v>16455</v>
      </c>
      <c r="G55" s="109">
        <f t="shared" si="1"/>
        <v>887620</v>
      </c>
    </row>
    <row r="56" spans="1:7" x14ac:dyDescent="0.25">
      <c r="A56" s="106">
        <v>47</v>
      </c>
      <c r="B56" s="106" t="s">
        <v>232</v>
      </c>
      <c r="C56" s="108">
        <v>560</v>
      </c>
      <c r="D56" s="108">
        <v>10652</v>
      </c>
      <c r="E56" s="108">
        <v>0</v>
      </c>
      <c r="F56" s="109">
        <f t="shared" si="0"/>
        <v>11212</v>
      </c>
      <c r="G56" s="109">
        <f t="shared" si="1"/>
        <v>898832</v>
      </c>
    </row>
    <row r="57" spans="1:7" x14ac:dyDescent="0.25">
      <c r="A57" s="106">
        <v>48</v>
      </c>
      <c r="B57" s="106" t="s">
        <v>233</v>
      </c>
      <c r="C57" s="108">
        <v>0</v>
      </c>
      <c r="D57" s="108">
        <v>14068</v>
      </c>
      <c r="E57" s="108">
        <v>0</v>
      </c>
      <c r="F57" s="109">
        <f t="shared" si="0"/>
        <v>14068</v>
      </c>
      <c r="G57" s="109">
        <f t="shared" si="1"/>
        <v>912900</v>
      </c>
    </row>
    <row r="58" spans="1:7" x14ac:dyDescent="0.25">
      <c r="A58" s="106">
        <v>49</v>
      </c>
      <c r="B58" s="106" t="s">
        <v>234</v>
      </c>
      <c r="C58" s="108">
        <v>0</v>
      </c>
      <c r="D58" s="108">
        <v>0</v>
      </c>
      <c r="E58" s="108">
        <v>0</v>
      </c>
      <c r="F58" s="109">
        <f t="shared" si="0"/>
        <v>0</v>
      </c>
      <c r="G58" s="109">
        <f t="shared" si="1"/>
        <v>912900</v>
      </c>
    </row>
    <row r="59" spans="1:7" x14ac:dyDescent="0.25">
      <c r="A59" s="106">
        <v>50</v>
      </c>
      <c r="B59" s="106" t="s">
        <v>235</v>
      </c>
      <c r="C59" s="108">
        <v>0</v>
      </c>
      <c r="D59" s="108">
        <v>0</v>
      </c>
      <c r="E59" s="108">
        <v>0</v>
      </c>
      <c r="F59" s="109">
        <f t="shared" si="0"/>
        <v>0</v>
      </c>
      <c r="G59" s="109">
        <f t="shared" si="1"/>
        <v>912900</v>
      </c>
    </row>
    <row r="60" spans="1:7" x14ac:dyDescent="0.25">
      <c r="A60" s="106">
        <v>51</v>
      </c>
      <c r="B60" s="106" t="s">
        <v>236</v>
      </c>
      <c r="C60" s="108">
        <v>0</v>
      </c>
      <c r="D60" s="108">
        <v>0</v>
      </c>
      <c r="E60" s="108">
        <v>0</v>
      </c>
      <c r="F60" s="109">
        <f t="shared" si="0"/>
        <v>0</v>
      </c>
      <c r="G60" s="109">
        <f t="shared" si="1"/>
        <v>912900</v>
      </c>
    </row>
    <row r="61" spans="1:7" x14ac:dyDescent="0.25">
      <c r="A61" s="106">
        <v>52</v>
      </c>
      <c r="B61" s="106" t="s">
        <v>237</v>
      </c>
      <c r="C61" s="108">
        <v>0</v>
      </c>
      <c r="D61" s="108">
        <v>0</v>
      </c>
      <c r="E61" s="108">
        <v>0</v>
      </c>
      <c r="F61" s="109">
        <f t="shared" si="0"/>
        <v>0</v>
      </c>
      <c r="G61" s="109">
        <f t="shared" si="1"/>
        <v>912900</v>
      </c>
    </row>
    <row r="62" spans="1:7" x14ac:dyDescent="0.25">
      <c r="A62" s="106" t="s">
        <v>178</v>
      </c>
      <c r="B62" s="106" t="s">
        <v>238</v>
      </c>
      <c r="C62" s="109">
        <f>SUM(C10:C61)</f>
        <v>702205</v>
      </c>
      <c r="D62" s="109">
        <f>SUM(D10:D61)</f>
        <v>200408</v>
      </c>
      <c r="E62" s="109">
        <f>SUM(E10:E61)</f>
        <v>10287</v>
      </c>
      <c r="F62" s="109">
        <f>SUM(F10:F61)</f>
        <v>912900</v>
      </c>
      <c r="G62" s="109"/>
    </row>
    <row r="64" spans="1:7" ht="14.4" x14ac:dyDescent="0.3">
      <c r="A64" s="104" t="s">
        <v>264</v>
      </c>
      <c r="B64" s="104"/>
    </row>
    <row r="65" spans="1:2" ht="14.4" x14ac:dyDescent="0.3">
      <c r="A65" s="104" t="s">
        <v>265</v>
      </c>
      <c r="B65" s="104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93" t="s">
        <v>266</v>
      </c>
      <c r="B1" s="94"/>
      <c r="C1" s="94"/>
      <c r="D1" s="94"/>
      <c r="E1" s="94"/>
      <c r="F1" s="94"/>
    </row>
    <row r="2" spans="1:8" ht="14.4" x14ac:dyDescent="0.3">
      <c r="A2" s="94"/>
      <c r="B2" s="94"/>
      <c r="C2" s="94"/>
      <c r="D2" s="94"/>
      <c r="E2" s="94"/>
      <c r="F2" s="94"/>
    </row>
    <row r="3" spans="1:8" ht="14.4" x14ac:dyDescent="0.3">
      <c r="A3" s="95" t="s">
        <v>173</v>
      </c>
      <c r="B3" s="96" t="e">
        <f>#REF!</f>
        <v>#REF!</v>
      </c>
      <c r="C3" s="94"/>
      <c r="D3" s="94"/>
      <c r="E3" s="94"/>
      <c r="F3" s="94"/>
    </row>
    <row r="4" spans="1:8" ht="14.4" x14ac:dyDescent="0.3">
      <c r="A4" s="95" t="s">
        <v>174</v>
      </c>
      <c r="B4" s="97" t="e">
        <f>B3</f>
        <v>#REF!</v>
      </c>
      <c r="C4" s="94"/>
      <c r="D4" s="94"/>
      <c r="E4" s="94"/>
      <c r="F4" s="94"/>
    </row>
    <row r="5" spans="1:8" ht="14.4" x14ac:dyDescent="0.3">
      <c r="A5" s="94"/>
      <c r="B5" s="94"/>
      <c r="C5" s="94"/>
      <c r="D5" s="94"/>
      <c r="E5" s="94"/>
      <c r="F5" s="94"/>
    </row>
    <row r="6" spans="1:8" ht="15.6" x14ac:dyDescent="0.3">
      <c r="A6" s="206" t="s">
        <v>267</v>
      </c>
      <c r="B6" s="207"/>
      <c r="C6" s="207"/>
      <c r="D6" s="207"/>
      <c r="E6" s="207"/>
      <c r="F6" s="207"/>
      <c r="G6" s="207"/>
      <c r="H6" s="208"/>
    </row>
    <row r="7" spans="1:8" ht="15.6" x14ac:dyDescent="0.3">
      <c r="A7" s="206" t="s">
        <v>268</v>
      </c>
      <c r="B7" s="207"/>
      <c r="C7" s="207"/>
      <c r="D7" s="207"/>
      <c r="E7" s="207"/>
      <c r="F7" s="207"/>
      <c r="G7" s="207"/>
      <c r="H7" s="208"/>
    </row>
    <row r="8" spans="1:8" x14ac:dyDescent="0.25">
      <c r="A8" s="209" t="s">
        <v>178</v>
      </c>
      <c r="B8" s="210"/>
      <c r="C8" s="210"/>
      <c r="D8" s="210"/>
      <c r="E8" s="210"/>
      <c r="F8" s="210"/>
      <c r="G8" s="210"/>
      <c r="H8" s="211"/>
    </row>
    <row r="9" spans="1:8" x14ac:dyDescent="0.25">
      <c r="A9" s="107"/>
      <c r="B9" s="107" t="s">
        <v>179</v>
      </c>
      <c r="C9" s="107" t="s">
        <v>269</v>
      </c>
      <c r="D9" s="107" t="s">
        <v>260</v>
      </c>
      <c r="E9" s="107" t="s">
        <v>261</v>
      </c>
      <c r="F9" s="107" t="s">
        <v>270</v>
      </c>
      <c r="G9" s="107" t="s">
        <v>263</v>
      </c>
      <c r="H9" s="107" t="s">
        <v>263</v>
      </c>
    </row>
    <row r="10" spans="1:8" x14ac:dyDescent="0.25">
      <c r="A10" s="106">
        <v>1</v>
      </c>
      <c r="B10" s="106" t="s">
        <v>185</v>
      </c>
      <c r="C10" s="108">
        <v>16689</v>
      </c>
      <c r="D10" s="108">
        <v>7161</v>
      </c>
      <c r="E10" s="108">
        <v>0</v>
      </c>
      <c r="F10" s="108">
        <v>2460</v>
      </c>
      <c r="G10" s="109">
        <f t="shared" ref="G10:G61" si="0">SUM(C10:F10)</f>
        <v>26310</v>
      </c>
      <c r="H10" s="109">
        <f>G10</f>
        <v>26310</v>
      </c>
    </row>
    <row r="11" spans="1:8" x14ac:dyDescent="0.25">
      <c r="A11" s="106">
        <v>2</v>
      </c>
      <c r="B11" s="106" t="s">
        <v>186</v>
      </c>
      <c r="C11" s="108">
        <v>48801</v>
      </c>
      <c r="D11" s="108">
        <v>7109</v>
      </c>
      <c r="E11" s="108">
        <v>0</v>
      </c>
      <c r="F11" s="108">
        <v>0</v>
      </c>
      <c r="G11" s="109">
        <f t="shared" si="0"/>
        <v>55910</v>
      </c>
      <c r="H11" s="109">
        <f t="shared" ref="H11:H61" si="1">G11+H10</f>
        <v>82220</v>
      </c>
    </row>
    <row r="12" spans="1:8" x14ac:dyDescent="0.25">
      <c r="A12" s="106">
        <v>3</v>
      </c>
      <c r="B12" s="106" t="s">
        <v>187</v>
      </c>
      <c r="C12" s="108">
        <v>28425</v>
      </c>
      <c r="D12" s="108">
        <v>0</v>
      </c>
      <c r="E12" s="108">
        <v>0</v>
      </c>
      <c r="F12" s="108">
        <v>0</v>
      </c>
      <c r="G12" s="109">
        <f t="shared" si="0"/>
        <v>28425</v>
      </c>
      <c r="H12" s="109">
        <f t="shared" si="1"/>
        <v>110645</v>
      </c>
    </row>
    <row r="13" spans="1:8" x14ac:dyDescent="0.25">
      <c r="A13" s="106">
        <v>4</v>
      </c>
      <c r="B13" s="106" t="s">
        <v>188</v>
      </c>
      <c r="C13" s="108">
        <v>3802</v>
      </c>
      <c r="D13" s="108">
        <v>32831</v>
      </c>
      <c r="E13" s="108">
        <v>0</v>
      </c>
      <c r="F13" s="108">
        <v>0</v>
      </c>
      <c r="G13" s="109">
        <f t="shared" si="0"/>
        <v>36633</v>
      </c>
      <c r="H13" s="109">
        <f t="shared" si="1"/>
        <v>147278</v>
      </c>
    </row>
    <row r="14" spans="1:8" x14ac:dyDescent="0.25">
      <c r="A14" s="106">
        <v>5</v>
      </c>
      <c r="B14" s="106" t="s">
        <v>189</v>
      </c>
      <c r="C14" s="108">
        <v>8237</v>
      </c>
      <c r="D14" s="108">
        <v>0</v>
      </c>
      <c r="E14" s="108">
        <v>0</v>
      </c>
      <c r="F14" s="108">
        <v>15184</v>
      </c>
      <c r="G14" s="109">
        <f t="shared" si="0"/>
        <v>23421</v>
      </c>
      <c r="H14" s="109">
        <f t="shared" si="1"/>
        <v>170699</v>
      </c>
    </row>
    <row r="15" spans="1:8" x14ac:dyDescent="0.25">
      <c r="A15" s="106">
        <v>6</v>
      </c>
      <c r="B15" s="106" t="s">
        <v>190</v>
      </c>
      <c r="C15" s="108">
        <v>24500</v>
      </c>
      <c r="D15" s="108">
        <v>25096</v>
      </c>
      <c r="E15" s="108">
        <v>0</v>
      </c>
      <c r="F15" s="108">
        <v>13698</v>
      </c>
      <c r="G15" s="109">
        <f t="shared" si="0"/>
        <v>63294</v>
      </c>
      <c r="H15" s="109">
        <f t="shared" si="1"/>
        <v>233993</v>
      </c>
    </row>
    <row r="16" spans="1:8" x14ac:dyDescent="0.25">
      <c r="A16" s="106">
        <v>7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233993</v>
      </c>
    </row>
    <row r="17" spans="1:8" x14ac:dyDescent="0.25">
      <c r="A17" s="106">
        <v>8</v>
      </c>
      <c r="B17" s="106" t="s">
        <v>192</v>
      </c>
      <c r="C17" s="108">
        <v>23166</v>
      </c>
      <c r="D17" s="108">
        <v>0</v>
      </c>
      <c r="E17" s="108">
        <v>0</v>
      </c>
      <c r="F17" s="108">
        <v>0</v>
      </c>
      <c r="G17" s="109">
        <f t="shared" si="0"/>
        <v>23166</v>
      </c>
      <c r="H17" s="109">
        <f t="shared" si="1"/>
        <v>257159</v>
      </c>
    </row>
    <row r="18" spans="1:8" x14ac:dyDescent="0.25">
      <c r="A18" s="106">
        <v>9</v>
      </c>
      <c r="B18" s="106" t="s">
        <v>193</v>
      </c>
      <c r="C18" s="108">
        <v>0</v>
      </c>
      <c r="D18" s="108">
        <v>8153</v>
      </c>
      <c r="E18" s="108">
        <v>0</v>
      </c>
      <c r="F18" s="108">
        <v>6490</v>
      </c>
      <c r="G18" s="109">
        <f t="shared" si="0"/>
        <v>14643</v>
      </c>
      <c r="H18" s="109">
        <f t="shared" si="1"/>
        <v>271802</v>
      </c>
    </row>
    <row r="19" spans="1:8" x14ac:dyDescent="0.25">
      <c r="A19" s="106">
        <v>10</v>
      </c>
      <c r="B19" s="106" t="s">
        <v>194</v>
      </c>
      <c r="C19" s="108">
        <v>0</v>
      </c>
      <c r="D19" s="108">
        <v>3599</v>
      </c>
      <c r="E19" s="108">
        <v>0</v>
      </c>
      <c r="F19" s="108">
        <v>0</v>
      </c>
      <c r="G19" s="109">
        <f t="shared" si="0"/>
        <v>3599</v>
      </c>
      <c r="H19" s="109">
        <f t="shared" si="1"/>
        <v>275401</v>
      </c>
    </row>
    <row r="20" spans="1:8" x14ac:dyDescent="0.25">
      <c r="A20" s="106">
        <v>11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275401</v>
      </c>
    </row>
    <row r="21" spans="1:8" x14ac:dyDescent="0.25">
      <c r="A21" s="106">
        <v>12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275401</v>
      </c>
    </row>
    <row r="22" spans="1:8" x14ac:dyDescent="0.25">
      <c r="A22" s="106">
        <v>13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275401</v>
      </c>
    </row>
    <row r="23" spans="1:8" x14ac:dyDescent="0.25">
      <c r="A23" s="106">
        <v>14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275401</v>
      </c>
    </row>
    <row r="24" spans="1:8" x14ac:dyDescent="0.25">
      <c r="A24" s="106">
        <v>15</v>
      </c>
      <c r="B24" s="106" t="s">
        <v>199</v>
      </c>
      <c r="C24" s="108">
        <v>22821</v>
      </c>
      <c r="D24" s="108">
        <v>16985</v>
      </c>
      <c r="E24" s="108">
        <v>0</v>
      </c>
      <c r="F24" s="108">
        <v>0</v>
      </c>
      <c r="G24" s="109">
        <f t="shared" si="0"/>
        <v>39806</v>
      </c>
      <c r="H24" s="109">
        <f t="shared" si="1"/>
        <v>315207</v>
      </c>
    </row>
    <row r="25" spans="1:8" x14ac:dyDescent="0.25">
      <c r="A25" s="106">
        <v>16</v>
      </c>
      <c r="B25" s="106" t="s">
        <v>200</v>
      </c>
      <c r="C25" s="108">
        <v>18060</v>
      </c>
      <c r="D25" s="108">
        <v>14850</v>
      </c>
      <c r="E25" s="108">
        <v>0</v>
      </c>
      <c r="F25" s="108">
        <v>14821</v>
      </c>
      <c r="G25" s="109">
        <f t="shared" si="0"/>
        <v>47731</v>
      </c>
      <c r="H25" s="109">
        <f t="shared" si="1"/>
        <v>362938</v>
      </c>
    </row>
    <row r="26" spans="1:8" x14ac:dyDescent="0.25">
      <c r="A26" s="106">
        <v>17</v>
      </c>
      <c r="B26" s="106" t="s">
        <v>201</v>
      </c>
      <c r="C26" s="108">
        <v>60484</v>
      </c>
      <c r="D26" s="108">
        <v>34868</v>
      </c>
      <c r="E26" s="108">
        <v>0</v>
      </c>
      <c r="F26" s="108">
        <v>0</v>
      </c>
      <c r="G26" s="109">
        <f t="shared" si="0"/>
        <v>95352</v>
      </c>
      <c r="H26" s="109">
        <f t="shared" si="1"/>
        <v>458290</v>
      </c>
    </row>
    <row r="27" spans="1:8" x14ac:dyDescent="0.25">
      <c r="A27" s="106">
        <v>18</v>
      </c>
      <c r="B27" s="106" t="s">
        <v>202</v>
      </c>
      <c r="C27" s="108">
        <v>18892</v>
      </c>
      <c r="D27" s="108">
        <v>22736</v>
      </c>
      <c r="E27" s="108">
        <v>0</v>
      </c>
      <c r="F27" s="108">
        <v>15057</v>
      </c>
      <c r="G27" s="109">
        <f t="shared" si="0"/>
        <v>56685</v>
      </c>
      <c r="H27" s="109">
        <f t="shared" si="1"/>
        <v>514975</v>
      </c>
    </row>
    <row r="28" spans="1:8" x14ac:dyDescent="0.25">
      <c r="A28" s="106">
        <v>19</v>
      </c>
      <c r="B28" s="106" t="s">
        <v>203</v>
      </c>
      <c r="C28" s="108">
        <v>40656</v>
      </c>
      <c r="D28" s="108">
        <v>0</v>
      </c>
      <c r="E28" s="108">
        <v>0</v>
      </c>
      <c r="F28" s="108">
        <v>27402</v>
      </c>
      <c r="G28" s="109">
        <f t="shared" si="0"/>
        <v>68058</v>
      </c>
      <c r="H28" s="109">
        <f t="shared" si="1"/>
        <v>583033</v>
      </c>
    </row>
    <row r="29" spans="1:8" x14ac:dyDescent="0.25">
      <c r="A29" s="106">
        <v>20</v>
      </c>
      <c r="B29" s="106" t="s">
        <v>204</v>
      </c>
      <c r="C29" s="108">
        <v>13362</v>
      </c>
      <c r="D29" s="108">
        <v>46141</v>
      </c>
      <c r="E29" s="108">
        <v>0</v>
      </c>
      <c r="F29" s="108">
        <v>0</v>
      </c>
      <c r="G29" s="109">
        <f t="shared" si="0"/>
        <v>59503</v>
      </c>
      <c r="H29" s="109">
        <f t="shared" si="1"/>
        <v>642536</v>
      </c>
    </row>
    <row r="30" spans="1:8" x14ac:dyDescent="0.25">
      <c r="A30" s="106">
        <v>21</v>
      </c>
      <c r="B30" s="106" t="s">
        <v>205</v>
      </c>
      <c r="C30" s="108">
        <v>0</v>
      </c>
      <c r="D30" s="108">
        <v>60114</v>
      </c>
      <c r="E30" s="108">
        <v>0</v>
      </c>
      <c r="F30" s="108">
        <v>0</v>
      </c>
      <c r="G30" s="109">
        <f t="shared" si="0"/>
        <v>60114</v>
      </c>
      <c r="H30" s="109">
        <f t="shared" si="1"/>
        <v>702650</v>
      </c>
    </row>
    <row r="31" spans="1:8" x14ac:dyDescent="0.25">
      <c r="A31" s="106">
        <v>22</v>
      </c>
      <c r="B31" s="106" t="s">
        <v>206</v>
      </c>
      <c r="C31" s="108">
        <v>2706</v>
      </c>
      <c r="D31" s="108">
        <v>11845</v>
      </c>
      <c r="E31" s="108">
        <v>11031</v>
      </c>
      <c r="F31" s="108">
        <v>0</v>
      </c>
      <c r="G31" s="109">
        <f t="shared" si="0"/>
        <v>25582</v>
      </c>
      <c r="H31" s="109">
        <f t="shared" si="1"/>
        <v>728232</v>
      </c>
    </row>
    <row r="32" spans="1:8" x14ac:dyDescent="0.25">
      <c r="A32" s="106">
        <v>23</v>
      </c>
      <c r="B32" s="106" t="s">
        <v>207</v>
      </c>
      <c r="C32" s="108">
        <v>20852</v>
      </c>
      <c r="D32" s="108">
        <v>0</v>
      </c>
      <c r="E32" s="108">
        <v>0</v>
      </c>
      <c r="F32" s="108">
        <v>2260</v>
      </c>
      <c r="G32" s="109">
        <f t="shared" si="0"/>
        <v>23112</v>
      </c>
      <c r="H32" s="109">
        <f t="shared" si="1"/>
        <v>751344</v>
      </c>
    </row>
    <row r="33" spans="1:8" x14ac:dyDescent="0.25">
      <c r="A33" s="106">
        <v>24</v>
      </c>
      <c r="B33" s="106" t="s">
        <v>208</v>
      </c>
      <c r="C33" s="108">
        <v>30974</v>
      </c>
      <c r="D33" s="108">
        <v>10657</v>
      </c>
      <c r="E33" s="108">
        <v>0</v>
      </c>
      <c r="F33" s="108">
        <v>1505</v>
      </c>
      <c r="G33" s="109">
        <f t="shared" si="0"/>
        <v>43136</v>
      </c>
      <c r="H33" s="109">
        <f t="shared" si="1"/>
        <v>794480</v>
      </c>
    </row>
    <row r="34" spans="1:8" x14ac:dyDescent="0.25">
      <c r="A34" s="106">
        <v>25</v>
      </c>
      <c r="B34" s="106" t="s">
        <v>209</v>
      </c>
      <c r="C34" s="108">
        <v>13435</v>
      </c>
      <c r="D34" s="108">
        <v>43304</v>
      </c>
      <c r="E34" s="108">
        <v>0</v>
      </c>
      <c r="F34" s="108">
        <v>0</v>
      </c>
      <c r="G34" s="109">
        <f t="shared" si="0"/>
        <v>56739</v>
      </c>
      <c r="H34" s="109">
        <f t="shared" si="1"/>
        <v>851219</v>
      </c>
    </row>
    <row r="35" spans="1:8" x14ac:dyDescent="0.25">
      <c r="A35" s="106">
        <v>26</v>
      </c>
      <c r="B35" s="106" t="s">
        <v>210</v>
      </c>
      <c r="C35" s="108">
        <v>18381</v>
      </c>
      <c r="D35" s="108">
        <v>27913</v>
      </c>
      <c r="E35" s="108">
        <v>0</v>
      </c>
      <c r="F35" s="108">
        <v>29300</v>
      </c>
      <c r="G35" s="109">
        <f t="shared" si="0"/>
        <v>75594</v>
      </c>
      <c r="H35" s="109">
        <f t="shared" si="1"/>
        <v>926813</v>
      </c>
    </row>
    <row r="36" spans="1:8" x14ac:dyDescent="0.25">
      <c r="A36" s="106">
        <v>27</v>
      </c>
      <c r="B36" s="106" t="s">
        <v>211</v>
      </c>
      <c r="C36" s="108">
        <v>0</v>
      </c>
      <c r="D36" s="108">
        <v>12570</v>
      </c>
      <c r="E36" s="108">
        <v>0</v>
      </c>
      <c r="F36" s="108">
        <v>0</v>
      </c>
      <c r="G36" s="109">
        <f t="shared" si="0"/>
        <v>12570</v>
      </c>
      <c r="H36" s="109">
        <f t="shared" si="1"/>
        <v>939383</v>
      </c>
    </row>
    <row r="37" spans="1:8" x14ac:dyDescent="0.25">
      <c r="A37" s="106">
        <v>28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939383</v>
      </c>
    </row>
    <row r="38" spans="1:8" x14ac:dyDescent="0.25">
      <c r="A38" s="106">
        <v>29</v>
      </c>
      <c r="B38" s="106" t="s">
        <v>213</v>
      </c>
      <c r="C38" s="108">
        <v>15222</v>
      </c>
      <c r="D38" s="108">
        <v>11597</v>
      </c>
      <c r="E38" s="108">
        <v>0</v>
      </c>
      <c r="F38" s="108">
        <v>0</v>
      </c>
      <c r="G38" s="109">
        <f t="shared" si="0"/>
        <v>26819</v>
      </c>
      <c r="H38" s="109">
        <f t="shared" si="1"/>
        <v>966202</v>
      </c>
    </row>
    <row r="39" spans="1:8" x14ac:dyDescent="0.25">
      <c r="A39" s="106">
        <v>30</v>
      </c>
      <c r="B39" s="106" t="s">
        <v>214</v>
      </c>
      <c r="C39" s="108">
        <v>22149</v>
      </c>
      <c r="D39" s="108">
        <v>0</v>
      </c>
      <c r="E39" s="108">
        <v>0</v>
      </c>
      <c r="F39" s="108">
        <v>0</v>
      </c>
      <c r="G39" s="109">
        <f t="shared" si="0"/>
        <v>22149</v>
      </c>
      <c r="H39" s="109">
        <f t="shared" si="1"/>
        <v>988351</v>
      </c>
    </row>
    <row r="40" spans="1:8" x14ac:dyDescent="0.25">
      <c r="A40" s="106">
        <v>31</v>
      </c>
      <c r="B40" s="106" t="s">
        <v>215</v>
      </c>
      <c r="C40" s="108">
        <v>32938</v>
      </c>
      <c r="D40" s="108">
        <v>18638</v>
      </c>
      <c r="E40" s="108">
        <v>0</v>
      </c>
      <c r="F40" s="108">
        <v>0</v>
      </c>
      <c r="G40" s="109">
        <f t="shared" si="0"/>
        <v>51576</v>
      </c>
      <c r="H40" s="109">
        <f t="shared" si="1"/>
        <v>1039927</v>
      </c>
    </row>
    <row r="41" spans="1:8" x14ac:dyDescent="0.25">
      <c r="A41" s="106">
        <v>32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1039927</v>
      </c>
    </row>
    <row r="42" spans="1:8" x14ac:dyDescent="0.25">
      <c r="A42" s="106">
        <v>33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1039927</v>
      </c>
    </row>
    <row r="43" spans="1:8" x14ac:dyDescent="0.25">
      <c r="A43" s="106">
        <v>34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1039927</v>
      </c>
    </row>
    <row r="44" spans="1:8" x14ac:dyDescent="0.25">
      <c r="A44" s="106">
        <v>35</v>
      </c>
      <c r="B44" s="106" t="s">
        <v>220</v>
      </c>
      <c r="C44" s="108">
        <v>42072</v>
      </c>
      <c r="D44" s="108">
        <v>32352</v>
      </c>
      <c r="E44" s="108">
        <v>0</v>
      </c>
      <c r="F44" s="108">
        <v>8552</v>
      </c>
      <c r="G44" s="109">
        <f t="shared" si="0"/>
        <v>82976</v>
      </c>
      <c r="H44" s="109">
        <f t="shared" si="1"/>
        <v>1122903</v>
      </c>
    </row>
    <row r="45" spans="1:8" x14ac:dyDescent="0.25">
      <c r="A45" s="106">
        <v>36</v>
      </c>
      <c r="B45" s="106" t="s">
        <v>221</v>
      </c>
      <c r="C45" s="108">
        <v>0</v>
      </c>
      <c r="D45" s="108">
        <v>0</v>
      </c>
      <c r="E45" s="108">
        <v>0</v>
      </c>
      <c r="F45" s="108">
        <v>28901</v>
      </c>
      <c r="G45" s="109">
        <f t="shared" si="0"/>
        <v>28901</v>
      </c>
      <c r="H45" s="109">
        <f t="shared" si="1"/>
        <v>1151804</v>
      </c>
    </row>
    <row r="46" spans="1:8" x14ac:dyDescent="0.25">
      <c r="A46" s="106">
        <v>37</v>
      </c>
      <c r="B46" s="106" t="s">
        <v>222</v>
      </c>
      <c r="C46" s="108">
        <v>0</v>
      </c>
      <c r="D46" s="108">
        <v>0</v>
      </c>
      <c r="E46" s="108">
        <v>0</v>
      </c>
      <c r="F46" s="108">
        <v>2759</v>
      </c>
      <c r="G46" s="109">
        <f t="shared" si="0"/>
        <v>2759</v>
      </c>
      <c r="H46" s="109">
        <f t="shared" si="1"/>
        <v>1154563</v>
      </c>
    </row>
    <row r="47" spans="1:8" x14ac:dyDescent="0.25">
      <c r="A47" s="106">
        <v>38</v>
      </c>
      <c r="B47" s="106" t="s">
        <v>223</v>
      </c>
      <c r="C47" s="108">
        <v>21858</v>
      </c>
      <c r="D47" s="108">
        <v>0</v>
      </c>
      <c r="E47" s="108">
        <v>0</v>
      </c>
      <c r="F47" s="108">
        <v>0</v>
      </c>
      <c r="G47" s="109">
        <f t="shared" si="0"/>
        <v>21858</v>
      </c>
      <c r="H47" s="109">
        <f t="shared" si="1"/>
        <v>1176421</v>
      </c>
    </row>
    <row r="48" spans="1:8" x14ac:dyDescent="0.25">
      <c r="A48" s="106">
        <v>39</v>
      </c>
      <c r="B48" s="106" t="s">
        <v>224</v>
      </c>
      <c r="C48" s="108">
        <v>11131</v>
      </c>
      <c r="D48" s="108">
        <v>19319</v>
      </c>
      <c r="E48" s="108">
        <v>0</v>
      </c>
      <c r="F48" s="108">
        <v>0</v>
      </c>
      <c r="G48" s="109">
        <f t="shared" si="0"/>
        <v>30450</v>
      </c>
      <c r="H48" s="109">
        <f t="shared" si="1"/>
        <v>1206871</v>
      </c>
    </row>
    <row r="49" spans="1:8" x14ac:dyDescent="0.25">
      <c r="A49" s="106">
        <v>40</v>
      </c>
      <c r="B49" s="106" t="s">
        <v>225</v>
      </c>
      <c r="C49" s="108">
        <v>33351</v>
      </c>
      <c r="D49" s="108">
        <v>35395</v>
      </c>
      <c r="E49" s="108">
        <v>0</v>
      </c>
      <c r="F49" s="108">
        <v>0</v>
      </c>
      <c r="G49" s="109">
        <f t="shared" si="0"/>
        <v>68746</v>
      </c>
      <c r="H49" s="109">
        <f t="shared" si="1"/>
        <v>1275617</v>
      </c>
    </row>
    <row r="50" spans="1:8" x14ac:dyDescent="0.25">
      <c r="A50" s="106">
        <v>41</v>
      </c>
      <c r="B50" s="106" t="s">
        <v>226</v>
      </c>
      <c r="C50" s="108">
        <v>0</v>
      </c>
      <c r="D50" s="108">
        <v>11335</v>
      </c>
      <c r="E50" s="108">
        <v>0</v>
      </c>
      <c r="F50" s="108">
        <v>0</v>
      </c>
      <c r="G50" s="109">
        <f t="shared" si="0"/>
        <v>11335</v>
      </c>
      <c r="H50" s="109">
        <f t="shared" si="1"/>
        <v>1286952</v>
      </c>
    </row>
    <row r="51" spans="1:8" x14ac:dyDescent="0.25">
      <c r="A51" s="106">
        <v>42</v>
      </c>
      <c r="B51" s="106" t="s">
        <v>227</v>
      </c>
      <c r="C51" s="108">
        <v>10904</v>
      </c>
      <c r="D51" s="108">
        <v>1289</v>
      </c>
      <c r="E51" s="108">
        <v>0</v>
      </c>
      <c r="F51" s="108">
        <v>0</v>
      </c>
      <c r="G51" s="109">
        <f t="shared" si="0"/>
        <v>12193</v>
      </c>
      <c r="H51" s="109">
        <f t="shared" si="1"/>
        <v>1299145</v>
      </c>
    </row>
    <row r="52" spans="1:8" x14ac:dyDescent="0.25">
      <c r="A52" s="106">
        <v>43</v>
      </c>
      <c r="B52" s="106" t="s">
        <v>228</v>
      </c>
      <c r="C52" s="108">
        <v>4004</v>
      </c>
      <c r="D52" s="108">
        <v>0</v>
      </c>
      <c r="E52" s="108">
        <v>0</v>
      </c>
      <c r="F52" s="108">
        <v>13619</v>
      </c>
      <c r="G52" s="109">
        <f t="shared" si="0"/>
        <v>17623</v>
      </c>
      <c r="H52" s="109">
        <f t="shared" si="1"/>
        <v>1316768</v>
      </c>
    </row>
    <row r="53" spans="1:8" x14ac:dyDescent="0.25">
      <c r="A53" s="106">
        <v>44</v>
      </c>
      <c r="B53" s="106" t="s">
        <v>229</v>
      </c>
      <c r="C53" s="108">
        <v>18143</v>
      </c>
      <c r="D53" s="108">
        <v>35337</v>
      </c>
      <c r="E53" s="108">
        <v>0</v>
      </c>
      <c r="F53" s="108">
        <v>18398</v>
      </c>
      <c r="G53" s="109">
        <f t="shared" si="0"/>
        <v>71878</v>
      </c>
      <c r="H53" s="109">
        <f t="shared" si="1"/>
        <v>1388646</v>
      </c>
    </row>
    <row r="54" spans="1:8" x14ac:dyDescent="0.25">
      <c r="A54" s="106">
        <v>45</v>
      </c>
      <c r="B54" s="106" t="s">
        <v>230</v>
      </c>
      <c r="C54" s="108">
        <v>67828</v>
      </c>
      <c r="D54" s="108">
        <v>49449</v>
      </c>
      <c r="E54" s="108">
        <v>0</v>
      </c>
      <c r="F54" s="108">
        <v>0</v>
      </c>
      <c r="G54" s="109">
        <f t="shared" si="0"/>
        <v>117277</v>
      </c>
      <c r="H54" s="109">
        <f t="shared" si="1"/>
        <v>1505923</v>
      </c>
    </row>
    <row r="55" spans="1:8" x14ac:dyDescent="0.25">
      <c r="A55" s="106">
        <v>46</v>
      </c>
      <c r="B55" s="106" t="s">
        <v>231</v>
      </c>
      <c r="C55" s="108">
        <v>30877</v>
      </c>
      <c r="D55" s="108">
        <v>37467</v>
      </c>
      <c r="E55" s="108">
        <v>0</v>
      </c>
      <c r="F55" s="108">
        <v>0</v>
      </c>
      <c r="G55" s="109">
        <f t="shared" si="0"/>
        <v>68344</v>
      </c>
      <c r="H55" s="109">
        <f t="shared" si="1"/>
        <v>1574267</v>
      </c>
    </row>
    <row r="56" spans="1:8" x14ac:dyDescent="0.25">
      <c r="A56" s="106">
        <v>47</v>
      </c>
      <c r="B56" s="106" t="s">
        <v>232</v>
      </c>
      <c r="C56" s="108">
        <v>1430</v>
      </c>
      <c r="D56" s="108">
        <v>0</v>
      </c>
      <c r="E56" s="108">
        <v>0</v>
      </c>
      <c r="F56" s="108">
        <v>0</v>
      </c>
      <c r="G56" s="109">
        <f t="shared" si="0"/>
        <v>1430</v>
      </c>
      <c r="H56" s="109">
        <f t="shared" si="1"/>
        <v>1575697</v>
      </c>
    </row>
    <row r="57" spans="1:8" x14ac:dyDescent="0.25">
      <c r="A57" s="106">
        <v>48</v>
      </c>
      <c r="B57" s="106" t="s">
        <v>233</v>
      </c>
      <c r="C57" s="108">
        <v>0</v>
      </c>
      <c r="D57" s="108">
        <v>0</v>
      </c>
      <c r="E57" s="108">
        <v>0</v>
      </c>
      <c r="F57" s="108">
        <v>28507</v>
      </c>
      <c r="G57" s="109">
        <f t="shared" si="0"/>
        <v>28507</v>
      </c>
      <c r="H57" s="109">
        <f t="shared" si="1"/>
        <v>1604204</v>
      </c>
    </row>
    <row r="58" spans="1:8" x14ac:dyDescent="0.25">
      <c r="A58" s="106">
        <v>49</v>
      </c>
      <c r="B58" s="106" t="s">
        <v>234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1604204</v>
      </c>
    </row>
    <row r="59" spans="1:8" x14ac:dyDescent="0.25">
      <c r="A59" s="106">
        <v>50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1604204</v>
      </c>
    </row>
    <row r="60" spans="1:8" x14ac:dyDescent="0.25">
      <c r="A60" s="106">
        <v>51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1604204</v>
      </c>
    </row>
    <row r="61" spans="1:8" x14ac:dyDescent="0.25">
      <c r="A61" s="106">
        <v>52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1604204</v>
      </c>
    </row>
    <row r="62" spans="1:8" x14ac:dyDescent="0.25">
      <c r="A62" s="106" t="s">
        <v>178</v>
      </c>
      <c r="B62" s="106" t="s">
        <v>238</v>
      </c>
      <c r="C62" s="109">
        <f>SUM(C10:C61)</f>
        <v>726150</v>
      </c>
      <c r="D62" s="109">
        <f>SUM(D10:D61)</f>
        <v>638110</v>
      </c>
      <c r="E62" s="109">
        <f>SUM(E10:E61)</f>
        <v>11031</v>
      </c>
      <c r="F62" s="109">
        <f>SUM(F10:F61)</f>
        <v>228913</v>
      </c>
      <c r="G62" s="109">
        <f>SUM(G10:G61)</f>
        <v>1604204</v>
      </c>
      <c r="H62" s="109"/>
    </row>
    <row r="64" spans="1:8" ht="14.4" x14ac:dyDescent="0.3">
      <c r="A64" s="104" t="s">
        <v>264</v>
      </c>
      <c r="B64" s="104"/>
    </row>
    <row r="65" spans="1:2" ht="14.4" x14ac:dyDescent="0.3">
      <c r="A65" s="104" t="s">
        <v>265</v>
      </c>
      <c r="B65" s="104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topLeftCell="A9" zoomScale="126" zoomScaleNormal="126" workbookViewId="0">
      <selection activeCell="B16" sqref="B16"/>
    </sheetView>
  </sheetViews>
  <sheetFormatPr defaultColWidth="9.109375" defaultRowHeight="15" x14ac:dyDescent="0.25"/>
  <cols>
    <col min="1" max="1" width="33.6640625" style="54" customWidth="1"/>
    <col min="2" max="2" width="14.88671875" style="54" customWidth="1"/>
    <col min="3" max="3" width="9.109375" style="54"/>
    <col min="4" max="4" width="24.109375" style="54" customWidth="1"/>
    <col min="5" max="5" width="13.88671875" style="54" customWidth="1"/>
    <col min="6" max="6" width="10.33203125" style="54" bestFit="1" customWidth="1"/>
    <col min="7" max="16384" width="9.109375" style="54"/>
  </cols>
  <sheetData>
    <row r="1" spans="1:22" ht="15.6" x14ac:dyDescent="0.3">
      <c r="A1" s="53" t="s">
        <v>120</v>
      </c>
      <c r="V1" s="54">
        <v>4</v>
      </c>
    </row>
    <row r="2" spans="1:22" ht="15.6" x14ac:dyDescent="0.3">
      <c r="A2" s="53" t="s">
        <v>121</v>
      </c>
    </row>
    <row r="4" spans="1:22" x14ac:dyDescent="0.25">
      <c r="A4" s="98" t="s">
        <v>122</v>
      </c>
      <c r="B4" s="75">
        <f>'Weekliks-Weekly'!B27</f>
        <v>45905</v>
      </c>
    </row>
    <row r="5" spans="1:22" ht="15.6" x14ac:dyDescent="0.3">
      <c r="D5" s="53"/>
    </row>
    <row r="6" spans="1:22" ht="15.6" x14ac:dyDescent="0.3">
      <c r="A6" s="53" t="s">
        <v>5</v>
      </c>
      <c r="B6" s="53" t="s">
        <v>95</v>
      </c>
      <c r="E6" s="56"/>
    </row>
    <row r="7" spans="1:22" ht="15.6" x14ac:dyDescent="0.3">
      <c r="A7" s="60" t="s">
        <v>123</v>
      </c>
      <c r="B7" s="72">
        <v>0</v>
      </c>
      <c r="D7" s="58" t="s">
        <v>124</v>
      </c>
      <c r="E7" s="59">
        <f>B12/(52-'Export destin -Uitvoer bestem.'!$P$5)</f>
        <v>0</v>
      </c>
      <c r="F7" s="57"/>
    </row>
    <row r="8" spans="1:22" ht="15.6" x14ac:dyDescent="0.3">
      <c r="A8" s="60" t="s">
        <v>125</v>
      </c>
      <c r="B8" s="72">
        <f>0</f>
        <v>0</v>
      </c>
      <c r="D8" s="60" t="s">
        <v>126</v>
      </c>
      <c r="E8" s="61">
        <f>'Export destin -Uitvoer bestem.'!$P$5</f>
        <v>33</v>
      </c>
      <c r="F8" s="57"/>
    </row>
    <row r="9" spans="1:22" ht="15.6" x14ac:dyDescent="0.3">
      <c r="A9" s="60" t="s">
        <v>58</v>
      </c>
      <c r="B9" s="72">
        <f>0</f>
        <v>0</v>
      </c>
      <c r="D9" s="60" t="s">
        <v>127</v>
      </c>
      <c r="E9" s="61">
        <f>(E7*E8)+B12</f>
        <v>0</v>
      </c>
      <c r="F9" s="57"/>
    </row>
    <row r="10" spans="1:22" ht="15.6" x14ac:dyDescent="0.3">
      <c r="A10" s="60" t="s">
        <v>128</v>
      </c>
      <c r="B10" s="72">
        <f>0</f>
        <v>0</v>
      </c>
      <c r="E10" s="57"/>
      <c r="F10" s="57"/>
    </row>
    <row r="11" spans="1:22" ht="15.6" x14ac:dyDescent="0.3">
      <c r="A11" s="60" t="s">
        <v>129</v>
      </c>
      <c r="B11" s="72">
        <v>0</v>
      </c>
      <c r="E11" s="57"/>
      <c r="F11" s="57"/>
    </row>
    <row r="12" spans="1:22" ht="15.6" x14ac:dyDescent="0.3">
      <c r="A12" s="58" t="s">
        <v>118</v>
      </c>
      <c r="B12" s="66">
        <f>SUM(B7:B11)</f>
        <v>0</v>
      </c>
      <c r="F12" s="57"/>
    </row>
    <row r="13" spans="1:22" x14ac:dyDescent="0.25">
      <c r="B13" s="56"/>
      <c r="F13" s="57"/>
    </row>
    <row r="14" spans="1:22" ht="15.6" x14ac:dyDescent="0.3">
      <c r="A14" s="53" t="s">
        <v>94</v>
      </c>
      <c r="B14" s="54" t="s">
        <v>95</v>
      </c>
      <c r="F14" s="57"/>
    </row>
    <row r="15" spans="1:22" ht="15.6" x14ac:dyDescent="0.3">
      <c r="A15" s="60" t="s">
        <v>130</v>
      </c>
      <c r="B15" s="72">
        <f>25606+17162+35000</f>
        <v>77768</v>
      </c>
      <c r="D15" s="58" t="s">
        <v>124</v>
      </c>
      <c r="E15" s="59">
        <f>B22/(52-'Export destin -Uitvoer bestem.'!$P$5)</f>
        <v>4093.0526315789475</v>
      </c>
      <c r="F15" s="57"/>
    </row>
    <row r="16" spans="1:22" ht="15.6" x14ac:dyDescent="0.3">
      <c r="A16" s="60" t="s">
        <v>38</v>
      </c>
      <c r="B16" s="72">
        <v>0</v>
      </c>
      <c r="D16" s="60" t="s">
        <v>126</v>
      </c>
      <c r="E16" s="61">
        <f>'Export destin -Uitvoer bestem.'!$P$5</f>
        <v>33</v>
      </c>
      <c r="F16" s="57"/>
    </row>
    <row r="17" spans="1:12" ht="15.6" x14ac:dyDescent="0.3">
      <c r="A17" s="60" t="s">
        <v>131</v>
      </c>
      <c r="B17" s="72">
        <f>0</f>
        <v>0</v>
      </c>
      <c r="D17" s="60" t="s">
        <v>127</v>
      </c>
      <c r="E17" s="61">
        <f>(E15*E16)+B22</f>
        <v>212838.73684210528</v>
      </c>
      <c r="F17" s="57"/>
      <c r="L17" s="105"/>
    </row>
    <row r="18" spans="1:12" ht="15.6" x14ac:dyDescent="0.3">
      <c r="A18" s="60" t="s">
        <v>132</v>
      </c>
      <c r="B18" s="72">
        <f>0</f>
        <v>0</v>
      </c>
      <c r="E18" s="57"/>
      <c r="F18" s="57"/>
      <c r="L18" s="105"/>
    </row>
    <row r="19" spans="1:12" ht="15.6" x14ac:dyDescent="0.3">
      <c r="A19" s="60" t="s">
        <v>133</v>
      </c>
      <c r="B19" s="72">
        <v>0</v>
      </c>
      <c r="E19" s="57"/>
      <c r="F19" s="57"/>
      <c r="L19" s="105"/>
    </row>
    <row r="20" spans="1:12" ht="15.6" x14ac:dyDescent="0.3">
      <c r="A20" s="60" t="s">
        <v>134</v>
      </c>
      <c r="B20" s="72">
        <f>0</f>
        <v>0</v>
      </c>
      <c r="E20" s="57"/>
      <c r="F20" s="57"/>
    </row>
    <row r="21" spans="1:12" ht="15.6" x14ac:dyDescent="0.3">
      <c r="A21" s="60" t="s">
        <v>135</v>
      </c>
      <c r="B21" s="72">
        <f>0</f>
        <v>0</v>
      </c>
      <c r="E21" s="57"/>
      <c r="F21" s="57"/>
    </row>
    <row r="22" spans="1:12" ht="15.6" x14ac:dyDescent="0.3">
      <c r="A22" s="58" t="s">
        <v>118</v>
      </c>
      <c r="B22" s="66">
        <f>SUM(B15:B21)</f>
        <v>77768</v>
      </c>
      <c r="E22" s="57"/>
      <c r="F22" s="57"/>
    </row>
    <row r="23" spans="1:12" x14ac:dyDescent="0.25">
      <c r="B23" s="56"/>
      <c r="E23" s="57"/>
      <c r="F23" s="57"/>
    </row>
    <row r="24" spans="1:12" ht="15.6" x14ac:dyDescent="0.3">
      <c r="A24" s="58" t="s">
        <v>119</v>
      </c>
      <c r="B24" s="66">
        <f>B12+B22</f>
        <v>77768</v>
      </c>
      <c r="D24" s="56"/>
      <c r="E24" s="57"/>
      <c r="F24" s="57"/>
    </row>
    <row r="25" spans="1:12" x14ac:dyDescent="0.25">
      <c r="E25" s="57"/>
      <c r="F25" s="57"/>
    </row>
    <row r="26" spans="1:12" x14ac:dyDescent="0.25">
      <c r="E26" s="57"/>
      <c r="F26" s="57"/>
    </row>
    <row r="27" spans="1:12" x14ac:dyDescent="0.25">
      <c r="E27" s="57"/>
      <c r="F27" s="57"/>
    </row>
    <row r="28" spans="1:12" x14ac:dyDescent="0.25">
      <c r="E28" s="57"/>
      <c r="F28" s="57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opLeftCell="A9" zoomScale="155" zoomScaleNormal="155" workbookViewId="0">
      <selection activeCell="K39" sqref="K39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136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137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138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139</v>
      </c>
      <c r="D4" s="197"/>
      <c r="E4" s="198" t="s">
        <v>139</v>
      </c>
      <c r="F4" s="199"/>
      <c r="G4" s="196" t="s">
        <v>140</v>
      </c>
      <c r="H4" s="197"/>
      <c r="I4" s="198" t="s">
        <v>140</v>
      </c>
      <c r="J4" s="199"/>
      <c r="K4" s="202" t="s">
        <v>141</v>
      </c>
      <c r="L4" s="203"/>
      <c r="M4" s="204" t="s">
        <v>141</v>
      </c>
      <c r="N4" s="205"/>
      <c r="O4" s="196" t="s">
        <v>142</v>
      </c>
      <c r="P4" s="197"/>
      <c r="Q4" s="198" t="s">
        <v>142</v>
      </c>
      <c r="R4" s="199"/>
      <c r="S4" s="5" t="s">
        <v>143</v>
      </c>
      <c r="T4" s="6" t="s">
        <v>144</v>
      </c>
      <c r="U4" s="5" t="s">
        <v>143</v>
      </c>
      <c r="V4" s="6" t="s">
        <v>144</v>
      </c>
    </row>
    <row r="5" spans="1:23" s="1" customFormat="1" ht="13.8" thickBot="1" x14ac:dyDescent="0.3">
      <c r="B5" s="117"/>
      <c r="C5" s="196" t="s">
        <v>145</v>
      </c>
      <c r="D5" s="197"/>
      <c r="E5" s="198" t="s">
        <v>145</v>
      </c>
      <c r="F5" s="199"/>
      <c r="G5" s="196" t="s">
        <v>146</v>
      </c>
      <c r="H5" s="200"/>
      <c r="I5" s="198" t="s">
        <v>146</v>
      </c>
      <c r="J5" s="201"/>
      <c r="K5" s="202" t="s">
        <v>147</v>
      </c>
      <c r="L5" s="203"/>
      <c r="M5" s="204" t="s">
        <v>147</v>
      </c>
      <c r="N5" s="205"/>
      <c r="O5" s="196" t="s">
        <v>148</v>
      </c>
      <c r="P5" s="200"/>
      <c r="Q5" s="198" t="s">
        <v>148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149</v>
      </c>
      <c r="C6" s="171" t="s">
        <v>150</v>
      </c>
      <c r="D6" s="172" t="s">
        <v>151</v>
      </c>
      <c r="E6" s="8" t="s">
        <v>150</v>
      </c>
      <c r="F6" s="9" t="s">
        <v>151</v>
      </c>
      <c r="G6" s="171" t="s">
        <v>150</v>
      </c>
      <c r="H6" s="172" t="s">
        <v>151</v>
      </c>
      <c r="I6" s="118" t="s">
        <v>150</v>
      </c>
      <c r="J6" s="119" t="s">
        <v>151</v>
      </c>
      <c r="K6" s="173" t="s">
        <v>150</v>
      </c>
      <c r="L6" s="174" t="s">
        <v>151</v>
      </c>
      <c r="M6" s="151" t="s">
        <v>150</v>
      </c>
      <c r="N6" s="152" t="s">
        <v>151</v>
      </c>
      <c r="O6" s="175" t="s">
        <v>150</v>
      </c>
      <c r="P6" s="172" t="s">
        <v>151</v>
      </c>
      <c r="Q6" s="118" t="s">
        <v>150</v>
      </c>
      <c r="R6" s="119" t="s">
        <v>151</v>
      </c>
      <c r="S6" s="8" t="s">
        <v>152</v>
      </c>
      <c r="T6" s="9" t="s">
        <v>153</v>
      </c>
      <c r="U6" s="8" t="s">
        <v>152</v>
      </c>
      <c r="V6" s="9" t="s">
        <v>153</v>
      </c>
      <c r="W6" s="162"/>
    </row>
    <row r="7" spans="1:23" ht="13.8" thickBot="1" x14ac:dyDescent="0.3">
      <c r="A7" s="162"/>
      <c r="B7" s="7" t="s">
        <v>154</v>
      </c>
      <c r="C7" s="176"/>
      <c r="D7" s="177"/>
      <c r="E7" s="71" t="s">
        <v>155</v>
      </c>
      <c r="F7" s="92" t="s">
        <v>156</v>
      </c>
      <c r="G7" s="176"/>
      <c r="H7" s="177"/>
      <c r="I7" s="120" t="s">
        <v>155</v>
      </c>
      <c r="J7" s="121" t="s">
        <v>156</v>
      </c>
      <c r="K7" s="178"/>
      <c r="L7" s="179"/>
      <c r="M7" s="151" t="s">
        <v>155</v>
      </c>
      <c r="N7" s="151" t="s">
        <v>156</v>
      </c>
      <c r="O7" s="180"/>
      <c r="P7" s="177"/>
      <c r="Q7" s="120" t="s">
        <v>155</v>
      </c>
      <c r="R7" s="121" t="s">
        <v>156</v>
      </c>
      <c r="S7" s="10" t="s">
        <v>157</v>
      </c>
      <c r="T7" s="11" t="s">
        <v>157</v>
      </c>
      <c r="U7" s="8" t="s">
        <v>155</v>
      </c>
      <c r="V7" s="9" t="s">
        <v>156</v>
      </c>
      <c r="W7" s="162"/>
    </row>
    <row r="8" spans="1:23" ht="13.8" thickBot="1" x14ac:dyDescent="0.3">
      <c r="A8" s="162"/>
      <c r="B8" s="181"/>
      <c r="C8" s="182" t="s">
        <v>158</v>
      </c>
      <c r="D8" s="183" t="s">
        <v>158</v>
      </c>
      <c r="E8" s="8" t="s">
        <v>158</v>
      </c>
      <c r="F8" s="9" t="s">
        <v>158</v>
      </c>
      <c r="G8" s="182" t="s">
        <v>158</v>
      </c>
      <c r="H8" s="183" t="s">
        <v>158</v>
      </c>
      <c r="I8" s="122" t="s">
        <v>158</v>
      </c>
      <c r="J8" s="123" t="s">
        <v>158</v>
      </c>
      <c r="K8" s="184" t="s">
        <v>158</v>
      </c>
      <c r="L8" s="185" t="s">
        <v>158</v>
      </c>
      <c r="M8" s="153" t="s">
        <v>158</v>
      </c>
      <c r="N8" s="153" t="s">
        <v>158</v>
      </c>
      <c r="O8" s="182" t="s">
        <v>158</v>
      </c>
      <c r="P8" s="183" t="s">
        <v>158</v>
      </c>
      <c r="Q8" s="122" t="s">
        <v>158</v>
      </c>
      <c r="R8" s="123" t="s">
        <v>158</v>
      </c>
      <c r="S8" s="13" t="s">
        <v>158</v>
      </c>
      <c r="T8" s="13" t="s">
        <v>158</v>
      </c>
      <c r="U8" s="13" t="s">
        <v>158</v>
      </c>
      <c r="V8" s="12" t="s">
        <v>158</v>
      </c>
      <c r="W8" s="162"/>
    </row>
    <row r="9" spans="1:23" ht="14.4" x14ac:dyDescent="0.3">
      <c r="A9" s="162">
        <v>1</v>
      </c>
      <c r="B9" s="90">
        <v>45415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73">
        <v>14214</v>
      </c>
      <c r="L9" s="73">
        <v>7343</v>
      </c>
      <c r="M9" s="154">
        <f>K9</f>
        <v>14214</v>
      </c>
      <c r="N9" s="155">
        <f>L9</f>
        <v>7343</v>
      </c>
      <c r="O9" s="146"/>
      <c r="P9" s="14"/>
      <c r="Q9" s="14"/>
      <c r="R9" s="14"/>
      <c r="S9" s="14">
        <f t="shared" ref="S9:S27" si="2">C9+D9</f>
        <v>0</v>
      </c>
      <c r="T9" s="14">
        <f>K9+L9</f>
        <v>21557</v>
      </c>
      <c r="U9" s="14">
        <f t="shared" ref="U9:U60" si="3">E9+F9</f>
        <v>0</v>
      </c>
      <c r="V9" s="14">
        <f>M9+N9</f>
        <v>21557</v>
      </c>
      <c r="W9" s="162"/>
    </row>
    <row r="10" spans="1:23" ht="14.4" x14ac:dyDescent="0.3">
      <c r="A10" s="162">
        <f>A9+1</f>
        <v>2</v>
      </c>
      <c r="B10" s="90">
        <f t="shared" ref="B10:B60" si="4">B9+7</f>
        <v>45422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73">
        <v>21635</v>
      </c>
      <c r="L10" s="73">
        <v>9756</v>
      </c>
      <c r="M10" s="156">
        <f t="shared" ref="M10:N25" si="5">M9+K10</f>
        <v>35849</v>
      </c>
      <c r="N10" s="155">
        <f t="shared" si="5"/>
        <v>17099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31391</v>
      </c>
      <c r="U10" s="15">
        <f t="shared" si="3"/>
        <v>0</v>
      </c>
      <c r="V10" s="15">
        <f t="shared" ref="V10:V60" si="7">M10+N10</f>
        <v>52948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45429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73">
        <v>22745</v>
      </c>
      <c r="L11" s="73">
        <v>12433</v>
      </c>
      <c r="M11" s="156">
        <f t="shared" si="5"/>
        <v>58594</v>
      </c>
      <c r="N11" s="155">
        <f t="shared" si="5"/>
        <v>29532</v>
      </c>
      <c r="O11" s="36"/>
      <c r="P11" s="15"/>
      <c r="Q11" s="15"/>
      <c r="R11" s="15"/>
      <c r="S11" s="15">
        <f t="shared" si="2"/>
        <v>0</v>
      </c>
      <c r="T11" s="15">
        <f t="shared" si="6"/>
        <v>35178</v>
      </c>
      <c r="U11" s="15">
        <f t="shared" si="3"/>
        <v>0</v>
      </c>
      <c r="V11" s="15">
        <f t="shared" si="7"/>
        <v>88126</v>
      </c>
      <c r="W11" s="162"/>
    </row>
    <row r="12" spans="1:23" ht="14.4" x14ac:dyDescent="0.3">
      <c r="A12" s="162">
        <f t="shared" si="8"/>
        <v>4</v>
      </c>
      <c r="B12" s="90">
        <f t="shared" si="4"/>
        <v>45436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73">
        <v>22300</v>
      </c>
      <c r="L12" s="73">
        <v>15500</v>
      </c>
      <c r="M12" s="156">
        <f t="shared" si="5"/>
        <v>80894</v>
      </c>
      <c r="N12" s="155">
        <f t="shared" si="5"/>
        <v>45032</v>
      </c>
      <c r="O12" s="36"/>
      <c r="P12" s="15"/>
      <c r="Q12" s="15"/>
      <c r="R12" s="15"/>
      <c r="S12" s="15">
        <f t="shared" si="2"/>
        <v>0</v>
      </c>
      <c r="T12" s="15">
        <f t="shared" si="6"/>
        <v>37800</v>
      </c>
      <c r="U12" s="15">
        <f t="shared" si="3"/>
        <v>0</v>
      </c>
      <c r="V12" s="15">
        <f t="shared" si="7"/>
        <v>125926</v>
      </c>
      <c r="W12" s="162"/>
    </row>
    <row r="13" spans="1:23" ht="14.4" x14ac:dyDescent="0.3">
      <c r="A13" s="162">
        <f t="shared" si="8"/>
        <v>5</v>
      </c>
      <c r="B13" s="90">
        <f t="shared" si="4"/>
        <v>45443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28545</v>
      </c>
      <c r="L13" s="73">
        <v>17244</v>
      </c>
      <c r="M13" s="156">
        <f t="shared" si="5"/>
        <v>109439</v>
      </c>
      <c r="N13" s="155">
        <f t="shared" si="5"/>
        <v>62276</v>
      </c>
      <c r="O13" s="36"/>
      <c r="P13" s="15"/>
      <c r="Q13" s="15"/>
      <c r="R13" s="15"/>
      <c r="S13" s="15">
        <f t="shared" si="2"/>
        <v>0</v>
      </c>
      <c r="T13" s="15">
        <f t="shared" si="6"/>
        <v>45789</v>
      </c>
      <c r="U13" s="15">
        <f t="shared" si="3"/>
        <v>0</v>
      </c>
      <c r="V13" s="15">
        <f t="shared" si="7"/>
        <v>171715</v>
      </c>
      <c r="W13" s="162"/>
    </row>
    <row r="14" spans="1:23" ht="14.4" x14ac:dyDescent="0.3">
      <c r="A14" s="162">
        <f t="shared" si="8"/>
        <v>6</v>
      </c>
      <c r="B14" s="90">
        <f t="shared" si="4"/>
        <v>45450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26777</v>
      </c>
      <c r="L14" s="73">
        <v>14467</v>
      </c>
      <c r="M14" s="156">
        <f t="shared" si="5"/>
        <v>136216</v>
      </c>
      <c r="N14" s="155">
        <f t="shared" si="5"/>
        <v>76743</v>
      </c>
      <c r="O14" s="36"/>
      <c r="P14" s="15"/>
      <c r="Q14" s="15"/>
      <c r="R14" s="15"/>
      <c r="S14" s="15">
        <f t="shared" si="2"/>
        <v>0</v>
      </c>
      <c r="T14" s="15">
        <f t="shared" si="6"/>
        <v>41244</v>
      </c>
      <c r="U14" s="15">
        <f t="shared" si="3"/>
        <v>0</v>
      </c>
      <c r="V14" s="15">
        <f t="shared" si="7"/>
        <v>212959</v>
      </c>
      <c r="W14" s="162"/>
    </row>
    <row r="15" spans="1:23" ht="14.4" x14ac:dyDescent="0.3">
      <c r="A15" s="162">
        <f t="shared" si="8"/>
        <v>7</v>
      </c>
      <c r="B15" s="90">
        <f t="shared" si="4"/>
        <v>45457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23253</v>
      </c>
      <c r="L15" s="73">
        <v>17559</v>
      </c>
      <c r="M15" s="156">
        <f t="shared" si="5"/>
        <v>159469</v>
      </c>
      <c r="N15" s="155">
        <f t="shared" si="5"/>
        <v>94302</v>
      </c>
      <c r="O15" s="36"/>
      <c r="P15" s="15"/>
      <c r="Q15" s="15"/>
      <c r="R15" s="15"/>
      <c r="S15" s="15">
        <f t="shared" si="2"/>
        <v>0</v>
      </c>
      <c r="T15" s="15">
        <f t="shared" si="6"/>
        <v>40812</v>
      </c>
      <c r="U15" s="15">
        <f t="shared" si="3"/>
        <v>0</v>
      </c>
      <c r="V15" s="15">
        <f t="shared" si="7"/>
        <v>253771</v>
      </c>
      <c r="W15" s="162"/>
    </row>
    <row r="16" spans="1:23" ht="14.4" x14ac:dyDescent="0.3">
      <c r="A16" s="162">
        <f t="shared" si="8"/>
        <v>8</v>
      </c>
      <c r="B16" s="90">
        <f t="shared" si="4"/>
        <v>45464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25449</v>
      </c>
      <c r="L16" s="73">
        <v>14173</v>
      </c>
      <c r="M16" s="156">
        <f t="shared" si="5"/>
        <v>184918</v>
      </c>
      <c r="N16" s="155">
        <f t="shared" si="5"/>
        <v>108475</v>
      </c>
      <c r="O16" s="36"/>
      <c r="P16" s="15"/>
      <c r="Q16" s="15"/>
      <c r="R16" s="15"/>
      <c r="S16" s="15">
        <f t="shared" si="2"/>
        <v>0</v>
      </c>
      <c r="T16" s="15">
        <f t="shared" si="6"/>
        <v>39622</v>
      </c>
      <c r="U16" s="15">
        <f t="shared" si="3"/>
        <v>0</v>
      </c>
      <c r="V16" s="15">
        <f t="shared" si="7"/>
        <v>293393</v>
      </c>
      <c r="W16" s="162"/>
    </row>
    <row r="17" spans="1:24" ht="14.4" x14ac:dyDescent="0.3">
      <c r="A17" s="162">
        <f t="shared" si="8"/>
        <v>9</v>
      </c>
      <c r="B17" s="90">
        <f t="shared" si="4"/>
        <v>45471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>
        <v>29977</v>
      </c>
      <c r="L17" s="73">
        <v>15529</v>
      </c>
      <c r="M17" s="156">
        <f t="shared" si="5"/>
        <v>214895</v>
      </c>
      <c r="N17" s="155">
        <f t="shared" si="5"/>
        <v>124004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45506</v>
      </c>
      <c r="U17" s="15">
        <f t="shared" si="3"/>
        <v>0</v>
      </c>
      <c r="V17" s="15">
        <f t="shared" si="7"/>
        <v>338899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45478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>
        <v>27417</v>
      </c>
      <c r="L18" s="73">
        <v>12159</v>
      </c>
      <c r="M18" s="156">
        <f t="shared" si="5"/>
        <v>242312</v>
      </c>
      <c r="N18" s="155">
        <f t="shared" si="5"/>
        <v>136163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39576</v>
      </c>
      <c r="U18" s="15">
        <f t="shared" si="3"/>
        <v>0</v>
      </c>
      <c r="V18" s="15">
        <f t="shared" si="7"/>
        <v>378475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45485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>
        <v>40643</v>
      </c>
      <c r="L19" s="73">
        <v>15252</v>
      </c>
      <c r="M19" s="156">
        <f t="shared" si="5"/>
        <v>282955</v>
      </c>
      <c r="N19" s="155">
        <f t="shared" si="5"/>
        <v>151415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55895</v>
      </c>
      <c r="U19" s="15">
        <f t="shared" si="3"/>
        <v>0</v>
      </c>
      <c r="V19" s="15">
        <f t="shared" si="7"/>
        <v>434370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45492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>
        <v>30927</v>
      </c>
      <c r="L20" s="73">
        <v>15011</v>
      </c>
      <c r="M20" s="156">
        <f t="shared" si="5"/>
        <v>313882</v>
      </c>
      <c r="N20" s="155">
        <f t="shared" si="5"/>
        <v>166426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45938</v>
      </c>
      <c r="U20" s="15">
        <f t="shared" si="3"/>
        <v>0</v>
      </c>
      <c r="V20" s="15">
        <f t="shared" si="7"/>
        <v>480308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45499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>
        <v>43093</v>
      </c>
      <c r="L21" s="73">
        <v>15063</v>
      </c>
      <c r="M21" s="156">
        <f t="shared" si="5"/>
        <v>356975</v>
      </c>
      <c r="N21" s="155">
        <f t="shared" si="5"/>
        <v>181489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58156</v>
      </c>
      <c r="U21" s="15">
        <f t="shared" si="3"/>
        <v>0</v>
      </c>
      <c r="V21" s="15">
        <f t="shared" si="7"/>
        <v>538464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45506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>
        <v>26820</v>
      </c>
      <c r="L22" s="73">
        <v>16080</v>
      </c>
      <c r="M22" s="156">
        <f t="shared" si="5"/>
        <v>383795</v>
      </c>
      <c r="N22" s="155">
        <f t="shared" si="5"/>
        <v>197569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42900</v>
      </c>
      <c r="U22" s="15">
        <f t="shared" si="3"/>
        <v>0</v>
      </c>
      <c r="V22" s="15">
        <f t="shared" si="7"/>
        <v>581364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45513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>
        <v>24599</v>
      </c>
      <c r="L23" s="73">
        <v>14173</v>
      </c>
      <c r="M23" s="156">
        <f t="shared" si="5"/>
        <v>408394</v>
      </c>
      <c r="N23" s="155">
        <f t="shared" si="5"/>
        <v>211742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38772</v>
      </c>
      <c r="U23" s="15">
        <f t="shared" si="3"/>
        <v>0</v>
      </c>
      <c r="V23" s="15">
        <f t="shared" si="7"/>
        <v>620136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45520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>
        <v>34260</v>
      </c>
      <c r="L24" s="73">
        <v>18988</v>
      </c>
      <c r="M24" s="156">
        <f t="shared" si="5"/>
        <v>442654</v>
      </c>
      <c r="N24" s="155">
        <f t="shared" si="5"/>
        <v>230730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53248</v>
      </c>
      <c r="U24" s="15">
        <f t="shared" si="3"/>
        <v>0</v>
      </c>
      <c r="V24" s="15">
        <f t="shared" si="7"/>
        <v>673384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45527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>
        <v>31463</v>
      </c>
      <c r="L25" s="73">
        <v>13385</v>
      </c>
      <c r="M25" s="156">
        <f t="shared" si="5"/>
        <v>474117</v>
      </c>
      <c r="N25" s="155">
        <f t="shared" si="5"/>
        <v>244115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44848</v>
      </c>
      <c r="U25" s="15">
        <f t="shared" si="3"/>
        <v>0</v>
      </c>
      <c r="V25" s="15">
        <f t="shared" si="7"/>
        <v>718232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45534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>
        <v>35968</v>
      </c>
      <c r="L26" s="73">
        <v>17209</v>
      </c>
      <c r="M26" s="156">
        <f t="shared" ref="M26:N41" si="12">M25+K26</f>
        <v>510085</v>
      </c>
      <c r="N26" s="155">
        <f t="shared" si="12"/>
        <v>261324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53177</v>
      </c>
      <c r="U26" s="15">
        <f t="shared" si="3"/>
        <v>0</v>
      </c>
      <c r="V26" s="15">
        <f t="shared" si="7"/>
        <v>771409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45541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>
        <v>24751</v>
      </c>
      <c r="L27" s="73">
        <v>14481</v>
      </c>
      <c r="M27" s="156">
        <f t="shared" si="12"/>
        <v>534836</v>
      </c>
      <c r="N27" s="155">
        <f t="shared" si="12"/>
        <v>275805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39232</v>
      </c>
      <c r="U27" s="15">
        <f t="shared" si="3"/>
        <v>0</v>
      </c>
      <c r="V27" s="15">
        <f t="shared" si="7"/>
        <v>810641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45548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>
        <v>27547</v>
      </c>
      <c r="L28" s="73">
        <v>14824</v>
      </c>
      <c r="M28" s="156">
        <f t="shared" si="12"/>
        <v>562383</v>
      </c>
      <c r="N28" s="155">
        <f t="shared" si="12"/>
        <v>290629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159</v>
      </c>
      <c r="T28" s="15">
        <f t="shared" si="6"/>
        <v>42371</v>
      </c>
      <c r="U28" s="15">
        <f t="shared" si="3"/>
        <v>0</v>
      </c>
      <c r="V28" s="15">
        <f t="shared" si="7"/>
        <v>853012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45555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>
        <v>27976</v>
      </c>
      <c r="L29" s="73">
        <v>14329</v>
      </c>
      <c r="M29" s="156">
        <f t="shared" si="12"/>
        <v>590359</v>
      </c>
      <c r="N29" s="155">
        <f t="shared" si="12"/>
        <v>304958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42305</v>
      </c>
      <c r="U29" s="15">
        <f t="shared" si="3"/>
        <v>0</v>
      </c>
      <c r="V29" s="15">
        <f t="shared" si="7"/>
        <v>895317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45562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>
        <v>24388</v>
      </c>
      <c r="L30" s="73">
        <v>17182</v>
      </c>
      <c r="M30" s="156">
        <f t="shared" si="12"/>
        <v>614747</v>
      </c>
      <c r="N30" s="155">
        <f t="shared" si="12"/>
        <v>322140</v>
      </c>
      <c r="O30" s="188"/>
      <c r="P30" s="189"/>
      <c r="Q30" s="15"/>
      <c r="R30" s="15"/>
      <c r="S30" s="40">
        <f t="shared" si="13"/>
        <v>0</v>
      </c>
      <c r="T30" s="15">
        <f t="shared" si="6"/>
        <v>41570</v>
      </c>
      <c r="U30" s="36">
        <f t="shared" si="3"/>
        <v>0</v>
      </c>
      <c r="V30" s="15">
        <f t="shared" si="7"/>
        <v>936887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45569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>
        <v>29638</v>
      </c>
      <c r="L31" s="73">
        <v>13980</v>
      </c>
      <c r="M31" s="156">
        <f t="shared" si="12"/>
        <v>644385</v>
      </c>
      <c r="N31" s="155">
        <f t="shared" si="12"/>
        <v>336120</v>
      </c>
      <c r="O31" s="186"/>
      <c r="P31" s="187"/>
      <c r="Q31" s="15"/>
      <c r="R31" s="15"/>
      <c r="S31" s="16">
        <f t="shared" si="13"/>
        <v>0</v>
      </c>
      <c r="T31" s="15">
        <f t="shared" si="6"/>
        <v>43618</v>
      </c>
      <c r="U31" s="15">
        <f t="shared" si="3"/>
        <v>0</v>
      </c>
      <c r="V31" s="36">
        <f t="shared" si="7"/>
        <v>980505</v>
      </c>
      <c r="W31" s="162"/>
      <c r="X31" s="162" t="s">
        <v>160</v>
      </c>
    </row>
    <row r="32" spans="1:24" ht="14.4" x14ac:dyDescent="0.3">
      <c r="A32" s="162">
        <f t="shared" si="8"/>
        <v>24</v>
      </c>
      <c r="B32" s="90">
        <f t="shared" si="4"/>
        <v>45576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>
        <v>41228</v>
      </c>
      <c r="L32" s="73">
        <v>17379</v>
      </c>
      <c r="M32" s="156">
        <f t="shared" si="12"/>
        <v>685613</v>
      </c>
      <c r="N32" s="155">
        <f t="shared" si="12"/>
        <v>353499</v>
      </c>
      <c r="O32" s="186"/>
      <c r="P32" s="187"/>
      <c r="Q32" s="15"/>
      <c r="R32" s="15"/>
      <c r="S32" s="16">
        <f t="shared" si="13"/>
        <v>0</v>
      </c>
      <c r="T32" s="15">
        <f t="shared" si="6"/>
        <v>58607</v>
      </c>
      <c r="U32" s="15">
        <f t="shared" si="3"/>
        <v>0</v>
      </c>
      <c r="V32" s="36">
        <f t="shared" si="7"/>
        <v>1039112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45583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>
        <v>31458</v>
      </c>
      <c r="L33" s="73">
        <v>16419</v>
      </c>
      <c r="M33" s="156">
        <f t="shared" si="12"/>
        <v>717071</v>
      </c>
      <c r="N33" s="155">
        <f t="shared" si="12"/>
        <v>369918</v>
      </c>
      <c r="O33" s="186"/>
      <c r="P33" s="187"/>
      <c r="Q33" s="15"/>
      <c r="R33" s="15"/>
      <c r="S33" s="16">
        <f t="shared" si="13"/>
        <v>0</v>
      </c>
      <c r="T33" s="15">
        <f t="shared" si="6"/>
        <v>47877</v>
      </c>
      <c r="U33" s="15">
        <f t="shared" si="3"/>
        <v>0</v>
      </c>
      <c r="V33" s="36">
        <f t="shared" si="7"/>
        <v>1086989</v>
      </c>
    </row>
    <row r="34" spans="1:22" ht="14.4" x14ac:dyDescent="0.3">
      <c r="A34" s="162">
        <f t="shared" si="8"/>
        <v>26</v>
      </c>
      <c r="B34" s="90">
        <f t="shared" si="4"/>
        <v>45590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>
        <v>32387</v>
      </c>
      <c r="L34" s="73">
        <v>19991</v>
      </c>
      <c r="M34" s="156">
        <f t="shared" si="12"/>
        <v>749458</v>
      </c>
      <c r="N34" s="155">
        <f t="shared" si="12"/>
        <v>389909</v>
      </c>
      <c r="O34" s="186"/>
      <c r="P34" s="187"/>
      <c r="Q34" s="15"/>
      <c r="R34" s="15"/>
      <c r="S34" s="16">
        <f t="shared" si="13"/>
        <v>0</v>
      </c>
      <c r="T34" s="15">
        <f t="shared" si="6"/>
        <v>52378</v>
      </c>
      <c r="U34" s="15">
        <f t="shared" si="3"/>
        <v>0</v>
      </c>
      <c r="V34" s="36">
        <f t="shared" si="7"/>
        <v>1139367</v>
      </c>
    </row>
    <row r="35" spans="1:22" ht="14.4" x14ac:dyDescent="0.3">
      <c r="A35" s="162">
        <f t="shared" si="8"/>
        <v>27</v>
      </c>
      <c r="B35" s="90">
        <f t="shared" si="4"/>
        <v>45597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>
        <v>22129</v>
      </c>
      <c r="L35" s="73">
        <v>13398</v>
      </c>
      <c r="M35" s="156">
        <f t="shared" si="12"/>
        <v>771587</v>
      </c>
      <c r="N35" s="155">
        <f t="shared" si="12"/>
        <v>403307</v>
      </c>
      <c r="O35" s="186"/>
      <c r="P35" s="187"/>
      <c r="Q35" s="15"/>
      <c r="R35" s="15"/>
      <c r="S35" s="16">
        <f t="shared" si="13"/>
        <v>0</v>
      </c>
      <c r="T35" s="15">
        <f t="shared" si="6"/>
        <v>35527</v>
      </c>
      <c r="U35" s="15">
        <f t="shared" si="3"/>
        <v>0</v>
      </c>
      <c r="V35" s="36">
        <f t="shared" si="7"/>
        <v>1174894</v>
      </c>
    </row>
    <row r="36" spans="1:22" ht="14.4" x14ac:dyDescent="0.3">
      <c r="A36" s="162">
        <f t="shared" si="8"/>
        <v>28</v>
      </c>
      <c r="B36" s="90">
        <f t="shared" si="4"/>
        <v>45604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>
        <v>26215</v>
      </c>
      <c r="L36" s="73">
        <v>15034</v>
      </c>
      <c r="M36" s="156">
        <f t="shared" si="12"/>
        <v>797802</v>
      </c>
      <c r="N36" s="155">
        <f t="shared" si="12"/>
        <v>418341</v>
      </c>
      <c r="O36" s="186"/>
      <c r="P36" s="187"/>
      <c r="Q36" s="15"/>
      <c r="R36" s="15"/>
      <c r="S36" s="16">
        <f t="shared" si="13"/>
        <v>0</v>
      </c>
      <c r="T36" s="15">
        <f t="shared" si="6"/>
        <v>41249</v>
      </c>
      <c r="U36" s="15">
        <f t="shared" si="3"/>
        <v>0</v>
      </c>
      <c r="V36" s="36">
        <f t="shared" si="7"/>
        <v>1216143</v>
      </c>
    </row>
    <row r="37" spans="1:22" ht="14.4" x14ac:dyDescent="0.3">
      <c r="A37" s="162">
        <f t="shared" si="8"/>
        <v>29</v>
      </c>
      <c r="B37" s="90">
        <f t="shared" si="4"/>
        <v>45611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>
        <v>27110</v>
      </c>
      <c r="L37" s="73">
        <v>16277</v>
      </c>
      <c r="M37" s="156">
        <f t="shared" si="12"/>
        <v>824912</v>
      </c>
      <c r="N37" s="155">
        <f t="shared" si="12"/>
        <v>434618</v>
      </c>
      <c r="O37" s="186"/>
      <c r="P37" s="187"/>
      <c r="Q37" s="15"/>
      <c r="R37" s="15"/>
      <c r="S37" s="16">
        <f t="shared" si="13"/>
        <v>0</v>
      </c>
      <c r="T37" s="15">
        <f t="shared" si="6"/>
        <v>43387</v>
      </c>
      <c r="U37" s="15">
        <f t="shared" si="3"/>
        <v>0</v>
      </c>
      <c r="V37" s="36">
        <f t="shared" si="7"/>
        <v>1259530</v>
      </c>
    </row>
    <row r="38" spans="1:22" ht="14.4" x14ac:dyDescent="0.3">
      <c r="A38" s="162">
        <f t="shared" si="8"/>
        <v>30</v>
      </c>
      <c r="B38" s="90">
        <f t="shared" si="4"/>
        <v>45618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>
        <v>31528</v>
      </c>
      <c r="L38" s="73">
        <v>23658</v>
      </c>
      <c r="M38" s="156">
        <f t="shared" si="12"/>
        <v>856440</v>
      </c>
      <c r="N38" s="155">
        <f t="shared" si="12"/>
        <v>458276</v>
      </c>
      <c r="O38" s="186"/>
      <c r="P38" s="187"/>
      <c r="Q38" s="15"/>
      <c r="R38" s="15"/>
      <c r="S38" s="16">
        <f t="shared" si="13"/>
        <v>0</v>
      </c>
      <c r="T38" s="15">
        <f t="shared" si="6"/>
        <v>55186</v>
      </c>
      <c r="U38" s="15">
        <f t="shared" si="3"/>
        <v>0</v>
      </c>
      <c r="V38" s="36">
        <f t="shared" si="7"/>
        <v>1314716</v>
      </c>
    </row>
    <row r="39" spans="1:22" ht="14.4" x14ac:dyDescent="0.3">
      <c r="A39" s="162">
        <f t="shared" si="8"/>
        <v>31</v>
      </c>
      <c r="B39" s="90">
        <f t="shared" si="4"/>
        <v>45625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>
        <v>39366</v>
      </c>
      <c r="L39" s="73">
        <v>27386</v>
      </c>
      <c r="M39" s="156">
        <f t="shared" si="12"/>
        <v>895806</v>
      </c>
      <c r="N39" s="155">
        <f t="shared" si="12"/>
        <v>485662</v>
      </c>
      <c r="O39" s="186"/>
      <c r="P39" s="187"/>
      <c r="Q39" s="15"/>
      <c r="R39" s="15"/>
      <c r="S39" s="16">
        <f t="shared" si="13"/>
        <v>0</v>
      </c>
      <c r="T39" s="15">
        <f t="shared" si="6"/>
        <v>66752</v>
      </c>
      <c r="U39" s="15">
        <f t="shared" si="3"/>
        <v>0</v>
      </c>
      <c r="V39" s="36">
        <f t="shared" si="7"/>
        <v>1381468</v>
      </c>
    </row>
    <row r="40" spans="1:22" ht="14.4" x14ac:dyDescent="0.3">
      <c r="A40" s="162">
        <f t="shared" si="8"/>
        <v>32</v>
      </c>
      <c r="B40" s="90">
        <f t="shared" si="4"/>
        <v>45632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>
        <v>33168</v>
      </c>
      <c r="L40" s="73">
        <v>22992</v>
      </c>
      <c r="M40" s="156">
        <f t="shared" si="12"/>
        <v>928974</v>
      </c>
      <c r="N40" s="155">
        <f t="shared" si="12"/>
        <v>508654</v>
      </c>
      <c r="O40" s="186"/>
      <c r="P40" s="187"/>
      <c r="Q40" s="15"/>
      <c r="R40" s="15"/>
      <c r="S40" s="16">
        <f t="shared" si="13"/>
        <v>0</v>
      </c>
      <c r="T40" s="15">
        <f t="shared" si="6"/>
        <v>56160</v>
      </c>
      <c r="U40" s="15">
        <f t="shared" si="3"/>
        <v>0</v>
      </c>
      <c r="V40" s="36">
        <f t="shared" si="7"/>
        <v>1437628</v>
      </c>
    </row>
    <row r="41" spans="1:22" ht="14.4" x14ac:dyDescent="0.3">
      <c r="A41" s="162">
        <f t="shared" si="8"/>
        <v>33</v>
      </c>
      <c r="B41" s="90">
        <f t="shared" si="4"/>
        <v>45639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>
        <v>34064</v>
      </c>
      <c r="L41" s="73">
        <v>18398</v>
      </c>
      <c r="M41" s="156">
        <f t="shared" si="12"/>
        <v>963038</v>
      </c>
      <c r="N41" s="155">
        <f t="shared" si="12"/>
        <v>527052</v>
      </c>
      <c r="O41" s="186"/>
      <c r="P41" s="187"/>
      <c r="Q41" s="15"/>
      <c r="R41" s="15"/>
      <c r="S41" s="16">
        <f t="shared" si="13"/>
        <v>0</v>
      </c>
      <c r="T41" s="15">
        <f t="shared" si="6"/>
        <v>52462</v>
      </c>
      <c r="U41" s="15">
        <f t="shared" si="3"/>
        <v>0</v>
      </c>
      <c r="V41" s="36">
        <f t="shared" si="7"/>
        <v>1490090</v>
      </c>
    </row>
    <row r="42" spans="1:22" ht="14.4" x14ac:dyDescent="0.3">
      <c r="A42" s="162">
        <f t="shared" si="8"/>
        <v>34</v>
      </c>
      <c r="B42" s="90">
        <f t="shared" si="4"/>
        <v>45646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>
        <v>33618</v>
      </c>
      <c r="L42" s="73">
        <v>14875</v>
      </c>
      <c r="M42" s="156">
        <f t="shared" ref="M42:N57" si="16">M41+K42</f>
        <v>996656</v>
      </c>
      <c r="N42" s="155">
        <f t="shared" si="16"/>
        <v>541927</v>
      </c>
      <c r="O42" s="186"/>
      <c r="P42" s="187"/>
      <c r="Q42" s="15"/>
      <c r="R42" s="15"/>
      <c r="S42" s="16">
        <f t="shared" si="13"/>
        <v>0</v>
      </c>
      <c r="T42" s="15">
        <f t="shared" si="6"/>
        <v>48493</v>
      </c>
      <c r="U42" s="15">
        <f t="shared" si="3"/>
        <v>0</v>
      </c>
      <c r="V42" s="36">
        <f t="shared" si="7"/>
        <v>1538583</v>
      </c>
    </row>
    <row r="43" spans="1:22" ht="14.4" x14ac:dyDescent="0.3">
      <c r="A43" s="162">
        <f t="shared" si="8"/>
        <v>35</v>
      </c>
      <c r="B43" s="90">
        <f t="shared" si="4"/>
        <v>45653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>
        <v>22255</v>
      </c>
      <c r="L43" s="73">
        <v>15058</v>
      </c>
      <c r="M43" s="156">
        <f t="shared" si="16"/>
        <v>1018911</v>
      </c>
      <c r="N43" s="155">
        <f t="shared" si="16"/>
        <v>556985</v>
      </c>
      <c r="O43" s="186"/>
      <c r="P43" s="187"/>
      <c r="Q43" s="15"/>
      <c r="R43" s="15"/>
      <c r="S43" s="16">
        <f t="shared" si="13"/>
        <v>0</v>
      </c>
      <c r="T43" s="15">
        <f t="shared" si="6"/>
        <v>37313</v>
      </c>
      <c r="U43" s="15">
        <f t="shared" si="3"/>
        <v>0</v>
      </c>
      <c r="V43" s="36">
        <f t="shared" si="7"/>
        <v>1575896</v>
      </c>
    </row>
    <row r="44" spans="1:22" ht="14.4" x14ac:dyDescent="0.3">
      <c r="A44" s="162">
        <f t="shared" si="8"/>
        <v>36</v>
      </c>
      <c r="B44" s="90">
        <f t="shared" si="4"/>
        <v>45660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>
        <v>20115</v>
      </c>
      <c r="L44" s="73">
        <v>12471</v>
      </c>
      <c r="M44" s="156">
        <f t="shared" si="16"/>
        <v>1039026</v>
      </c>
      <c r="N44" s="155">
        <f t="shared" si="16"/>
        <v>569456</v>
      </c>
      <c r="O44" s="186"/>
      <c r="P44" s="187"/>
      <c r="Q44" s="15"/>
      <c r="R44" s="15"/>
      <c r="S44" s="16">
        <f t="shared" si="13"/>
        <v>0</v>
      </c>
      <c r="T44" s="15">
        <f t="shared" si="6"/>
        <v>32586</v>
      </c>
      <c r="U44" s="15">
        <f t="shared" si="3"/>
        <v>0</v>
      </c>
      <c r="V44" s="36">
        <f t="shared" si="7"/>
        <v>1608482</v>
      </c>
    </row>
    <row r="45" spans="1:22" ht="14.4" x14ac:dyDescent="0.3">
      <c r="A45" s="162">
        <f t="shared" si="8"/>
        <v>37</v>
      </c>
      <c r="B45" s="90">
        <f t="shared" si="4"/>
        <v>45667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>
        <v>29267</v>
      </c>
      <c r="L45" s="73">
        <v>21643</v>
      </c>
      <c r="M45" s="156">
        <f t="shared" si="16"/>
        <v>1068293</v>
      </c>
      <c r="N45" s="155">
        <f t="shared" si="16"/>
        <v>591099</v>
      </c>
      <c r="O45" s="186"/>
      <c r="P45" s="187"/>
      <c r="Q45" s="15"/>
      <c r="R45" s="15"/>
      <c r="S45" s="16">
        <f t="shared" si="13"/>
        <v>0</v>
      </c>
      <c r="T45" s="15">
        <f t="shared" si="6"/>
        <v>50910</v>
      </c>
      <c r="U45" s="15">
        <f t="shared" si="3"/>
        <v>0</v>
      </c>
      <c r="V45" s="36">
        <f t="shared" si="7"/>
        <v>1659392</v>
      </c>
    </row>
    <row r="46" spans="1:22" ht="14.4" x14ac:dyDescent="0.3">
      <c r="A46" s="162">
        <f t="shared" si="8"/>
        <v>38</v>
      </c>
      <c r="B46" s="90">
        <f t="shared" si="4"/>
        <v>45674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>
        <v>41334</v>
      </c>
      <c r="L46" s="73">
        <v>15388</v>
      </c>
      <c r="M46" s="156">
        <f t="shared" si="16"/>
        <v>1109627</v>
      </c>
      <c r="N46" s="155">
        <f t="shared" si="16"/>
        <v>606487</v>
      </c>
      <c r="O46" s="186"/>
      <c r="P46" s="187"/>
      <c r="Q46" s="15"/>
      <c r="R46" s="15"/>
      <c r="S46" s="16">
        <f t="shared" si="13"/>
        <v>0</v>
      </c>
      <c r="T46" s="15">
        <f t="shared" si="6"/>
        <v>56722</v>
      </c>
      <c r="U46" s="15">
        <f t="shared" si="3"/>
        <v>0</v>
      </c>
      <c r="V46" s="36">
        <f t="shared" si="7"/>
        <v>1716114</v>
      </c>
    </row>
    <row r="47" spans="1:22" ht="14.4" x14ac:dyDescent="0.3">
      <c r="A47" s="162">
        <f t="shared" si="8"/>
        <v>39</v>
      </c>
      <c r="B47" s="90">
        <f t="shared" si="4"/>
        <v>45681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>
        <v>29626</v>
      </c>
      <c r="L47" s="73">
        <v>13629</v>
      </c>
      <c r="M47" s="156">
        <f t="shared" si="16"/>
        <v>1139253</v>
      </c>
      <c r="N47" s="155">
        <f t="shared" si="16"/>
        <v>620116</v>
      </c>
      <c r="O47" s="186"/>
      <c r="P47" s="187"/>
      <c r="Q47" s="15"/>
      <c r="R47" s="15"/>
      <c r="S47" s="16">
        <f t="shared" si="13"/>
        <v>0</v>
      </c>
      <c r="T47" s="15">
        <f t="shared" si="6"/>
        <v>43255</v>
      </c>
      <c r="U47" s="15">
        <f t="shared" si="3"/>
        <v>0</v>
      </c>
      <c r="V47" s="36">
        <f t="shared" si="7"/>
        <v>1759369</v>
      </c>
    </row>
    <row r="48" spans="1:22" ht="14.4" x14ac:dyDescent="0.3">
      <c r="A48" s="162">
        <f t="shared" si="8"/>
        <v>40</v>
      </c>
      <c r="B48" s="90">
        <f t="shared" si="4"/>
        <v>45688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>
        <v>33096</v>
      </c>
      <c r="L48" s="73">
        <v>15251</v>
      </c>
      <c r="M48" s="156">
        <f t="shared" si="16"/>
        <v>1172349</v>
      </c>
      <c r="N48" s="155">
        <f t="shared" si="16"/>
        <v>635367</v>
      </c>
      <c r="O48" s="186"/>
      <c r="P48" s="187"/>
      <c r="Q48" s="15"/>
      <c r="R48" s="15"/>
      <c r="S48" s="16">
        <f t="shared" si="13"/>
        <v>0</v>
      </c>
      <c r="T48" s="15">
        <f t="shared" si="6"/>
        <v>48347</v>
      </c>
      <c r="U48" s="15">
        <f t="shared" si="3"/>
        <v>0</v>
      </c>
      <c r="V48" s="36">
        <f t="shared" si="7"/>
        <v>1807716</v>
      </c>
    </row>
    <row r="49" spans="1:22" ht="14.4" x14ac:dyDescent="0.3">
      <c r="A49" s="162">
        <f t="shared" si="8"/>
        <v>41</v>
      </c>
      <c r="B49" s="90">
        <f t="shared" si="4"/>
        <v>45695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>
        <v>34172</v>
      </c>
      <c r="L49" s="73">
        <v>12865</v>
      </c>
      <c r="M49" s="156">
        <f t="shared" si="16"/>
        <v>1206521</v>
      </c>
      <c r="N49" s="155">
        <f t="shared" si="16"/>
        <v>648232</v>
      </c>
      <c r="O49" s="186"/>
      <c r="P49" s="187"/>
      <c r="Q49" s="15"/>
      <c r="R49" s="15"/>
      <c r="S49" s="16">
        <f t="shared" si="13"/>
        <v>0</v>
      </c>
      <c r="T49" s="15">
        <f t="shared" si="6"/>
        <v>47037</v>
      </c>
      <c r="U49" s="15">
        <f t="shared" si="3"/>
        <v>0</v>
      </c>
      <c r="V49" s="36">
        <f t="shared" si="7"/>
        <v>1854753</v>
      </c>
    </row>
    <row r="50" spans="1:22" ht="14.4" x14ac:dyDescent="0.3">
      <c r="A50" s="162">
        <f t="shared" si="8"/>
        <v>42</v>
      </c>
      <c r="B50" s="90">
        <f t="shared" si="4"/>
        <v>45702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>
        <v>30348</v>
      </c>
      <c r="L50" s="73">
        <v>11409</v>
      </c>
      <c r="M50" s="156">
        <f t="shared" si="16"/>
        <v>1236869</v>
      </c>
      <c r="N50" s="155">
        <f t="shared" si="16"/>
        <v>659641</v>
      </c>
      <c r="O50" s="186"/>
      <c r="P50" s="187"/>
      <c r="Q50" s="15"/>
      <c r="R50" s="15"/>
      <c r="S50" s="16">
        <f t="shared" si="13"/>
        <v>0</v>
      </c>
      <c r="T50" s="15">
        <f t="shared" si="6"/>
        <v>41757</v>
      </c>
      <c r="U50" s="15">
        <f t="shared" si="3"/>
        <v>0</v>
      </c>
      <c r="V50" s="36">
        <f t="shared" si="7"/>
        <v>1896510</v>
      </c>
    </row>
    <row r="51" spans="1:22" ht="14.4" x14ac:dyDescent="0.3">
      <c r="A51" s="162">
        <f t="shared" si="8"/>
        <v>43</v>
      </c>
      <c r="B51" s="90">
        <f t="shared" si="4"/>
        <v>45709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>
        <v>31239</v>
      </c>
      <c r="L51" s="73">
        <v>11258</v>
      </c>
      <c r="M51" s="156">
        <f t="shared" si="16"/>
        <v>1268108</v>
      </c>
      <c r="N51" s="155">
        <f t="shared" si="16"/>
        <v>670899</v>
      </c>
      <c r="O51" s="186"/>
      <c r="P51" s="187"/>
      <c r="Q51" s="15"/>
      <c r="R51" s="15"/>
      <c r="S51" s="16">
        <f t="shared" si="13"/>
        <v>0</v>
      </c>
      <c r="T51" s="15">
        <f t="shared" si="6"/>
        <v>42497</v>
      </c>
      <c r="U51" s="15">
        <f t="shared" si="3"/>
        <v>0</v>
      </c>
      <c r="V51" s="36">
        <f t="shared" si="7"/>
        <v>1939007</v>
      </c>
    </row>
    <row r="52" spans="1:22" ht="14.4" x14ac:dyDescent="0.3">
      <c r="A52" s="162">
        <f t="shared" si="8"/>
        <v>44</v>
      </c>
      <c r="B52" s="90">
        <f t="shared" si="4"/>
        <v>45716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>
        <v>33227</v>
      </c>
      <c r="L52" s="73">
        <v>15765</v>
      </c>
      <c r="M52" s="156">
        <f t="shared" si="16"/>
        <v>1301335</v>
      </c>
      <c r="N52" s="155">
        <f t="shared" si="16"/>
        <v>686664</v>
      </c>
      <c r="O52" s="186"/>
      <c r="P52" s="187"/>
      <c r="Q52" s="15"/>
      <c r="R52" s="15"/>
      <c r="S52" s="16">
        <f t="shared" si="13"/>
        <v>0</v>
      </c>
      <c r="T52" s="15">
        <f t="shared" si="6"/>
        <v>48992</v>
      </c>
      <c r="U52" s="15">
        <f t="shared" si="3"/>
        <v>0</v>
      </c>
      <c r="V52" s="36">
        <f t="shared" si="7"/>
        <v>1987999</v>
      </c>
    </row>
    <row r="53" spans="1:22" ht="14.4" x14ac:dyDescent="0.3">
      <c r="A53" s="162">
        <f t="shared" si="8"/>
        <v>45</v>
      </c>
      <c r="B53" s="90">
        <f t="shared" si="4"/>
        <v>45723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>
        <v>25932</v>
      </c>
      <c r="L53" s="73">
        <v>14174</v>
      </c>
      <c r="M53" s="156">
        <f t="shared" si="16"/>
        <v>1327267</v>
      </c>
      <c r="N53" s="155">
        <f t="shared" si="16"/>
        <v>700838</v>
      </c>
      <c r="O53" s="186"/>
      <c r="P53" s="187"/>
      <c r="Q53" s="15"/>
      <c r="R53" s="15"/>
      <c r="S53" s="16">
        <f t="shared" si="13"/>
        <v>0</v>
      </c>
      <c r="T53" s="15">
        <f t="shared" si="6"/>
        <v>40106</v>
      </c>
      <c r="U53" s="15">
        <f t="shared" si="3"/>
        <v>0</v>
      </c>
      <c r="V53" s="36">
        <f t="shared" si="7"/>
        <v>2028105</v>
      </c>
    </row>
    <row r="54" spans="1:22" ht="14.4" x14ac:dyDescent="0.3">
      <c r="A54" s="162">
        <f t="shared" si="8"/>
        <v>46</v>
      </c>
      <c r="B54" s="90">
        <f t="shared" si="4"/>
        <v>45730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>
        <v>27740</v>
      </c>
      <c r="L54" s="73">
        <v>15457</v>
      </c>
      <c r="M54" s="156">
        <f t="shared" si="16"/>
        <v>1355007</v>
      </c>
      <c r="N54" s="155">
        <f t="shared" si="16"/>
        <v>716295</v>
      </c>
      <c r="O54" s="186"/>
      <c r="P54" s="187"/>
      <c r="Q54" s="15"/>
      <c r="R54" s="15"/>
      <c r="S54" s="16">
        <f t="shared" si="13"/>
        <v>0</v>
      </c>
      <c r="T54" s="15">
        <f t="shared" si="6"/>
        <v>43197</v>
      </c>
      <c r="U54" s="15">
        <f t="shared" si="3"/>
        <v>0</v>
      </c>
      <c r="V54" s="36">
        <f t="shared" si="7"/>
        <v>2071302</v>
      </c>
    </row>
    <row r="55" spans="1:22" ht="14.4" x14ac:dyDescent="0.3">
      <c r="A55" s="162">
        <f t="shared" si="8"/>
        <v>47</v>
      </c>
      <c r="B55" s="90">
        <f t="shared" si="4"/>
        <v>45737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>
        <v>21145</v>
      </c>
      <c r="L55" s="73">
        <v>10697</v>
      </c>
      <c r="M55" s="156">
        <f t="shared" si="16"/>
        <v>1376152</v>
      </c>
      <c r="N55" s="155">
        <f t="shared" si="16"/>
        <v>726992</v>
      </c>
      <c r="O55" s="186"/>
      <c r="P55" s="187"/>
      <c r="Q55" s="15"/>
      <c r="R55" s="15"/>
      <c r="S55" s="16">
        <f t="shared" si="13"/>
        <v>0</v>
      </c>
      <c r="T55" s="15">
        <f t="shared" si="6"/>
        <v>31842</v>
      </c>
      <c r="U55" s="15">
        <f t="shared" si="3"/>
        <v>0</v>
      </c>
      <c r="V55" s="36">
        <f t="shared" si="7"/>
        <v>2103144</v>
      </c>
    </row>
    <row r="56" spans="1:22" ht="14.4" x14ac:dyDescent="0.3">
      <c r="A56" s="162">
        <f t="shared" si="8"/>
        <v>48</v>
      </c>
      <c r="B56" s="90">
        <f t="shared" si="4"/>
        <v>45744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>
        <v>26515</v>
      </c>
      <c r="L56" s="73">
        <v>12435</v>
      </c>
      <c r="M56" s="156">
        <f t="shared" si="16"/>
        <v>1402667</v>
      </c>
      <c r="N56" s="155">
        <f t="shared" si="16"/>
        <v>739427</v>
      </c>
      <c r="O56" s="186"/>
      <c r="P56" s="187"/>
      <c r="Q56" s="15"/>
      <c r="R56" s="15"/>
      <c r="S56" s="16">
        <f t="shared" si="13"/>
        <v>0</v>
      </c>
      <c r="T56" s="15">
        <f t="shared" si="6"/>
        <v>38950</v>
      </c>
      <c r="U56" s="15">
        <f t="shared" si="3"/>
        <v>0</v>
      </c>
      <c r="V56" s="36">
        <f t="shared" si="7"/>
        <v>2142094</v>
      </c>
    </row>
    <row r="57" spans="1:22" ht="14.4" x14ac:dyDescent="0.3">
      <c r="A57" s="162">
        <f t="shared" si="8"/>
        <v>49</v>
      </c>
      <c r="B57" s="90">
        <f t="shared" si="4"/>
        <v>45751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>
        <v>20693</v>
      </c>
      <c r="L57" s="73">
        <v>8217</v>
      </c>
      <c r="M57" s="156">
        <f t="shared" si="16"/>
        <v>1423360</v>
      </c>
      <c r="N57" s="155">
        <f t="shared" si="16"/>
        <v>747644</v>
      </c>
      <c r="O57" s="186"/>
      <c r="P57" s="187"/>
      <c r="Q57" s="15"/>
      <c r="R57" s="15"/>
      <c r="S57" s="16">
        <f t="shared" si="13"/>
        <v>0</v>
      </c>
      <c r="T57" s="15">
        <f>K57+L57</f>
        <v>28910</v>
      </c>
      <c r="U57" s="15">
        <f t="shared" si="3"/>
        <v>0</v>
      </c>
      <c r="V57" s="36">
        <f t="shared" si="7"/>
        <v>2171004</v>
      </c>
    </row>
    <row r="58" spans="1:22" ht="14.4" x14ac:dyDescent="0.3">
      <c r="A58" s="162">
        <f t="shared" si="8"/>
        <v>50</v>
      </c>
      <c r="B58" s="90">
        <f t="shared" si="4"/>
        <v>45758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>
        <v>28161</v>
      </c>
      <c r="L58" s="73">
        <v>7513</v>
      </c>
      <c r="M58" s="156">
        <f t="shared" ref="M58:N60" si="19">M57+K58</f>
        <v>1451521</v>
      </c>
      <c r="N58" s="155">
        <f t="shared" si="19"/>
        <v>755157</v>
      </c>
      <c r="O58" s="186"/>
      <c r="P58" s="187"/>
      <c r="Q58" s="15"/>
      <c r="R58" s="15"/>
      <c r="S58" s="16">
        <f t="shared" si="13"/>
        <v>0</v>
      </c>
      <c r="T58" s="15">
        <f t="shared" si="6"/>
        <v>35674</v>
      </c>
      <c r="U58" s="15">
        <f t="shared" si="3"/>
        <v>0</v>
      </c>
      <c r="V58" s="36">
        <f t="shared" si="7"/>
        <v>2206678</v>
      </c>
    </row>
    <row r="59" spans="1:22" ht="14.4" x14ac:dyDescent="0.3">
      <c r="A59" s="162">
        <f t="shared" si="8"/>
        <v>51</v>
      </c>
      <c r="B59" s="90">
        <f t="shared" si="4"/>
        <v>45765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>
        <v>13725</v>
      </c>
      <c r="L59" s="149">
        <v>7389</v>
      </c>
      <c r="M59" s="156">
        <f t="shared" si="19"/>
        <v>1465246</v>
      </c>
      <c r="N59" s="155">
        <f t="shared" si="19"/>
        <v>762546</v>
      </c>
      <c r="O59" s="186"/>
      <c r="P59" s="187"/>
      <c r="Q59" s="15"/>
      <c r="R59" s="15"/>
      <c r="S59" s="16">
        <f t="shared" si="13"/>
        <v>0</v>
      </c>
      <c r="T59" s="15">
        <f t="shared" si="6"/>
        <v>21114</v>
      </c>
      <c r="U59" s="15">
        <f t="shared" si="3"/>
        <v>0</v>
      </c>
      <c r="V59" s="36">
        <f t="shared" si="7"/>
        <v>2227792</v>
      </c>
    </row>
    <row r="60" spans="1:22" ht="14.4" x14ac:dyDescent="0.3">
      <c r="A60" s="162">
        <f t="shared" si="8"/>
        <v>52</v>
      </c>
      <c r="B60" s="90">
        <f t="shared" si="4"/>
        <v>45772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>
        <v>13276</v>
      </c>
      <c r="L60" s="73">
        <v>7831</v>
      </c>
      <c r="M60" s="156">
        <f t="shared" si="19"/>
        <v>1478522</v>
      </c>
      <c r="N60" s="155">
        <f t="shared" si="19"/>
        <v>770377</v>
      </c>
      <c r="O60" s="186"/>
      <c r="P60" s="187"/>
      <c r="Q60" s="15"/>
      <c r="R60" s="15"/>
      <c r="S60" s="16">
        <f t="shared" si="13"/>
        <v>0</v>
      </c>
      <c r="T60" s="15">
        <f t="shared" si="6"/>
        <v>21107</v>
      </c>
      <c r="U60" s="15">
        <f t="shared" si="3"/>
        <v>0</v>
      </c>
      <c r="V60" s="36">
        <f t="shared" si="7"/>
        <v>2248899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1478522</v>
      </c>
      <c r="N61" s="158">
        <f>N60+L61</f>
        <v>770377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2248899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8EEB-C0BC-40D1-AE98-6FE841E33181}">
  <dimension ref="A1:X4707"/>
  <sheetViews>
    <sheetView tabSelected="1" zoomScale="117" zoomScaleNormal="117" workbookViewId="0">
      <selection activeCell="L24" sqref="L24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161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162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138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139</v>
      </c>
      <c r="D4" s="197"/>
      <c r="E4" s="198" t="s">
        <v>139</v>
      </c>
      <c r="F4" s="199"/>
      <c r="G4" s="196" t="s">
        <v>140</v>
      </c>
      <c r="H4" s="197"/>
      <c r="I4" s="198" t="s">
        <v>140</v>
      </c>
      <c r="J4" s="199"/>
      <c r="K4" s="202" t="s">
        <v>141</v>
      </c>
      <c r="L4" s="203"/>
      <c r="M4" s="204" t="s">
        <v>141</v>
      </c>
      <c r="N4" s="205"/>
      <c r="O4" s="196" t="s">
        <v>142</v>
      </c>
      <c r="P4" s="197"/>
      <c r="Q4" s="198" t="s">
        <v>142</v>
      </c>
      <c r="R4" s="199"/>
      <c r="S4" s="5" t="s">
        <v>143</v>
      </c>
      <c r="T4" s="6" t="s">
        <v>144</v>
      </c>
      <c r="U4" s="5" t="s">
        <v>143</v>
      </c>
      <c r="V4" s="6" t="s">
        <v>144</v>
      </c>
    </row>
    <row r="5" spans="1:23" s="1" customFormat="1" ht="13.8" thickBot="1" x14ac:dyDescent="0.3">
      <c r="B5" s="117"/>
      <c r="C5" s="196" t="s">
        <v>145</v>
      </c>
      <c r="D5" s="197"/>
      <c r="E5" s="198" t="s">
        <v>145</v>
      </c>
      <c r="F5" s="199"/>
      <c r="G5" s="196" t="s">
        <v>146</v>
      </c>
      <c r="H5" s="200"/>
      <c r="I5" s="198" t="s">
        <v>146</v>
      </c>
      <c r="J5" s="201"/>
      <c r="K5" s="202" t="s">
        <v>147</v>
      </c>
      <c r="L5" s="203"/>
      <c r="M5" s="204" t="s">
        <v>147</v>
      </c>
      <c r="N5" s="205"/>
      <c r="O5" s="196" t="s">
        <v>148</v>
      </c>
      <c r="P5" s="200"/>
      <c r="Q5" s="198" t="s">
        <v>148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149</v>
      </c>
      <c r="C6" s="171" t="s">
        <v>150</v>
      </c>
      <c r="D6" s="172" t="s">
        <v>151</v>
      </c>
      <c r="E6" s="8" t="s">
        <v>150</v>
      </c>
      <c r="F6" s="9" t="s">
        <v>151</v>
      </c>
      <c r="G6" s="171" t="s">
        <v>150</v>
      </c>
      <c r="H6" s="172" t="s">
        <v>151</v>
      </c>
      <c r="I6" s="118" t="s">
        <v>150</v>
      </c>
      <c r="J6" s="119" t="s">
        <v>151</v>
      </c>
      <c r="K6" s="173" t="s">
        <v>150</v>
      </c>
      <c r="L6" s="174" t="s">
        <v>151</v>
      </c>
      <c r="M6" s="151" t="s">
        <v>150</v>
      </c>
      <c r="N6" s="152" t="s">
        <v>151</v>
      </c>
      <c r="O6" s="175" t="s">
        <v>150</v>
      </c>
      <c r="P6" s="172" t="s">
        <v>151</v>
      </c>
      <c r="Q6" s="118" t="s">
        <v>150</v>
      </c>
      <c r="R6" s="119" t="s">
        <v>151</v>
      </c>
      <c r="S6" s="8" t="s">
        <v>152</v>
      </c>
      <c r="T6" s="9" t="s">
        <v>153</v>
      </c>
      <c r="U6" s="8" t="s">
        <v>152</v>
      </c>
      <c r="V6" s="9" t="s">
        <v>153</v>
      </c>
      <c r="W6" s="162"/>
    </row>
    <row r="7" spans="1:23" ht="13.8" thickBot="1" x14ac:dyDescent="0.3">
      <c r="A7" s="162"/>
      <c r="B7" s="7" t="s">
        <v>154</v>
      </c>
      <c r="C7" s="176"/>
      <c r="D7" s="177"/>
      <c r="E7" s="71" t="s">
        <v>155</v>
      </c>
      <c r="F7" s="92" t="s">
        <v>156</v>
      </c>
      <c r="G7" s="176"/>
      <c r="H7" s="177"/>
      <c r="I7" s="120" t="s">
        <v>155</v>
      </c>
      <c r="J7" s="121" t="s">
        <v>156</v>
      </c>
      <c r="K7" s="178"/>
      <c r="L7" s="179"/>
      <c r="M7" s="151" t="s">
        <v>155</v>
      </c>
      <c r="N7" s="151" t="s">
        <v>156</v>
      </c>
      <c r="O7" s="180"/>
      <c r="P7" s="177"/>
      <c r="Q7" s="120" t="s">
        <v>155</v>
      </c>
      <c r="R7" s="121" t="s">
        <v>156</v>
      </c>
      <c r="S7" s="10" t="s">
        <v>157</v>
      </c>
      <c r="T7" s="11" t="s">
        <v>157</v>
      </c>
      <c r="U7" s="8" t="s">
        <v>155</v>
      </c>
      <c r="V7" s="9" t="s">
        <v>156</v>
      </c>
      <c r="W7" s="162"/>
    </row>
    <row r="8" spans="1:23" ht="13.8" thickBot="1" x14ac:dyDescent="0.3">
      <c r="A8" s="162"/>
      <c r="B8" s="181"/>
      <c r="C8" s="182" t="s">
        <v>158</v>
      </c>
      <c r="D8" s="183" t="s">
        <v>158</v>
      </c>
      <c r="E8" s="8" t="s">
        <v>158</v>
      </c>
      <c r="F8" s="9" t="s">
        <v>158</v>
      </c>
      <c r="G8" s="182" t="s">
        <v>158</v>
      </c>
      <c r="H8" s="183" t="s">
        <v>158</v>
      </c>
      <c r="I8" s="122" t="s">
        <v>158</v>
      </c>
      <c r="J8" s="123" t="s">
        <v>158</v>
      </c>
      <c r="K8" s="184" t="s">
        <v>158</v>
      </c>
      <c r="L8" s="185" t="s">
        <v>158</v>
      </c>
      <c r="M8" s="153" t="s">
        <v>158</v>
      </c>
      <c r="N8" s="153" t="s">
        <v>158</v>
      </c>
      <c r="O8" s="182" t="s">
        <v>158</v>
      </c>
      <c r="P8" s="183" t="s">
        <v>158</v>
      </c>
      <c r="Q8" s="122" t="s">
        <v>158</v>
      </c>
      <c r="R8" s="123" t="s">
        <v>158</v>
      </c>
      <c r="S8" s="13" t="s">
        <v>158</v>
      </c>
      <c r="T8" s="13" t="s">
        <v>158</v>
      </c>
      <c r="U8" s="13" t="s">
        <v>158</v>
      </c>
      <c r="V8" s="12" t="s">
        <v>158</v>
      </c>
      <c r="W8" s="162"/>
    </row>
    <row r="9" spans="1:23" ht="14.4" x14ac:dyDescent="0.3">
      <c r="A9" s="162">
        <v>1</v>
      </c>
      <c r="B9" s="90">
        <v>45779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91">
        <v>2858</v>
      </c>
      <c r="L9" s="91">
        <v>4741</v>
      </c>
      <c r="M9" s="154">
        <f>K9</f>
        <v>2858</v>
      </c>
      <c r="N9" s="155">
        <f>L9</f>
        <v>4741</v>
      </c>
      <c r="O9" s="146"/>
      <c r="P9" s="14"/>
      <c r="Q9" s="14"/>
      <c r="R9" s="14"/>
      <c r="S9" s="14">
        <f t="shared" ref="S9:S27" si="2">C9+D9</f>
        <v>0</v>
      </c>
      <c r="T9" s="14">
        <f>K9+L9</f>
        <v>7599</v>
      </c>
      <c r="U9" s="14">
        <f t="shared" ref="U9:U60" si="3">E9+F9</f>
        <v>0</v>
      </c>
      <c r="V9" s="14">
        <f>M9+N9</f>
        <v>7599</v>
      </c>
      <c r="W9" s="162"/>
    </row>
    <row r="10" spans="1:23" ht="14.4" x14ac:dyDescent="0.3">
      <c r="A10" s="162">
        <f>A9+1</f>
        <v>2</v>
      </c>
      <c r="B10" s="90">
        <f t="shared" ref="B10:B60" si="4">B9+7</f>
        <v>45786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91">
        <v>6602</v>
      </c>
      <c r="L10" s="91">
        <v>7284</v>
      </c>
      <c r="M10" s="156">
        <f t="shared" ref="M10:N25" si="5">M9+K10</f>
        <v>9460</v>
      </c>
      <c r="N10" s="155">
        <f t="shared" si="5"/>
        <v>12025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13886</v>
      </c>
      <c r="U10" s="15">
        <f t="shared" si="3"/>
        <v>0</v>
      </c>
      <c r="V10" s="15">
        <f t="shared" ref="V10:V60" si="7">M10+N10</f>
        <v>21485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45793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91">
        <v>8839</v>
      </c>
      <c r="L11" s="91">
        <v>9892</v>
      </c>
      <c r="M11" s="156">
        <f t="shared" si="5"/>
        <v>18299</v>
      </c>
      <c r="N11" s="155">
        <f t="shared" si="5"/>
        <v>21917</v>
      </c>
      <c r="O11" s="36"/>
      <c r="P11" s="15"/>
      <c r="Q11" s="15"/>
      <c r="R11" s="15"/>
      <c r="S11" s="15">
        <f t="shared" si="2"/>
        <v>0</v>
      </c>
      <c r="T11" s="15">
        <f t="shared" si="6"/>
        <v>18731</v>
      </c>
      <c r="U11" s="15">
        <f t="shared" si="3"/>
        <v>0</v>
      </c>
      <c r="V11" s="15">
        <f t="shared" si="7"/>
        <v>40216</v>
      </c>
      <c r="W11" s="162"/>
    </row>
    <row r="12" spans="1:23" ht="14.4" x14ac:dyDescent="0.3">
      <c r="A12" s="162">
        <f t="shared" si="8"/>
        <v>4</v>
      </c>
      <c r="B12" s="90">
        <f t="shared" si="4"/>
        <v>45800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91">
        <v>11174</v>
      </c>
      <c r="L12" s="91">
        <v>12432</v>
      </c>
      <c r="M12" s="156">
        <f t="shared" si="5"/>
        <v>29473</v>
      </c>
      <c r="N12" s="155">
        <f t="shared" si="5"/>
        <v>34349</v>
      </c>
      <c r="O12" s="36"/>
      <c r="P12" s="15"/>
      <c r="Q12" s="15"/>
      <c r="R12" s="15"/>
      <c r="S12" s="15">
        <f t="shared" si="2"/>
        <v>0</v>
      </c>
      <c r="T12" s="15">
        <f t="shared" si="6"/>
        <v>23606</v>
      </c>
      <c r="U12" s="15">
        <f t="shared" si="3"/>
        <v>0</v>
      </c>
      <c r="V12" s="15">
        <f t="shared" si="7"/>
        <v>63822</v>
      </c>
      <c r="W12" s="162"/>
    </row>
    <row r="13" spans="1:23" ht="14.4" x14ac:dyDescent="0.3">
      <c r="A13" s="162">
        <f t="shared" si="8"/>
        <v>5</v>
      </c>
      <c r="B13" s="90">
        <f t="shared" si="4"/>
        <v>45807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91">
        <v>14737</v>
      </c>
      <c r="L13" s="91">
        <v>18716</v>
      </c>
      <c r="M13" s="156">
        <f t="shared" si="5"/>
        <v>44210</v>
      </c>
      <c r="N13" s="155">
        <f t="shared" si="5"/>
        <v>53065</v>
      </c>
      <c r="O13" s="36"/>
      <c r="P13" s="15"/>
      <c r="Q13" s="15"/>
      <c r="R13" s="15"/>
      <c r="S13" s="15">
        <f t="shared" si="2"/>
        <v>0</v>
      </c>
      <c r="T13" s="15">
        <f t="shared" si="6"/>
        <v>33453</v>
      </c>
      <c r="U13" s="15">
        <f t="shared" si="3"/>
        <v>0</v>
      </c>
      <c r="V13" s="15">
        <f t="shared" si="7"/>
        <v>97275</v>
      </c>
      <c r="W13" s="162"/>
    </row>
    <row r="14" spans="1:23" ht="14.4" x14ac:dyDescent="0.3">
      <c r="A14" s="162">
        <f t="shared" si="8"/>
        <v>6</v>
      </c>
      <c r="B14" s="90">
        <f t="shared" si="4"/>
        <v>45814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91">
        <v>8082</v>
      </c>
      <c r="L14" s="91">
        <v>5596</v>
      </c>
      <c r="M14" s="156">
        <f t="shared" si="5"/>
        <v>52292</v>
      </c>
      <c r="N14" s="155">
        <f t="shared" si="5"/>
        <v>58661</v>
      </c>
      <c r="O14" s="36"/>
      <c r="P14" s="15"/>
      <c r="Q14" s="15"/>
      <c r="R14" s="15"/>
      <c r="S14" s="15">
        <f t="shared" si="2"/>
        <v>0</v>
      </c>
      <c r="T14" s="15">
        <f t="shared" si="6"/>
        <v>13678</v>
      </c>
      <c r="U14" s="15">
        <f t="shared" si="3"/>
        <v>0</v>
      </c>
      <c r="V14" s="15">
        <f t="shared" si="7"/>
        <v>110953</v>
      </c>
      <c r="W14" s="162"/>
    </row>
    <row r="15" spans="1:23" ht="14.4" x14ac:dyDescent="0.3">
      <c r="A15" s="162">
        <f t="shared" si="8"/>
        <v>7</v>
      </c>
      <c r="B15" s="90">
        <f t="shared" si="4"/>
        <v>45821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91">
        <v>11636</v>
      </c>
      <c r="L15" s="91">
        <v>39503</v>
      </c>
      <c r="M15" s="156">
        <f t="shared" si="5"/>
        <v>63928</v>
      </c>
      <c r="N15" s="155">
        <f t="shared" si="5"/>
        <v>98164</v>
      </c>
      <c r="O15" s="36"/>
      <c r="P15" s="15"/>
      <c r="Q15" s="15"/>
      <c r="R15" s="15"/>
      <c r="S15" s="15">
        <f t="shared" si="2"/>
        <v>0</v>
      </c>
      <c r="T15" s="15">
        <f t="shared" si="6"/>
        <v>51139</v>
      </c>
      <c r="U15" s="15">
        <f t="shared" si="3"/>
        <v>0</v>
      </c>
      <c r="V15" s="15">
        <f t="shared" si="7"/>
        <v>162092</v>
      </c>
      <c r="W15" s="162"/>
    </row>
    <row r="16" spans="1:23" ht="14.4" x14ac:dyDescent="0.3">
      <c r="A16" s="162">
        <f t="shared" si="8"/>
        <v>8</v>
      </c>
      <c r="B16" s="90">
        <f t="shared" si="4"/>
        <v>45828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91">
        <v>8749</v>
      </c>
      <c r="L16" s="91">
        <v>46331</v>
      </c>
      <c r="M16" s="156">
        <f t="shared" si="5"/>
        <v>72677</v>
      </c>
      <c r="N16" s="155">
        <f t="shared" si="5"/>
        <v>144495</v>
      </c>
      <c r="O16" s="36"/>
      <c r="P16" s="15"/>
      <c r="Q16" s="15"/>
      <c r="R16" s="15"/>
      <c r="S16" s="15">
        <f t="shared" si="2"/>
        <v>0</v>
      </c>
      <c r="T16" s="15">
        <f t="shared" si="6"/>
        <v>55080</v>
      </c>
      <c r="U16" s="15">
        <f t="shared" si="3"/>
        <v>0</v>
      </c>
      <c r="V16" s="15">
        <f t="shared" si="7"/>
        <v>217172</v>
      </c>
      <c r="W16" s="162"/>
    </row>
    <row r="17" spans="1:24" ht="14.4" x14ac:dyDescent="0.3">
      <c r="A17" s="162">
        <f t="shared" si="8"/>
        <v>9</v>
      </c>
      <c r="B17" s="90">
        <f t="shared" si="4"/>
        <v>45835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91">
        <v>15580</v>
      </c>
      <c r="L17" s="91">
        <v>51056</v>
      </c>
      <c r="M17" s="156">
        <f t="shared" si="5"/>
        <v>88257</v>
      </c>
      <c r="N17" s="155">
        <f t="shared" si="5"/>
        <v>195551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66636</v>
      </c>
      <c r="U17" s="15">
        <f t="shared" si="3"/>
        <v>0</v>
      </c>
      <c r="V17" s="15">
        <f t="shared" si="7"/>
        <v>283808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45842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91">
        <v>5063</v>
      </c>
      <c r="L18" s="91">
        <v>47492</v>
      </c>
      <c r="M18" s="156">
        <f t="shared" si="5"/>
        <v>93320</v>
      </c>
      <c r="N18" s="155">
        <f t="shared" si="5"/>
        <v>243043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52555</v>
      </c>
      <c r="U18" s="15">
        <f t="shared" si="3"/>
        <v>0</v>
      </c>
      <c r="V18" s="15">
        <f t="shared" si="7"/>
        <v>336363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45849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91">
        <v>4474</v>
      </c>
      <c r="L19" s="91">
        <v>8746</v>
      </c>
      <c r="M19" s="156">
        <f t="shared" si="5"/>
        <v>97794</v>
      </c>
      <c r="N19" s="155">
        <f t="shared" si="5"/>
        <v>251789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13220</v>
      </c>
      <c r="U19" s="15">
        <f t="shared" si="3"/>
        <v>0</v>
      </c>
      <c r="V19" s="15">
        <f t="shared" si="7"/>
        <v>349583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45856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91">
        <v>6128</v>
      </c>
      <c r="L20" s="91">
        <v>7863</v>
      </c>
      <c r="M20" s="156">
        <f t="shared" si="5"/>
        <v>103922</v>
      </c>
      <c r="N20" s="155">
        <f t="shared" si="5"/>
        <v>259652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13991</v>
      </c>
      <c r="U20" s="15">
        <f t="shared" si="3"/>
        <v>0</v>
      </c>
      <c r="V20" s="15">
        <f t="shared" si="7"/>
        <v>363574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45863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91">
        <v>10588</v>
      </c>
      <c r="L21" s="91">
        <v>56974</v>
      </c>
      <c r="M21" s="156">
        <f t="shared" si="5"/>
        <v>114510</v>
      </c>
      <c r="N21" s="155">
        <f t="shared" si="5"/>
        <v>316626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67562</v>
      </c>
      <c r="U21" s="15">
        <f t="shared" si="3"/>
        <v>0</v>
      </c>
      <c r="V21" s="15">
        <f t="shared" si="7"/>
        <v>431136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45870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91">
        <v>24206</v>
      </c>
      <c r="L22" s="91">
        <v>8587</v>
      </c>
      <c r="M22" s="156">
        <f t="shared" si="5"/>
        <v>138716</v>
      </c>
      <c r="N22" s="155">
        <f t="shared" si="5"/>
        <v>325213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32793</v>
      </c>
      <c r="U22" s="15">
        <f t="shared" si="3"/>
        <v>0</v>
      </c>
      <c r="V22" s="15">
        <f t="shared" si="7"/>
        <v>463929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45877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91">
        <v>20524</v>
      </c>
      <c r="L23" s="91">
        <v>9888</v>
      </c>
      <c r="M23" s="156">
        <f t="shared" si="5"/>
        <v>159240</v>
      </c>
      <c r="N23" s="155">
        <f t="shared" si="5"/>
        <v>335101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30412</v>
      </c>
      <c r="U23" s="15">
        <f t="shared" si="3"/>
        <v>0</v>
      </c>
      <c r="V23" s="15">
        <f t="shared" si="7"/>
        <v>494341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45884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91">
        <v>39397</v>
      </c>
      <c r="L24" s="91">
        <v>5642</v>
      </c>
      <c r="M24" s="156">
        <f t="shared" si="5"/>
        <v>198637</v>
      </c>
      <c r="N24" s="155">
        <f t="shared" si="5"/>
        <v>340743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45039</v>
      </c>
      <c r="U24" s="15">
        <f t="shared" si="3"/>
        <v>0</v>
      </c>
      <c r="V24" s="15">
        <f t="shared" si="7"/>
        <v>539380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45891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91">
        <v>9492</v>
      </c>
      <c r="L25" s="91">
        <v>5199</v>
      </c>
      <c r="M25" s="156">
        <f t="shared" si="5"/>
        <v>208129</v>
      </c>
      <c r="N25" s="155">
        <f t="shared" si="5"/>
        <v>345942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14691</v>
      </c>
      <c r="U25" s="15">
        <f t="shared" si="3"/>
        <v>0</v>
      </c>
      <c r="V25" s="15">
        <f t="shared" si="7"/>
        <v>554071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45898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91">
        <v>9775</v>
      </c>
      <c r="L26" s="91">
        <v>5337</v>
      </c>
      <c r="M26" s="156">
        <f t="shared" ref="M26:N41" si="12">M25+K26</f>
        <v>217904</v>
      </c>
      <c r="N26" s="155">
        <f t="shared" si="12"/>
        <v>351279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15112</v>
      </c>
      <c r="U26" s="15">
        <f t="shared" si="3"/>
        <v>0</v>
      </c>
      <c r="V26" s="15">
        <f t="shared" si="7"/>
        <v>569183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45905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91">
        <v>18420</v>
      </c>
      <c r="L27" s="91">
        <v>5391</v>
      </c>
      <c r="M27" s="156">
        <f t="shared" si="12"/>
        <v>236324</v>
      </c>
      <c r="N27" s="155">
        <f t="shared" si="12"/>
        <v>356670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23811</v>
      </c>
      <c r="U27" s="15">
        <f t="shared" si="3"/>
        <v>0</v>
      </c>
      <c r="V27" s="15">
        <f t="shared" si="7"/>
        <v>592994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45912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/>
      <c r="L28" s="91"/>
      <c r="M28" s="156">
        <f t="shared" si="12"/>
        <v>236324</v>
      </c>
      <c r="N28" s="155">
        <f t="shared" si="12"/>
        <v>356670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159</v>
      </c>
      <c r="T28" s="15">
        <f t="shared" si="6"/>
        <v>0</v>
      </c>
      <c r="U28" s="15">
        <f t="shared" si="3"/>
        <v>0</v>
      </c>
      <c r="V28" s="15">
        <f t="shared" si="7"/>
        <v>592994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45919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/>
      <c r="L29" s="91"/>
      <c r="M29" s="156">
        <f t="shared" si="12"/>
        <v>236324</v>
      </c>
      <c r="N29" s="155">
        <f t="shared" si="12"/>
        <v>356670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0</v>
      </c>
      <c r="U29" s="15">
        <f t="shared" si="3"/>
        <v>0</v>
      </c>
      <c r="V29" s="15">
        <f t="shared" si="7"/>
        <v>592994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45926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/>
      <c r="L30" s="73"/>
      <c r="M30" s="156">
        <f t="shared" si="12"/>
        <v>236324</v>
      </c>
      <c r="N30" s="155">
        <f t="shared" si="12"/>
        <v>356670</v>
      </c>
      <c r="O30" s="188"/>
      <c r="P30" s="189"/>
      <c r="Q30" s="15"/>
      <c r="R30" s="15"/>
      <c r="S30" s="40">
        <f t="shared" si="13"/>
        <v>0</v>
      </c>
      <c r="T30" s="15">
        <f t="shared" si="6"/>
        <v>0</v>
      </c>
      <c r="U30" s="36">
        <f t="shared" si="3"/>
        <v>0</v>
      </c>
      <c r="V30" s="15">
        <f t="shared" si="7"/>
        <v>592994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45933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/>
      <c r="L31" s="73"/>
      <c r="M31" s="156">
        <f t="shared" si="12"/>
        <v>236324</v>
      </c>
      <c r="N31" s="155">
        <f t="shared" si="12"/>
        <v>356670</v>
      </c>
      <c r="O31" s="186"/>
      <c r="P31" s="187"/>
      <c r="Q31" s="15"/>
      <c r="R31" s="15"/>
      <c r="S31" s="16">
        <f t="shared" si="13"/>
        <v>0</v>
      </c>
      <c r="T31" s="15">
        <f t="shared" si="6"/>
        <v>0</v>
      </c>
      <c r="U31" s="15">
        <f t="shared" si="3"/>
        <v>0</v>
      </c>
      <c r="V31" s="36">
        <f t="shared" si="7"/>
        <v>592994</v>
      </c>
      <c r="W31" s="162"/>
      <c r="X31" s="162" t="s">
        <v>160</v>
      </c>
    </row>
    <row r="32" spans="1:24" ht="14.4" x14ac:dyDescent="0.3">
      <c r="A32" s="162">
        <f t="shared" si="8"/>
        <v>24</v>
      </c>
      <c r="B32" s="90">
        <f t="shared" si="4"/>
        <v>45940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/>
      <c r="L32" s="73"/>
      <c r="M32" s="156">
        <f t="shared" si="12"/>
        <v>236324</v>
      </c>
      <c r="N32" s="155">
        <f t="shared" si="12"/>
        <v>356670</v>
      </c>
      <c r="O32" s="186"/>
      <c r="P32" s="187"/>
      <c r="Q32" s="15"/>
      <c r="R32" s="15"/>
      <c r="S32" s="16">
        <f t="shared" si="13"/>
        <v>0</v>
      </c>
      <c r="T32" s="15">
        <f t="shared" si="6"/>
        <v>0</v>
      </c>
      <c r="U32" s="15">
        <f t="shared" si="3"/>
        <v>0</v>
      </c>
      <c r="V32" s="36">
        <f t="shared" si="7"/>
        <v>592994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45947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/>
      <c r="L33" s="73"/>
      <c r="M33" s="156">
        <f t="shared" si="12"/>
        <v>236324</v>
      </c>
      <c r="N33" s="155">
        <f t="shared" si="12"/>
        <v>356670</v>
      </c>
      <c r="O33" s="186"/>
      <c r="P33" s="187"/>
      <c r="Q33" s="15"/>
      <c r="R33" s="15"/>
      <c r="S33" s="16">
        <f t="shared" si="13"/>
        <v>0</v>
      </c>
      <c r="T33" s="15">
        <f t="shared" si="6"/>
        <v>0</v>
      </c>
      <c r="U33" s="15">
        <f t="shared" si="3"/>
        <v>0</v>
      </c>
      <c r="V33" s="36">
        <f t="shared" si="7"/>
        <v>592994</v>
      </c>
    </row>
    <row r="34" spans="1:22" ht="14.4" x14ac:dyDescent="0.3">
      <c r="A34" s="162">
        <f t="shared" si="8"/>
        <v>26</v>
      </c>
      <c r="B34" s="90">
        <f t="shared" si="4"/>
        <v>45954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/>
      <c r="L34" s="73"/>
      <c r="M34" s="156">
        <f t="shared" si="12"/>
        <v>236324</v>
      </c>
      <c r="N34" s="155">
        <f t="shared" si="12"/>
        <v>356670</v>
      </c>
      <c r="O34" s="186"/>
      <c r="P34" s="187"/>
      <c r="Q34" s="15"/>
      <c r="R34" s="15"/>
      <c r="S34" s="16">
        <f t="shared" si="13"/>
        <v>0</v>
      </c>
      <c r="T34" s="15">
        <f t="shared" si="6"/>
        <v>0</v>
      </c>
      <c r="U34" s="15">
        <f t="shared" si="3"/>
        <v>0</v>
      </c>
      <c r="V34" s="36">
        <f t="shared" si="7"/>
        <v>592994</v>
      </c>
    </row>
    <row r="35" spans="1:22" ht="14.4" x14ac:dyDescent="0.3">
      <c r="A35" s="162">
        <f t="shared" si="8"/>
        <v>27</v>
      </c>
      <c r="B35" s="90">
        <f t="shared" si="4"/>
        <v>45961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/>
      <c r="L35" s="73"/>
      <c r="M35" s="156">
        <f t="shared" si="12"/>
        <v>236324</v>
      </c>
      <c r="N35" s="155">
        <f t="shared" si="12"/>
        <v>356670</v>
      </c>
      <c r="O35" s="186"/>
      <c r="P35" s="187"/>
      <c r="Q35" s="15"/>
      <c r="R35" s="15"/>
      <c r="S35" s="16">
        <f t="shared" si="13"/>
        <v>0</v>
      </c>
      <c r="T35" s="15">
        <f t="shared" si="6"/>
        <v>0</v>
      </c>
      <c r="U35" s="15">
        <f t="shared" si="3"/>
        <v>0</v>
      </c>
      <c r="V35" s="36">
        <f t="shared" si="7"/>
        <v>592994</v>
      </c>
    </row>
    <row r="36" spans="1:22" ht="14.4" x14ac:dyDescent="0.3">
      <c r="A36" s="162">
        <f t="shared" si="8"/>
        <v>28</v>
      </c>
      <c r="B36" s="90">
        <f t="shared" si="4"/>
        <v>45968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/>
      <c r="L36" s="73"/>
      <c r="M36" s="156">
        <f t="shared" si="12"/>
        <v>236324</v>
      </c>
      <c r="N36" s="155">
        <f t="shared" si="12"/>
        <v>356670</v>
      </c>
      <c r="O36" s="186"/>
      <c r="P36" s="187"/>
      <c r="Q36" s="15"/>
      <c r="R36" s="15"/>
      <c r="S36" s="16">
        <f t="shared" si="13"/>
        <v>0</v>
      </c>
      <c r="T36" s="15">
        <f t="shared" si="6"/>
        <v>0</v>
      </c>
      <c r="U36" s="15">
        <f t="shared" si="3"/>
        <v>0</v>
      </c>
      <c r="V36" s="36">
        <f t="shared" si="7"/>
        <v>592994</v>
      </c>
    </row>
    <row r="37" spans="1:22" ht="14.4" x14ac:dyDescent="0.3">
      <c r="A37" s="162">
        <f t="shared" si="8"/>
        <v>29</v>
      </c>
      <c r="B37" s="90">
        <f t="shared" si="4"/>
        <v>45975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/>
      <c r="L37" s="73"/>
      <c r="M37" s="156">
        <f t="shared" si="12"/>
        <v>236324</v>
      </c>
      <c r="N37" s="155">
        <f t="shared" si="12"/>
        <v>356670</v>
      </c>
      <c r="O37" s="186"/>
      <c r="P37" s="187"/>
      <c r="Q37" s="15"/>
      <c r="R37" s="15"/>
      <c r="S37" s="16">
        <f t="shared" si="13"/>
        <v>0</v>
      </c>
      <c r="T37" s="15">
        <f t="shared" si="6"/>
        <v>0</v>
      </c>
      <c r="U37" s="15">
        <f t="shared" si="3"/>
        <v>0</v>
      </c>
      <c r="V37" s="36">
        <f t="shared" si="7"/>
        <v>592994</v>
      </c>
    </row>
    <row r="38" spans="1:22" ht="14.4" x14ac:dyDescent="0.3">
      <c r="A38" s="162">
        <f t="shared" si="8"/>
        <v>30</v>
      </c>
      <c r="B38" s="90">
        <f t="shared" si="4"/>
        <v>45982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/>
      <c r="L38" s="73"/>
      <c r="M38" s="156">
        <f t="shared" si="12"/>
        <v>236324</v>
      </c>
      <c r="N38" s="155">
        <f t="shared" si="12"/>
        <v>356670</v>
      </c>
      <c r="O38" s="186"/>
      <c r="P38" s="187"/>
      <c r="Q38" s="15"/>
      <c r="R38" s="15"/>
      <c r="S38" s="16">
        <f t="shared" si="13"/>
        <v>0</v>
      </c>
      <c r="T38" s="15">
        <f t="shared" si="6"/>
        <v>0</v>
      </c>
      <c r="U38" s="15">
        <f t="shared" si="3"/>
        <v>0</v>
      </c>
      <c r="V38" s="36">
        <f t="shared" si="7"/>
        <v>592994</v>
      </c>
    </row>
    <row r="39" spans="1:22" ht="14.4" x14ac:dyDescent="0.3">
      <c r="A39" s="162">
        <f t="shared" si="8"/>
        <v>31</v>
      </c>
      <c r="B39" s="90">
        <f t="shared" si="4"/>
        <v>45989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/>
      <c r="L39" s="73"/>
      <c r="M39" s="156">
        <f t="shared" si="12"/>
        <v>236324</v>
      </c>
      <c r="N39" s="155">
        <f t="shared" si="12"/>
        <v>356670</v>
      </c>
      <c r="O39" s="186"/>
      <c r="P39" s="187"/>
      <c r="Q39" s="15"/>
      <c r="R39" s="15"/>
      <c r="S39" s="16">
        <f t="shared" si="13"/>
        <v>0</v>
      </c>
      <c r="T39" s="15">
        <f t="shared" si="6"/>
        <v>0</v>
      </c>
      <c r="U39" s="15">
        <f t="shared" si="3"/>
        <v>0</v>
      </c>
      <c r="V39" s="36">
        <f t="shared" si="7"/>
        <v>592994</v>
      </c>
    </row>
    <row r="40" spans="1:22" ht="14.4" x14ac:dyDescent="0.3">
      <c r="A40" s="162">
        <f t="shared" si="8"/>
        <v>32</v>
      </c>
      <c r="B40" s="90">
        <f t="shared" si="4"/>
        <v>45996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/>
      <c r="L40" s="73"/>
      <c r="M40" s="156">
        <f t="shared" si="12"/>
        <v>236324</v>
      </c>
      <c r="N40" s="155">
        <f t="shared" si="12"/>
        <v>356670</v>
      </c>
      <c r="O40" s="186"/>
      <c r="P40" s="187"/>
      <c r="Q40" s="15"/>
      <c r="R40" s="15"/>
      <c r="S40" s="16">
        <f t="shared" si="13"/>
        <v>0</v>
      </c>
      <c r="T40" s="15">
        <f t="shared" si="6"/>
        <v>0</v>
      </c>
      <c r="U40" s="15">
        <f t="shared" si="3"/>
        <v>0</v>
      </c>
      <c r="V40" s="36">
        <f t="shared" si="7"/>
        <v>592994</v>
      </c>
    </row>
    <row r="41" spans="1:22" ht="14.4" x14ac:dyDescent="0.3">
      <c r="A41" s="162">
        <f t="shared" si="8"/>
        <v>33</v>
      </c>
      <c r="B41" s="90">
        <f t="shared" si="4"/>
        <v>46003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/>
      <c r="L41" s="73"/>
      <c r="M41" s="156">
        <f t="shared" si="12"/>
        <v>236324</v>
      </c>
      <c r="N41" s="155">
        <f t="shared" si="12"/>
        <v>356670</v>
      </c>
      <c r="O41" s="186"/>
      <c r="P41" s="187"/>
      <c r="Q41" s="15"/>
      <c r="R41" s="15"/>
      <c r="S41" s="16">
        <f t="shared" si="13"/>
        <v>0</v>
      </c>
      <c r="T41" s="15">
        <f t="shared" si="6"/>
        <v>0</v>
      </c>
      <c r="U41" s="15">
        <f t="shared" si="3"/>
        <v>0</v>
      </c>
      <c r="V41" s="36">
        <f t="shared" si="7"/>
        <v>592994</v>
      </c>
    </row>
    <row r="42" spans="1:22" ht="14.4" x14ac:dyDescent="0.3">
      <c r="A42" s="162">
        <f t="shared" si="8"/>
        <v>34</v>
      </c>
      <c r="B42" s="90">
        <f t="shared" si="4"/>
        <v>46010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/>
      <c r="L42" s="73"/>
      <c r="M42" s="156">
        <f t="shared" ref="M42:N57" si="16">M41+K42</f>
        <v>236324</v>
      </c>
      <c r="N42" s="155">
        <f t="shared" si="16"/>
        <v>356670</v>
      </c>
      <c r="O42" s="186"/>
      <c r="P42" s="187"/>
      <c r="Q42" s="15"/>
      <c r="R42" s="15"/>
      <c r="S42" s="16">
        <f t="shared" si="13"/>
        <v>0</v>
      </c>
      <c r="T42" s="15">
        <f t="shared" si="6"/>
        <v>0</v>
      </c>
      <c r="U42" s="15">
        <f t="shared" si="3"/>
        <v>0</v>
      </c>
      <c r="V42" s="36">
        <f t="shared" si="7"/>
        <v>592994</v>
      </c>
    </row>
    <row r="43" spans="1:22" ht="14.4" x14ac:dyDescent="0.3">
      <c r="A43" s="162">
        <f t="shared" si="8"/>
        <v>35</v>
      </c>
      <c r="B43" s="90">
        <f t="shared" si="4"/>
        <v>46017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/>
      <c r="L43" s="73"/>
      <c r="M43" s="156">
        <f t="shared" si="16"/>
        <v>236324</v>
      </c>
      <c r="N43" s="155">
        <f t="shared" si="16"/>
        <v>356670</v>
      </c>
      <c r="O43" s="186"/>
      <c r="P43" s="187"/>
      <c r="Q43" s="15"/>
      <c r="R43" s="15"/>
      <c r="S43" s="16">
        <f t="shared" si="13"/>
        <v>0</v>
      </c>
      <c r="T43" s="15">
        <f t="shared" si="6"/>
        <v>0</v>
      </c>
      <c r="U43" s="15">
        <f t="shared" si="3"/>
        <v>0</v>
      </c>
      <c r="V43" s="36">
        <f t="shared" si="7"/>
        <v>592994</v>
      </c>
    </row>
    <row r="44" spans="1:22" ht="14.4" x14ac:dyDescent="0.3">
      <c r="A44" s="162">
        <f t="shared" si="8"/>
        <v>36</v>
      </c>
      <c r="B44" s="90">
        <f t="shared" si="4"/>
        <v>46024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/>
      <c r="L44" s="73"/>
      <c r="M44" s="156">
        <f t="shared" si="16"/>
        <v>236324</v>
      </c>
      <c r="N44" s="155">
        <f t="shared" si="16"/>
        <v>356670</v>
      </c>
      <c r="O44" s="186"/>
      <c r="P44" s="187"/>
      <c r="Q44" s="15"/>
      <c r="R44" s="15"/>
      <c r="S44" s="16">
        <f t="shared" si="13"/>
        <v>0</v>
      </c>
      <c r="T44" s="15">
        <f t="shared" si="6"/>
        <v>0</v>
      </c>
      <c r="U44" s="15">
        <f t="shared" si="3"/>
        <v>0</v>
      </c>
      <c r="V44" s="36">
        <f t="shared" si="7"/>
        <v>592994</v>
      </c>
    </row>
    <row r="45" spans="1:22" ht="14.4" x14ac:dyDescent="0.3">
      <c r="A45" s="162">
        <f t="shared" si="8"/>
        <v>37</v>
      </c>
      <c r="B45" s="90">
        <f t="shared" si="4"/>
        <v>46031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/>
      <c r="L45" s="73"/>
      <c r="M45" s="156">
        <f t="shared" si="16"/>
        <v>236324</v>
      </c>
      <c r="N45" s="155">
        <f t="shared" si="16"/>
        <v>356670</v>
      </c>
      <c r="O45" s="186"/>
      <c r="P45" s="187"/>
      <c r="Q45" s="15"/>
      <c r="R45" s="15"/>
      <c r="S45" s="16">
        <f t="shared" si="13"/>
        <v>0</v>
      </c>
      <c r="T45" s="15">
        <f t="shared" si="6"/>
        <v>0</v>
      </c>
      <c r="U45" s="15">
        <f t="shared" si="3"/>
        <v>0</v>
      </c>
      <c r="V45" s="36">
        <f t="shared" si="7"/>
        <v>592994</v>
      </c>
    </row>
    <row r="46" spans="1:22" ht="14.4" x14ac:dyDescent="0.3">
      <c r="A46" s="162">
        <f t="shared" si="8"/>
        <v>38</v>
      </c>
      <c r="B46" s="90">
        <f t="shared" si="4"/>
        <v>46038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/>
      <c r="L46" s="73"/>
      <c r="M46" s="156">
        <f t="shared" si="16"/>
        <v>236324</v>
      </c>
      <c r="N46" s="155">
        <f t="shared" si="16"/>
        <v>356670</v>
      </c>
      <c r="O46" s="186"/>
      <c r="P46" s="187"/>
      <c r="Q46" s="15"/>
      <c r="R46" s="15"/>
      <c r="S46" s="16">
        <f t="shared" si="13"/>
        <v>0</v>
      </c>
      <c r="T46" s="15">
        <f t="shared" si="6"/>
        <v>0</v>
      </c>
      <c r="U46" s="15">
        <f t="shared" si="3"/>
        <v>0</v>
      </c>
      <c r="V46" s="36">
        <f t="shared" si="7"/>
        <v>592994</v>
      </c>
    </row>
    <row r="47" spans="1:22" ht="14.4" x14ac:dyDescent="0.3">
      <c r="A47" s="162">
        <f t="shared" si="8"/>
        <v>39</v>
      </c>
      <c r="B47" s="90">
        <f t="shared" si="4"/>
        <v>46045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/>
      <c r="L47" s="73"/>
      <c r="M47" s="156">
        <f t="shared" si="16"/>
        <v>236324</v>
      </c>
      <c r="N47" s="155">
        <f t="shared" si="16"/>
        <v>356670</v>
      </c>
      <c r="O47" s="186"/>
      <c r="P47" s="187"/>
      <c r="Q47" s="15"/>
      <c r="R47" s="15"/>
      <c r="S47" s="16">
        <f t="shared" si="13"/>
        <v>0</v>
      </c>
      <c r="T47" s="15">
        <f t="shared" si="6"/>
        <v>0</v>
      </c>
      <c r="U47" s="15">
        <f t="shared" si="3"/>
        <v>0</v>
      </c>
      <c r="V47" s="36">
        <f t="shared" si="7"/>
        <v>592994</v>
      </c>
    </row>
    <row r="48" spans="1:22" ht="14.4" x14ac:dyDescent="0.3">
      <c r="A48" s="162">
        <f t="shared" si="8"/>
        <v>40</v>
      </c>
      <c r="B48" s="90">
        <f t="shared" si="4"/>
        <v>46052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/>
      <c r="L48" s="73"/>
      <c r="M48" s="156">
        <f t="shared" si="16"/>
        <v>236324</v>
      </c>
      <c r="N48" s="155">
        <f t="shared" si="16"/>
        <v>356670</v>
      </c>
      <c r="O48" s="186"/>
      <c r="P48" s="187"/>
      <c r="Q48" s="15"/>
      <c r="R48" s="15"/>
      <c r="S48" s="16">
        <f t="shared" si="13"/>
        <v>0</v>
      </c>
      <c r="T48" s="15">
        <f t="shared" si="6"/>
        <v>0</v>
      </c>
      <c r="U48" s="15">
        <f t="shared" si="3"/>
        <v>0</v>
      </c>
      <c r="V48" s="36">
        <f t="shared" si="7"/>
        <v>592994</v>
      </c>
    </row>
    <row r="49" spans="1:22" ht="14.4" x14ac:dyDescent="0.3">
      <c r="A49" s="162">
        <f t="shared" si="8"/>
        <v>41</v>
      </c>
      <c r="B49" s="90">
        <f t="shared" si="4"/>
        <v>46059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/>
      <c r="L49" s="73"/>
      <c r="M49" s="156">
        <f t="shared" si="16"/>
        <v>236324</v>
      </c>
      <c r="N49" s="155">
        <f t="shared" si="16"/>
        <v>356670</v>
      </c>
      <c r="O49" s="186"/>
      <c r="P49" s="187"/>
      <c r="Q49" s="15"/>
      <c r="R49" s="15"/>
      <c r="S49" s="16">
        <f t="shared" si="13"/>
        <v>0</v>
      </c>
      <c r="T49" s="15">
        <f t="shared" si="6"/>
        <v>0</v>
      </c>
      <c r="U49" s="15">
        <f t="shared" si="3"/>
        <v>0</v>
      </c>
      <c r="V49" s="36">
        <f t="shared" si="7"/>
        <v>592994</v>
      </c>
    </row>
    <row r="50" spans="1:22" ht="14.4" x14ac:dyDescent="0.3">
      <c r="A50" s="162">
        <f t="shared" si="8"/>
        <v>42</v>
      </c>
      <c r="B50" s="90">
        <f t="shared" si="4"/>
        <v>46066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/>
      <c r="L50" s="73"/>
      <c r="M50" s="156">
        <f t="shared" si="16"/>
        <v>236324</v>
      </c>
      <c r="N50" s="155">
        <f t="shared" si="16"/>
        <v>356670</v>
      </c>
      <c r="O50" s="186"/>
      <c r="P50" s="187"/>
      <c r="Q50" s="15"/>
      <c r="R50" s="15"/>
      <c r="S50" s="16">
        <f t="shared" si="13"/>
        <v>0</v>
      </c>
      <c r="T50" s="15">
        <f t="shared" si="6"/>
        <v>0</v>
      </c>
      <c r="U50" s="15">
        <f t="shared" si="3"/>
        <v>0</v>
      </c>
      <c r="V50" s="36">
        <f t="shared" si="7"/>
        <v>592994</v>
      </c>
    </row>
    <row r="51" spans="1:22" ht="14.4" x14ac:dyDescent="0.3">
      <c r="A51" s="162">
        <f t="shared" si="8"/>
        <v>43</v>
      </c>
      <c r="B51" s="90">
        <f t="shared" si="4"/>
        <v>46073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/>
      <c r="L51" s="73"/>
      <c r="M51" s="156">
        <f t="shared" si="16"/>
        <v>236324</v>
      </c>
      <c r="N51" s="155">
        <f t="shared" si="16"/>
        <v>356670</v>
      </c>
      <c r="O51" s="186"/>
      <c r="P51" s="187"/>
      <c r="Q51" s="15"/>
      <c r="R51" s="15"/>
      <c r="S51" s="16">
        <f t="shared" si="13"/>
        <v>0</v>
      </c>
      <c r="T51" s="15">
        <f t="shared" si="6"/>
        <v>0</v>
      </c>
      <c r="U51" s="15">
        <f t="shared" si="3"/>
        <v>0</v>
      </c>
      <c r="V51" s="36">
        <f t="shared" si="7"/>
        <v>592994</v>
      </c>
    </row>
    <row r="52" spans="1:22" ht="14.4" x14ac:dyDescent="0.3">
      <c r="A52" s="162">
        <f t="shared" si="8"/>
        <v>44</v>
      </c>
      <c r="B52" s="90">
        <f t="shared" si="4"/>
        <v>46080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/>
      <c r="L52" s="73"/>
      <c r="M52" s="156">
        <f t="shared" si="16"/>
        <v>236324</v>
      </c>
      <c r="N52" s="155">
        <f t="shared" si="16"/>
        <v>356670</v>
      </c>
      <c r="O52" s="186"/>
      <c r="P52" s="187"/>
      <c r="Q52" s="15"/>
      <c r="R52" s="15"/>
      <c r="S52" s="16">
        <f t="shared" si="13"/>
        <v>0</v>
      </c>
      <c r="T52" s="15">
        <f t="shared" si="6"/>
        <v>0</v>
      </c>
      <c r="U52" s="15">
        <f t="shared" si="3"/>
        <v>0</v>
      </c>
      <c r="V52" s="36">
        <f t="shared" si="7"/>
        <v>592994</v>
      </c>
    </row>
    <row r="53" spans="1:22" ht="14.4" x14ac:dyDescent="0.3">
      <c r="A53" s="162">
        <f t="shared" si="8"/>
        <v>45</v>
      </c>
      <c r="B53" s="90">
        <f t="shared" si="4"/>
        <v>46087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/>
      <c r="L53" s="73"/>
      <c r="M53" s="156">
        <f t="shared" si="16"/>
        <v>236324</v>
      </c>
      <c r="N53" s="155">
        <f t="shared" si="16"/>
        <v>356670</v>
      </c>
      <c r="O53" s="186"/>
      <c r="P53" s="187"/>
      <c r="Q53" s="15"/>
      <c r="R53" s="15"/>
      <c r="S53" s="16">
        <f t="shared" si="13"/>
        <v>0</v>
      </c>
      <c r="T53" s="15">
        <f t="shared" si="6"/>
        <v>0</v>
      </c>
      <c r="U53" s="15">
        <f t="shared" si="3"/>
        <v>0</v>
      </c>
      <c r="V53" s="36">
        <f t="shared" si="7"/>
        <v>592994</v>
      </c>
    </row>
    <row r="54" spans="1:22" ht="14.4" x14ac:dyDescent="0.3">
      <c r="A54" s="162">
        <f t="shared" si="8"/>
        <v>46</v>
      </c>
      <c r="B54" s="90">
        <f t="shared" si="4"/>
        <v>46094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/>
      <c r="L54" s="73"/>
      <c r="M54" s="156">
        <f t="shared" si="16"/>
        <v>236324</v>
      </c>
      <c r="N54" s="155">
        <f t="shared" si="16"/>
        <v>356670</v>
      </c>
      <c r="O54" s="186"/>
      <c r="P54" s="187"/>
      <c r="Q54" s="15"/>
      <c r="R54" s="15"/>
      <c r="S54" s="16">
        <f t="shared" si="13"/>
        <v>0</v>
      </c>
      <c r="T54" s="15">
        <f t="shared" si="6"/>
        <v>0</v>
      </c>
      <c r="U54" s="15">
        <f t="shared" si="3"/>
        <v>0</v>
      </c>
      <c r="V54" s="36">
        <f t="shared" si="7"/>
        <v>592994</v>
      </c>
    </row>
    <row r="55" spans="1:22" ht="14.4" x14ac:dyDescent="0.3">
      <c r="A55" s="162">
        <f t="shared" si="8"/>
        <v>47</v>
      </c>
      <c r="B55" s="90">
        <f t="shared" si="4"/>
        <v>46101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/>
      <c r="L55" s="73"/>
      <c r="M55" s="156">
        <f t="shared" si="16"/>
        <v>236324</v>
      </c>
      <c r="N55" s="155">
        <f t="shared" si="16"/>
        <v>356670</v>
      </c>
      <c r="O55" s="186"/>
      <c r="P55" s="187"/>
      <c r="Q55" s="15"/>
      <c r="R55" s="15"/>
      <c r="S55" s="16">
        <f t="shared" si="13"/>
        <v>0</v>
      </c>
      <c r="T55" s="15">
        <f t="shared" si="6"/>
        <v>0</v>
      </c>
      <c r="U55" s="15">
        <f t="shared" si="3"/>
        <v>0</v>
      </c>
      <c r="V55" s="36">
        <f t="shared" si="7"/>
        <v>592994</v>
      </c>
    </row>
    <row r="56" spans="1:22" ht="14.4" x14ac:dyDescent="0.3">
      <c r="A56" s="162">
        <f t="shared" si="8"/>
        <v>48</v>
      </c>
      <c r="B56" s="90">
        <f t="shared" si="4"/>
        <v>46108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/>
      <c r="L56" s="73"/>
      <c r="M56" s="156">
        <f t="shared" si="16"/>
        <v>236324</v>
      </c>
      <c r="N56" s="155">
        <f t="shared" si="16"/>
        <v>356670</v>
      </c>
      <c r="O56" s="186"/>
      <c r="P56" s="187"/>
      <c r="Q56" s="15"/>
      <c r="R56" s="15"/>
      <c r="S56" s="16">
        <f t="shared" si="13"/>
        <v>0</v>
      </c>
      <c r="T56" s="15">
        <f t="shared" si="6"/>
        <v>0</v>
      </c>
      <c r="U56" s="15">
        <f t="shared" si="3"/>
        <v>0</v>
      </c>
      <c r="V56" s="36">
        <f t="shared" si="7"/>
        <v>592994</v>
      </c>
    </row>
    <row r="57" spans="1:22" ht="14.4" x14ac:dyDescent="0.3">
      <c r="A57" s="162">
        <f t="shared" si="8"/>
        <v>49</v>
      </c>
      <c r="B57" s="90">
        <f t="shared" si="4"/>
        <v>46115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/>
      <c r="L57" s="73"/>
      <c r="M57" s="156">
        <f t="shared" si="16"/>
        <v>236324</v>
      </c>
      <c r="N57" s="155">
        <f t="shared" si="16"/>
        <v>356670</v>
      </c>
      <c r="O57" s="186"/>
      <c r="P57" s="187"/>
      <c r="Q57" s="15"/>
      <c r="R57" s="15"/>
      <c r="S57" s="16">
        <f t="shared" si="13"/>
        <v>0</v>
      </c>
      <c r="T57" s="15">
        <f>K57+L57</f>
        <v>0</v>
      </c>
      <c r="U57" s="15">
        <f t="shared" si="3"/>
        <v>0</v>
      </c>
      <c r="V57" s="36">
        <f t="shared" si="7"/>
        <v>592994</v>
      </c>
    </row>
    <row r="58" spans="1:22" ht="14.4" x14ac:dyDescent="0.3">
      <c r="A58" s="162">
        <f t="shared" si="8"/>
        <v>50</v>
      </c>
      <c r="B58" s="90">
        <f t="shared" si="4"/>
        <v>46122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/>
      <c r="L58" s="73"/>
      <c r="M58" s="156">
        <f t="shared" ref="M58:N60" si="19">M57+K58</f>
        <v>236324</v>
      </c>
      <c r="N58" s="155">
        <f t="shared" si="19"/>
        <v>356670</v>
      </c>
      <c r="O58" s="186"/>
      <c r="P58" s="187"/>
      <c r="Q58" s="15"/>
      <c r="R58" s="15"/>
      <c r="S58" s="16">
        <f t="shared" si="13"/>
        <v>0</v>
      </c>
      <c r="T58" s="15">
        <f t="shared" si="6"/>
        <v>0</v>
      </c>
      <c r="U58" s="15">
        <f t="shared" si="3"/>
        <v>0</v>
      </c>
      <c r="V58" s="36">
        <f t="shared" si="7"/>
        <v>592994</v>
      </c>
    </row>
    <row r="59" spans="1:22" ht="14.4" x14ac:dyDescent="0.3">
      <c r="A59" s="162">
        <f t="shared" si="8"/>
        <v>51</v>
      </c>
      <c r="B59" s="90">
        <f t="shared" si="4"/>
        <v>46129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/>
      <c r="L59" s="149"/>
      <c r="M59" s="156">
        <f t="shared" si="19"/>
        <v>236324</v>
      </c>
      <c r="N59" s="155">
        <f t="shared" si="19"/>
        <v>356670</v>
      </c>
      <c r="O59" s="186"/>
      <c r="P59" s="187"/>
      <c r="Q59" s="15"/>
      <c r="R59" s="15"/>
      <c r="S59" s="16">
        <f t="shared" si="13"/>
        <v>0</v>
      </c>
      <c r="T59" s="15">
        <f t="shared" si="6"/>
        <v>0</v>
      </c>
      <c r="U59" s="15">
        <f t="shared" si="3"/>
        <v>0</v>
      </c>
      <c r="V59" s="36">
        <f t="shared" si="7"/>
        <v>592994</v>
      </c>
    </row>
    <row r="60" spans="1:22" ht="14.4" x14ac:dyDescent="0.3">
      <c r="A60" s="162">
        <f t="shared" si="8"/>
        <v>52</v>
      </c>
      <c r="B60" s="90">
        <f t="shared" si="4"/>
        <v>46136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/>
      <c r="L60" s="73"/>
      <c r="M60" s="156">
        <f t="shared" si="19"/>
        <v>236324</v>
      </c>
      <c r="N60" s="155">
        <f t="shared" si="19"/>
        <v>356670</v>
      </c>
      <c r="O60" s="186"/>
      <c r="P60" s="187"/>
      <c r="Q60" s="15"/>
      <c r="R60" s="15"/>
      <c r="S60" s="16">
        <f t="shared" si="13"/>
        <v>0</v>
      </c>
      <c r="T60" s="15">
        <f t="shared" si="6"/>
        <v>0</v>
      </c>
      <c r="U60" s="15">
        <f t="shared" si="3"/>
        <v>0</v>
      </c>
      <c r="V60" s="36">
        <f t="shared" si="7"/>
        <v>592994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236324</v>
      </c>
      <c r="N61" s="158">
        <f>N60+L61</f>
        <v>356670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592994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5"/>
  <sheetViews>
    <sheetView workbookViewId="0">
      <selection activeCell="I11" sqref="I11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13" width="10.6640625" bestFit="1" customWidth="1"/>
    <col min="14" max="14" width="29.33203125" bestFit="1" customWidth="1"/>
    <col min="15" max="15" width="0.5546875" customWidth="1"/>
    <col min="16" max="20" width="9.5546875" bestFit="1" customWidth="1"/>
    <col min="21" max="21" width="10.33203125" bestFit="1" customWidth="1"/>
    <col min="22" max="22" width="29.33203125" bestFit="1" customWidth="1"/>
    <col min="23" max="23" width="7.33203125" bestFit="1" customWidth="1"/>
  </cols>
  <sheetData>
    <row r="1" spans="1:22" x14ac:dyDescent="0.25">
      <c r="A1" t="s">
        <v>163</v>
      </c>
      <c r="B1" t="s">
        <v>164</v>
      </c>
      <c r="C1" t="s">
        <v>165</v>
      </c>
      <c r="D1" t="s">
        <v>166</v>
      </c>
      <c r="E1" t="s">
        <v>167</v>
      </c>
      <c r="F1" t="s">
        <v>168</v>
      </c>
      <c r="G1" t="s">
        <v>169</v>
      </c>
      <c r="H1" t="s">
        <v>164</v>
      </c>
      <c r="I1" t="s">
        <v>165</v>
      </c>
      <c r="J1" t="s">
        <v>166</v>
      </c>
      <c r="K1" t="s">
        <v>167</v>
      </c>
      <c r="L1" t="s">
        <v>168</v>
      </c>
      <c r="M1" t="s">
        <v>169</v>
      </c>
      <c r="N1" t="s">
        <v>170</v>
      </c>
      <c r="P1" t="s">
        <v>164</v>
      </c>
      <c r="Q1" t="s">
        <v>165</v>
      </c>
      <c r="R1" t="s">
        <v>166</v>
      </c>
      <c r="S1" t="s">
        <v>167</v>
      </c>
      <c r="T1" t="s">
        <v>168</v>
      </c>
      <c r="U1" t="s">
        <v>169</v>
      </c>
      <c r="V1" t="s">
        <v>170</v>
      </c>
    </row>
    <row r="2" spans="1:22" x14ac:dyDescent="0.25">
      <c r="A2">
        <v>1</v>
      </c>
      <c r="B2" s="137">
        <v>80395</v>
      </c>
      <c r="C2" s="137">
        <v>12348</v>
      </c>
      <c r="D2" s="137">
        <v>13373</v>
      </c>
      <c r="E2" s="137">
        <v>25280</v>
      </c>
      <c r="F2" s="137">
        <v>1991</v>
      </c>
      <c r="G2" s="137" t="e">
        <f>#REF!</f>
        <v>#REF!</v>
      </c>
      <c r="H2" s="137">
        <f t="shared" ref="H2:M2" si="0">B2</f>
        <v>80395</v>
      </c>
      <c r="I2" s="137">
        <f t="shared" si="0"/>
        <v>12348</v>
      </c>
      <c r="J2" s="137">
        <f t="shared" si="0"/>
        <v>13373</v>
      </c>
      <c r="K2" s="137">
        <f t="shared" si="0"/>
        <v>25280</v>
      </c>
      <c r="L2" s="137">
        <f t="shared" si="0"/>
        <v>1991</v>
      </c>
      <c r="M2" s="137" t="e">
        <f t="shared" si="0"/>
        <v>#REF!</v>
      </c>
      <c r="N2" s="138">
        <f>AVERAGE(H2:L2)</f>
        <v>26677.4</v>
      </c>
      <c r="P2" s="139">
        <f t="shared" ref="P2:P18" si="1">H2/H$55</f>
        <v>3.2871226729076816E-2</v>
      </c>
      <c r="Q2" s="139">
        <f t="shared" ref="Q2:V17" si="2">I2/I$55</f>
        <v>6.0062367969071868E-3</v>
      </c>
      <c r="R2" s="139">
        <f t="shared" si="2"/>
        <v>5.8427129271934964E-3</v>
      </c>
      <c r="S2" s="139">
        <f t="shared" si="2"/>
        <v>1.2209811704225039E-2</v>
      </c>
      <c r="T2" s="139">
        <f t="shared" si="2"/>
        <v>7.8349859867478161E-4</v>
      </c>
      <c r="U2" s="139" t="e">
        <f t="shared" si="2"/>
        <v>#REF!</v>
      </c>
      <c r="V2" s="139">
        <f t="shared" si="2"/>
        <v>1.1698474445682523E-2</v>
      </c>
    </row>
    <row r="3" spans="1:22" x14ac:dyDescent="0.25">
      <c r="A3">
        <v>2</v>
      </c>
      <c r="B3" s="137">
        <v>59425</v>
      </c>
      <c r="C3" s="137">
        <v>19225</v>
      </c>
      <c r="D3" s="137">
        <v>11647</v>
      </c>
      <c r="E3" s="137">
        <v>15239</v>
      </c>
      <c r="F3" s="137">
        <v>22957</v>
      </c>
      <c r="G3" s="137" t="e">
        <f>#REF!</f>
        <v>#REF!</v>
      </c>
      <c r="H3" s="137">
        <f t="shared" ref="H3:H34" si="3">H2+B3</f>
        <v>139820</v>
      </c>
      <c r="I3" s="137">
        <f t="shared" ref="I3:I34" si="4">I2+C3</f>
        <v>31573</v>
      </c>
      <c r="J3" s="137">
        <f t="shared" ref="J3:J34" si="5">J2+D3</f>
        <v>25020</v>
      </c>
      <c r="K3" s="137">
        <f t="shared" ref="K3:K34" si="6">K2+E3</f>
        <v>40519</v>
      </c>
      <c r="L3" s="137">
        <f t="shared" ref="L3:L34" si="7">L2+F3</f>
        <v>24948</v>
      </c>
      <c r="M3" s="137" t="e">
        <f t="shared" ref="M3:M34" si="8">M2+G3</f>
        <v>#REF!</v>
      </c>
      <c r="N3" s="138">
        <f t="shared" ref="N3:N10" si="9">AVERAGE(H3:L3)</f>
        <v>52376</v>
      </c>
      <c r="P3" s="139">
        <f t="shared" si="1"/>
        <v>5.7168417454562109E-2</v>
      </c>
      <c r="Q3" s="139">
        <f t="shared" si="2"/>
        <v>1.5357540847809411E-2</v>
      </c>
      <c r="R3" s="139">
        <f t="shared" si="2"/>
        <v>1.0931330100828631E-2</v>
      </c>
      <c r="S3" s="139">
        <f t="shared" si="2"/>
        <v>1.9569990523872403E-2</v>
      </c>
      <c r="T3" s="139">
        <f t="shared" si="2"/>
        <v>9.8175404519027874E-3</v>
      </c>
      <c r="U3" s="139" t="e">
        <f t="shared" si="2"/>
        <v>#REF!</v>
      </c>
      <c r="V3" s="139">
        <f t="shared" si="2"/>
        <v>2.2967729147783059E-2</v>
      </c>
    </row>
    <row r="4" spans="1:22" x14ac:dyDescent="0.25">
      <c r="A4">
        <v>3</v>
      </c>
      <c r="B4" s="137">
        <v>91522</v>
      </c>
      <c r="C4" s="137">
        <v>59935</v>
      </c>
      <c r="D4" s="137">
        <v>9954</v>
      </c>
      <c r="E4" s="137">
        <v>65020</v>
      </c>
      <c r="F4" s="137">
        <v>26383</v>
      </c>
      <c r="G4" s="137" t="e">
        <f>#REF!</f>
        <v>#REF!</v>
      </c>
      <c r="H4" s="137">
        <f t="shared" si="3"/>
        <v>231342</v>
      </c>
      <c r="I4" s="137">
        <f t="shared" si="4"/>
        <v>91508</v>
      </c>
      <c r="J4" s="137">
        <f t="shared" si="5"/>
        <v>34974</v>
      </c>
      <c r="K4" s="137">
        <f t="shared" si="6"/>
        <v>105539</v>
      </c>
      <c r="L4" s="137">
        <f t="shared" si="7"/>
        <v>51331</v>
      </c>
      <c r="M4" s="137" t="e">
        <f t="shared" si="8"/>
        <v>#REF!</v>
      </c>
      <c r="N4" s="138">
        <f t="shared" si="9"/>
        <v>102938.8</v>
      </c>
      <c r="P4" s="139">
        <f t="shared" si="1"/>
        <v>9.4589157708291419E-2</v>
      </c>
      <c r="Q4" s="139">
        <f t="shared" si="2"/>
        <v>4.4510748041090287E-2</v>
      </c>
      <c r="R4" s="139">
        <f t="shared" si="2"/>
        <v>1.5280269342381317E-2</v>
      </c>
      <c r="S4" s="139">
        <f t="shared" si="2"/>
        <v>5.0973548949849935E-2</v>
      </c>
      <c r="T4" s="139">
        <f t="shared" si="2"/>
        <v>2.0199782304658569E-2</v>
      </c>
      <c r="U4" s="139" t="e">
        <f t="shared" si="2"/>
        <v>#REF!</v>
      </c>
      <c r="V4" s="139">
        <f t="shared" si="2"/>
        <v>4.5140340560520291E-2</v>
      </c>
    </row>
    <row r="5" spans="1:22" ht="13.95" customHeight="1" x14ac:dyDescent="0.25">
      <c r="A5">
        <v>4</v>
      </c>
      <c r="B5" s="137">
        <v>35394</v>
      </c>
      <c r="C5" s="137">
        <v>47615</v>
      </c>
      <c r="D5" s="137">
        <v>13895</v>
      </c>
      <c r="E5" s="137">
        <v>82788</v>
      </c>
      <c r="F5" s="137">
        <v>30474</v>
      </c>
      <c r="G5" s="137" t="e">
        <f>#REF!</f>
        <v>#REF!</v>
      </c>
      <c r="H5" s="137">
        <f t="shared" si="3"/>
        <v>266736</v>
      </c>
      <c r="I5" s="137">
        <f t="shared" si="4"/>
        <v>139123</v>
      </c>
      <c r="J5" s="137">
        <f t="shared" si="5"/>
        <v>48869</v>
      </c>
      <c r="K5" s="137">
        <f t="shared" si="6"/>
        <v>188327</v>
      </c>
      <c r="L5" s="137">
        <f t="shared" si="7"/>
        <v>81805</v>
      </c>
      <c r="M5" s="137" t="e">
        <f t="shared" si="8"/>
        <v>#REF!</v>
      </c>
      <c r="N5" s="138">
        <f t="shared" si="9"/>
        <v>144972</v>
      </c>
      <c r="P5" s="139">
        <f t="shared" si="1"/>
        <v>0.10906075667401</v>
      </c>
      <c r="Q5" s="139">
        <f t="shared" si="2"/>
        <v>6.7671338022037467E-2</v>
      </c>
      <c r="R5" s="139">
        <f t="shared" si="2"/>
        <v>2.1351045991102893E-2</v>
      </c>
      <c r="S5" s="139">
        <f t="shared" si="2"/>
        <v>9.0958750348955258E-2</v>
      </c>
      <c r="T5" s="139">
        <f t="shared" si="2"/>
        <v>3.2191915050020344E-2</v>
      </c>
      <c r="U5" s="139" t="e">
        <f t="shared" si="2"/>
        <v>#REF!</v>
      </c>
      <c r="V5" s="139">
        <f t="shared" si="2"/>
        <v>6.3572583435397997E-2</v>
      </c>
    </row>
    <row r="6" spans="1:22" x14ac:dyDescent="0.25">
      <c r="A6">
        <v>5</v>
      </c>
      <c r="B6" s="137">
        <v>40154</v>
      </c>
      <c r="C6" s="137">
        <v>94731</v>
      </c>
      <c r="D6" s="137">
        <v>30810</v>
      </c>
      <c r="E6" s="137">
        <v>101589</v>
      </c>
      <c r="F6" s="137">
        <v>79198</v>
      </c>
      <c r="G6" s="137" t="e">
        <f>#REF!</f>
        <v>#REF!</v>
      </c>
      <c r="H6" s="137">
        <f t="shared" si="3"/>
        <v>306890</v>
      </c>
      <c r="I6" s="137">
        <f t="shared" si="4"/>
        <v>233854</v>
      </c>
      <c r="J6" s="137">
        <f t="shared" si="5"/>
        <v>79679</v>
      </c>
      <c r="K6" s="137">
        <f t="shared" si="6"/>
        <v>289916</v>
      </c>
      <c r="L6" s="137">
        <f t="shared" si="7"/>
        <v>161003</v>
      </c>
      <c r="M6" s="137" t="e">
        <f t="shared" si="8"/>
        <v>#REF!</v>
      </c>
      <c r="N6" s="138">
        <f t="shared" si="9"/>
        <v>214268.4</v>
      </c>
      <c r="P6" s="139">
        <f t="shared" si="1"/>
        <v>0.12547858412695298</v>
      </c>
      <c r="Q6" s="139">
        <f t="shared" si="2"/>
        <v>0.1137497975302829</v>
      </c>
      <c r="R6" s="139">
        <f t="shared" si="2"/>
        <v>3.4812048405432637E-2</v>
      </c>
      <c r="S6" s="139">
        <f t="shared" si="2"/>
        <v>0.14002451622002005</v>
      </c>
      <c r="T6" s="139">
        <f t="shared" si="2"/>
        <v>6.3357923095146082E-2</v>
      </c>
      <c r="U6" s="139" t="e">
        <f t="shared" si="2"/>
        <v>#REF!</v>
      </c>
      <c r="V6" s="139">
        <f t="shared" si="2"/>
        <v>9.3960183597999833E-2</v>
      </c>
    </row>
    <row r="7" spans="1:22" x14ac:dyDescent="0.25">
      <c r="A7">
        <v>6</v>
      </c>
      <c r="B7" s="137">
        <v>37596</v>
      </c>
      <c r="C7" s="137">
        <v>67834</v>
      </c>
      <c r="D7" s="137">
        <v>73548</v>
      </c>
      <c r="E7" s="137">
        <v>28080</v>
      </c>
      <c r="F7" s="137">
        <v>61090</v>
      </c>
      <c r="G7" s="137" t="e">
        <f>#REF!</f>
        <v>#REF!</v>
      </c>
      <c r="H7" s="137">
        <f t="shared" si="3"/>
        <v>344486</v>
      </c>
      <c r="I7" s="137">
        <f t="shared" si="4"/>
        <v>301688</v>
      </c>
      <c r="J7" s="137">
        <f t="shared" si="5"/>
        <v>153227</v>
      </c>
      <c r="K7" s="137">
        <f t="shared" si="6"/>
        <v>317996</v>
      </c>
      <c r="L7" s="137">
        <f t="shared" si="7"/>
        <v>222093</v>
      </c>
      <c r="M7" s="137" t="e">
        <f t="shared" si="8"/>
        <v>#REF!</v>
      </c>
      <c r="N7" s="138">
        <f t="shared" si="9"/>
        <v>267898</v>
      </c>
      <c r="P7" s="139">
        <f t="shared" si="1"/>
        <v>0.14085051820377831</v>
      </c>
      <c r="Q7" s="139">
        <f t="shared" si="2"/>
        <v>0.14674518681449103</v>
      </c>
      <c r="R7" s="139">
        <f t="shared" si="2"/>
        <v>6.6945440342113055E-2</v>
      </c>
      <c r="S7" s="139">
        <f t="shared" si="2"/>
        <v>0.15358668048642191</v>
      </c>
      <c r="T7" s="139">
        <f t="shared" si="2"/>
        <v>8.7398068445744978E-2</v>
      </c>
      <c r="U7" s="139" t="e">
        <f t="shared" si="2"/>
        <v>#REF!</v>
      </c>
      <c r="V7" s="139">
        <f t="shared" si="2"/>
        <v>0.11747763676555648</v>
      </c>
    </row>
    <row r="8" spans="1:22" x14ac:dyDescent="0.25">
      <c r="A8">
        <v>7</v>
      </c>
      <c r="B8" s="137">
        <v>41963</v>
      </c>
      <c r="C8" s="137">
        <v>43331</v>
      </c>
      <c r="D8" s="137">
        <v>63938</v>
      </c>
      <c r="E8" s="137">
        <v>86196</v>
      </c>
      <c r="F8" s="137">
        <v>95227</v>
      </c>
      <c r="G8" s="137" t="e">
        <f>#REF!</f>
        <v>#REF!</v>
      </c>
      <c r="H8" s="137">
        <f t="shared" si="3"/>
        <v>386449</v>
      </c>
      <c r="I8" s="137">
        <f t="shared" si="4"/>
        <v>345019</v>
      </c>
      <c r="J8" s="137">
        <f t="shared" si="5"/>
        <v>217165</v>
      </c>
      <c r="K8" s="137">
        <f t="shared" si="6"/>
        <v>404192</v>
      </c>
      <c r="L8" s="137">
        <f t="shared" si="7"/>
        <v>317320</v>
      </c>
      <c r="M8" s="137" t="e">
        <f t="shared" si="8"/>
        <v>#REF!</v>
      </c>
      <c r="N8" s="138">
        <f t="shared" si="9"/>
        <v>334029</v>
      </c>
      <c r="P8" s="139">
        <f t="shared" si="1"/>
        <v>0.15800799425617273</v>
      </c>
      <c r="Q8" s="139">
        <f t="shared" si="2"/>
        <v>0.1678219803556949</v>
      </c>
      <c r="R8" s="139">
        <f t="shared" si="2"/>
        <v>9.4880187903535168E-2</v>
      </c>
      <c r="S8" s="139">
        <f t="shared" si="2"/>
        <v>0.19521788814691959</v>
      </c>
      <c r="T8" s="139">
        <f t="shared" si="2"/>
        <v>0.12487181081440567</v>
      </c>
      <c r="U8" s="139" t="e">
        <f t="shared" si="2"/>
        <v>#REF!</v>
      </c>
      <c r="V8" s="139">
        <f t="shared" si="2"/>
        <v>0.14647715746725271</v>
      </c>
    </row>
    <row r="9" spans="1:22" x14ac:dyDescent="0.25">
      <c r="A9">
        <v>8</v>
      </c>
      <c r="B9" s="137">
        <v>99446</v>
      </c>
      <c r="C9" s="137">
        <v>58395</v>
      </c>
      <c r="D9" s="137">
        <v>87337</v>
      </c>
      <c r="E9" s="137">
        <v>75157</v>
      </c>
      <c r="F9" s="137">
        <v>72315</v>
      </c>
      <c r="G9" s="137" t="e">
        <f>#REF!</f>
        <v>#REF!</v>
      </c>
      <c r="H9" s="137">
        <f t="shared" si="3"/>
        <v>485895</v>
      </c>
      <c r="I9" s="137">
        <f t="shared" si="4"/>
        <v>403414</v>
      </c>
      <c r="J9" s="137">
        <f t="shared" si="5"/>
        <v>304502</v>
      </c>
      <c r="K9" s="137">
        <f t="shared" si="6"/>
        <v>479349</v>
      </c>
      <c r="L9" s="137">
        <f t="shared" si="7"/>
        <v>389635</v>
      </c>
      <c r="M9" s="137" t="e">
        <f t="shared" si="8"/>
        <v>#REF!</v>
      </c>
      <c r="N9" s="138">
        <f t="shared" si="9"/>
        <v>412559</v>
      </c>
      <c r="P9" s="139">
        <f t="shared" si="1"/>
        <v>0.19866863252098738</v>
      </c>
      <c r="Q9" s="139">
        <f t="shared" si="2"/>
        <v>0.19622611039743407</v>
      </c>
      <c r="R9" s="139">
        <f t="shared" si="2"/>
        <v>0.13303804469874181</v>
      </c>
      <c r="S9" s="139">
        <f t="shared" si="2"/>
        <v>0.23151744583103515</v>
      </c>
      <c r="T9" s="139">
        <f t="shared" si="2"/>
        <v>0.15332921973613686</v>
      </c>
      <c r="U9" s="139" t="e">
        <f t="shared" si="2"/>
        <v>#REF!</v>
      </c>
      <c r="V9" s="139">
        <f t="shared" si="2"/>
        <v>0.18091384163510446</v>
      </c>
    </row>
    <row r="10" spans="1:22" x14ac:dyDescent="0.25">
      <c r="A10">
        <v>9</v>
      </c>
      <c r="B10" s="137">
        <v>14206</v>
      </c>
      <c r="C10" s="137">
        <v>119520</v>
      </c>
      <c r="D10" s="137">
        <v>121915</v>
      </c>
      <c r="E10" s="137">
        <v>67688</v>
      </c>
      <c r="F10" s="137">
        <v>129626</v>
      </c>
      <c r="G10" s="137" t="e">
        <f>#REF!</f>
        <v>#REF!</v>
      </c>
      <c r="H10" s="137">
        <f t="shared" si="3"/>
        <v>500101</v>
      </c>
      <c r="I10" s="137">
        <f t="shared" si="4"/>
        <v>522934</v>
      </c>
      <c r="J10" s="137">
        <f t="shared" si="5"/>
        <v>426417</v>
      </c>
      <c r="K10" s="137">
        <f t="shared" si="6"/>
        <v>547037</v>
      </c>
      <c r="L10" s="137">
        <f t="shared" si="7"/>
        <v>519261</v>
      </c>
      <c r="M10" s="137" t="e">
        <f t="shared" si="8"/>
        <v>#REF!</v>
      </c>
      <c r="N10" s="138">
        <f t="shared" si="9"/>
        <v>503150</v>
      </c>
      <c r="P10" s="139">
        <f t="shared" si="1"/>
        <v>0.20447706148937178</v>
      </c>
      <c r="Q10" s="139">
        <f t="shared" si="2"/>
        <v>0.25436227997682725</v>
      </c>
      <c r="R10" s="139">
        <f t="shared" si="2"/>
        <v>0.18630315697861879</v>
      </c>
      <c r="S10" s="139">
        <f t="shared" si="2"/>
        <v>0.26420960305554403</v>
      </c>
      <c r="T10" s="139">
        <f t="shared" si="2"/>
        <v>0.20433966139953078</v>
      </c>
      <c r="U10" s="139" t="e">
        <f t="shared" si="2"/>
        <v>#REF!</v>
      </c>
      <c r="V10" s="139">
        <f t="shared" si="2"/>
        <v>0.22063947076346124</v>
      </c>
    </row>
    <row r="11" spans="1:22" x14ac:dyDescent="0.25">
      <c r="A11">
        <v>10</v>
      </c>
      <c r="B11" s="137">
        <v>35168</v>
      </c>
      <c r="C11" s="137">
        <v>94543</v>
      </c>
      <c r="D11" s="137">
        <v>32190</v>
      </c>
      <c r="E11" s="137">
        <v>122370</v>
      </c>
      <c r="F11" s="137">
        <v>130113</v>
      </c>
      <c r="G11" s="137" t="e">
        <f>#REF!</f>
        <v>#REF!</v>
      </c>
      <c r="H11" s="137">
        <f t="shared" si="3"/>
        <v>535269</v>
      </c>
      <c r="I11" s="137">
        <f t="shared" si="4"/>
        <v>617477</v>
      </c>
      <c r="J11" s="137">
        <f t="shared" si="5"/>
        <v>458607</v>
      </c>
      <c r="K11" s="137">
        <f t="shared" si="6"/>
        <v>669407</v>
      </c>
      <c r="L11" s="137">
        <f t="shared" si="7"/>
        <v>649374</v>
      </c>
      <c r="M11" s="137" t="e">
        <f t="shared" si="8"/>
        <v>#REF!</v>
      </c>
      <c r="N11" s="138">
        <f>AVERAGE(H11:L11)</f>
        <v>586026.80000000005</v>
      </c>
      <c r="P11" s="139">
        <f t="shared" si="1"/>
        <v>0.21885625548910032</v>
      </c>
      <c r="Q11" s="139">
        <f t="shared" si="2"/>
        <v>0.30034929370293645</v>
      </c>
      <c r="R11" s="139">
        <f t="shared" si="2"/>
        <v>0.20036708647285037</v>
      </c>
      <c r="S11" s="139">
        <f t="shared" si="2"/>
        <v>0.32331223985325042</v>
      </c>
      <c r="T11" s="139">
        <f t="shared" si="2"/>
        <v>0.2555417473710887</v>
      </c>
      <c r="U11" s="139" t="e">
        <f t="shared" si="2"/>
        <v>#REF!</v>
      </c>
      <c r="V11" s="139">
        <f>N11/N$55</f>
        <v>0.25698229753593316</v>
      </c>
    </row>
    <row r="12" spans="1:22" x14ac:dyDescent="0.25">
      <c r="A12">
        <v>11</v>
      </c>
      <c r="B12" s="137">
        <v>110055</v>
      </c>
      <c r="C12" s="137">
        <v>92137</v>
      </c>
      <c r="D12" s="137">
        <v>82559</v>
      </c>
      <c r="E12" s="137">
        <v>95033</v>
      </c>
      <c r="F12" s="137">
        <v>99709</v>
      </c>
      <c r="G12" s="137" t="e">
        <f>#REF!</f>
        <v>#REF!</v>
      </c>
      <c r="H12" s="137">
        <f t="shared" si="3"/>
        <v>645324</v>
      </c>
      <c r="I12" s="137">
        <f t="shared" si="4"/>
        <v>709614</v>
      </c>
      <c r="J12" s="137">
        <f t="shared" si="5"/>
        <v>541166</v>
      </c>
      <c r="K12" s="137">
        <f t="shared" si="6"/>
        <v>764440</v>
      </c>
      <c r="L12" s="137">
        <f t="shared" si="7"/>
        <v>749083</v>
      </c>
      <c r="M12" s="137" t="e">
        <f t="shared" si="8"/>
        <v>#REF!</v>
      </c>
      <c r="N12" s="138">
        <f>AVERAGE(H12:L12)</f>
        <v>681925.4</v>
      </c>
      <c r="P12" s="139">
        <f t="shared" si="1"/>
        <v>0.26385461182554598</v>
      </c>
      <c r="Q12" s="139">
        <f t="shared" si="2"/>
        <v>0.34516599598319536</v>
      </c>
      <c r="R12" s="139">
        <f t="shared" si="2"/>
        <v>0.23643741747981722</v>
      </c>
      <c r="S12" s="139">
        <f t="shared" si="2"/>
        <v>0.36921156879658973</v>
      </c>
      <c r="T12" s="139">
        <f t="shared" si="2"/>
        <v>0.29477924700708258</v>
      </c>
      <c r="U12" s="139" t="e">
        <f t="shared" si="2"/>
        <v>#REF!</v>
      </c>
      <c r="V12" s="139">
        <f t="shared" si="2"/>
        <v>0.29903539571929172</v>
      </c>
    </row>
    <row r="13" spans="1:22" x14ac:dyDescent="0.25">
      <c r="A13">
        <v>12</v>
      </c>
      <c r="B13" s="137">
        <v>59186</v>
      </c>
      <c r="C13" s="137">
        <v>21424</v>
      </c>
      <c r="D13" s="137">
        <v>152398</v>
      </c>
      <c r="E13" s="137">
        <v>74115</v>
      </c>
      <c r="F13" s="137">
        <v>116756</v>
      </c>
      <c r="G13" s="137" t="e">
        <f>#REF!</f>
        <v>#REF!</v>
      </c>
      <c r="H13" s="137">
        <f t="shared" si="3"/>
        <v>704510</v>
      </c>
      <c r="I13" s="137">
        <f t="shared" si="4"/>
        <v>731038</v>
      </c>
      <c r="J13" s="137">
        <f t="shared" si="5"/>
        <v>693564</v>
      </c>
      <c r="K13" s="137">
        <f t="shared" si="6"/>
        <v>838555</v>
      </c>
      <c r="L13" s="137">
        <f t="shared" si="7"/>
        <v>865839</v>
      </c>
      <c r="M13" s="137" t="e">
        <f t="shared" si="8"/>
        <v>#REF!</v>
      </c>
      <c r="N13" s="138">
        <f>AVERAGE(H13:L13)</f>
        <v>766701.2</v>
      </c>
      <c r="P13" s="139">
        <f t="shared" si="1"/>
        <v>0.28805408225513912</v>
      </c>
      <c r="Q13" s="139">
        <f t="shared" si="2"/>
        <v>0.35558692383685098</v>
      </c>
      <c r="R13" s="139">
        <f t="shared" si="2"/>
        <v>0.30302066467030814</v>
      </c>
      <c r="S13" s="139">
        <f t="shared" si="2"/>
        <v>0.40500785813435236</v>
      </c>
      <c r="T13" s="139">
        <f t="shared" si="2"/>
        <v>0.34072508446909805</v>
      </c>
      <c r="U13" s="139" t="e">
        <f t="shared" si="2"/>
        <v>#REF!</v>
      </c>
      <c r="V13" s="139">
        <f t="shared" si="2"/>
        <v>0.33621096492439756</v>
      </c>
    </row>
    <row r="14" spans="1:22" x14ac:dyDescent="0.25">
      <c r="A14">
        <v>13</v>
      </c>
      <c r="B14" s="137">
        <v>89518</v>
      </c>
      <c r="C14" s="137">
        <v>141714</v>
      </c>
      <c r="D14" s="137">
        <v>114071</v>
      </c>
      <c r="E14" s="137">
        <v>131989</v>
      </c>
      <c r="F14" s="137">
        <v>121188</v>
      </c>
      <c r="G14" s="137" t="e">
        <f>#REF!</f>
        <v>#REF!</v>
      </c>
      <c r="H14" s="137">
        <f t="shared" si="3"/>
        <v>794028</v>
      </c>
      <c r="I14" s="137">
        <f t="shared" si="4"/>
        <v>872752</v>
      </c>
      <c r="J14" s="137">
        <f t="shared" si="5"/>
        <v>807635</v>
      </c>
      <c r="K14" s="137">
        <f t="shared" si="6"/>
        <v>970544</v>
      </c>
      <c r="L14" s="137">
        <f t="shared" si="7"/>
        <v>987027</v>
      </c>
      <c r="M14" s="137" t="e">
        <f t="shared" si="8"/>
        <v>#REF!</v>
      </c>
      <c r="N14" s="138">
        <f>AVERAGE(H14:L14)</f>
        <v>886397.2</v>
      </c>
      <c r="P14" s="139">
        <f t="shared" si="1"/>
        <v>0.32465544396088569</v>
      </c>
      <c r="Q14" s="139">
        <f t="shared" si="2"/>
        <v>0.42451855984567066</v>
      </c>
      <c r="R14" s="139">
        <f t="shared" si="2"/>
        <v>0.3528587044757287</v>
      </c>
      <c r="S14" s="139">
        <f t="shared" si="2"/>
        <v>0.46875630896619408</v>
      </c>
      <c r="T14" s="139">
        <f t="shared" si="2"/>
        <v>0.38841500319144834</v>
      </c>
      <c r="U14" s="139" t="e">
        <f t="shared" si="2"/>
        <v>#REF!</v>
      </c>
      <c r="V14" s="139">
        <f t="shared" si="2"/>
        <v>0.38869961064138708</v>
      </c>
    </row>
    <row r="15" spans="1:22" x14ac:dyDescent="0.25">
      <c r="A15">
        <v>14</v>
      </c>
      <c r="B15" s="137">
        <v>77359</v>
      </c>
      <c r="C15" s="137">
        <v>38305</v>
      </c>
      <c r="D15" s="137">
        <v>63722</v>
      </c>
      <c r="E15" s="137">
        <v>64647</v>
      </c>
      <c r="F15" s="137">
        <v>71158</v>
      </c>
      <c r="G15" s="137" t="e">
        <f>#REF!</f>
        <v>#REF!</v>
      </c>
      <c r="H15" s="137">
        <f t="shared" si="3"/>
        <v>871387</v>
      </c>
      <c r="I15" s="137">
        <f t="shared" si="4"/>
        <v>911057</v>
      </c>
      <c r="J15" s="137">
        <f t="shared" si="5"/>
        <v>871357</v>
      </c>
      <c r="K15" s="137">
        <f t="shared" si="6"/>
        <v>1035191</v>
      </c>
      <c r="L15" s="137">
        <f t="shared" si="7"/>
        <v>1058185</v>
      </c>
      <c r="M15" s="137" t="e">
        <f t="shared" si="8"/>
        <v>#REF!</v>
      </c>
      <c r="N15" s="138">
        <f t="shared" ref="N15:N25" si="10">AVERAGE(H15:L15)</f>
        <v>949435.4</v>
      </c>
      <c r="P15" s="139">
        <f t="shared" si="1"/>
        <v>0.35628533672206059</v>
      </c>
      <c r="Q15" s="139">
        <f t="shared" si="2"/>
        <v>0.44315063795593385</v>
      </c>
      <c r="R15" s="139">
        <f t="shared" si="2"/>
        <v>0.38069908084203574</v>
      </c>
      <c r="S15" s="139">
        <f t="shared" si="2"/>
        <v>0.49997971471156732</v>
      </c>
      <c r="T15" s="139">
        <f t="shared" si="2"/>
        <v>0.41641710931123743</v>
      </c>
      <c r="U15" s="139" t="e">
        <f t="shared" si="2"/>
        <v>#REF!</v>
      </c>
      <c r="V15" s="139">
        <f t="shared" si="2"/>
        <v>0.41634288816475234</v>
      </c>
    </row>
    <row r="16" spans="1:22" x14ac:dyDescent="0.25">
      <c r="A16">
        <v>15</v>
      </c>
      <c r="B16" s="137">
        <v>90638</v>
      </c>
      <c r="C16" s="137">
        <v>105816</v>
      </c>
      <c r="D16" s="137">
        <v>110755</v>
      </c>
      <c r="E16" s="137">
        <v>35568</v>
      </c>
      <c r="F16" s="137">
        <v>78920</v>
      </c>
      <c r="G16" s="137" t="e">
        <f>#REF!</f>
        <v>#REF!</v>
      </c>
      <c r="H16" s="137">
        <f t="shared" si="3"/>
        <v>962025</v>
      </c>
      <c r="I16" s="137">
        <f t="shared" si="4"/>
        <v>1016873</v>
      </c>
      <c r="J16" s="137">
        <f t="shared" si="5"/>
        <v>982112</v>
      </c>
      <c r="K16" s="137">
        <f t="shared" si="6"/>
        <v>1070759</v>
      </c>
      <c r="L16" s="137">
        <f t="shared" si="7"/>
        <v>1137105</v>
      </c>
      <c r="M16" s="137" t="e">
        <f t="shared" si="8"/>
        <v>#REF!</v>
      </c>
      <c r="N16" s="138">
        <f t="shared" si="10"/>
        <v>1033774.8</v>
      </c>
      <c r="P16" s="139">
        <f t="shared" si="1"/>
        <v>0.39334463454244822</v>
      </c>
      <c r="Q16" s="139">
        <f t="shared" si="2"/>
        <v>0.49462099371407531</v>
      </c>
      <c r="R16" s="139">
        <f t="shared" si="2"/>
        <v>0.42908834804096757</v>
      </c>
      <c r="S16" s="139">
        <f t="shared" si="2"/>
        <v>0.51715845611567635</v>
      </c>
      <c r="T16" s="139">
        <f t="shared" si="2"/>
        <v>0.44747371875745229</v>
      </c>
      <c r="U16" s="139" t="e">
        <f t="shared" si="2"/>
        <v>#REF!</v>
      </c>
      <c r="V16" s="139">
        <f t="shared" si="2"/>
        <v>0.45332708886137935</v>
      </c>
    </row>
    <row r="17" spans="1:22" x14ac:dyDescent="0.25">
      <c r="A17">
        <v>16</v>
      </c>
      <c r="B17" s="137">
        <v>81642</v>
      </c>
      <c r="C17" s="137">
        <v>101029</v>
      </c>
      <c r="D17" s="137">
        <v>71489</v>
      </c>
      <c r="E17" s="137">
        <v>57219</v>
      </c>
      <c r="F17" s="137">
        <v>14837</v>
      </c>
      <c r="G17" s="137" t="e">
        <f>#REF!</f>
        <v>#REF!</v>
      </c>
      <c r="H17" s="137">
        <f t="shared" si="3"/>
        <v>1043667</v>
      </c>
      <c r="I17" s="137">
        <f t="shared" si="4"/>
        <v>1117902</v>
      </c>
      <c r="J17" s="137">
        <f t="shared" si="5"/>
        <v>1053601</v>
      </c>
      <c r="K17" s="137">
        <f t="shared" si="6"/>
        <v>1127978</v>
      </c>
      <c r="L17" s="137">
        <f t="shared" si="7"/>
        <v>1151942</v>
      </c>
      <c r="M17" s="137" t="e">
        <f t="shared" si="8"/>
        <v>#REF!</v>
      </c>
      <c r="N17" s="138">
        <f t="shared" si="10"/>
        <v>1099018</v>
      </c>
      <c r="P17" s="139">
        <f t="shared" si="1"/>
        <v>0.42672572407059411</v>
      </c>
      <c r="Q17" s="139">
        <f t="shared" si="2"/>
        <v>0.54376288692388552</v>
      </c>
      <c r="R17" s="139">
        <f t="shared" si="2"/>
        <v>0.46032215529828724</v>
      </c>
      <c r="S17" s="139">
        <f t="shared" si="2"/>
        <v>0.54479426370681772</v>
      </c>
      <c r="T17" s="139">
        <f t="shared" si="2"/>
        <v>0.45331237707414629</v>
      </c>
      <c r="U17" s="139" t="e">
        <f t="shared" si="2"/>
        <v>#REF!</v>
      </c>
      <c r="V17" s="139">
        <f t="shared" si="2"/>
        <v>0.48193729480178404</v>
      </c>
    </row>
    <row r="18" spans="1:22" x14ac:dyDescent="0.25">
      <c r="A18">
        <v>17</v>
      </c>
      <c r="B18" s="137">
        <v>154136</v>
      </c>
      <c r="C18" s="137">
        <v>52160</v>
      </c>
      <c r="D18" s="137">
        <v>37666</v>
      </c>
      <c r="E18" s="137">
        <v>62040</v>
      </c>
      <c r="F18" s="137">
        <v>32496</v>
      </c>
      <c r="G18" s="137" t="e">
        <f>#REF!</f>
        <v>#REF!</v>
      </c>
      <c r="H18" s="137">
        <f t="shared" si="3"/>
        <v>1197803</v>
      </c>
      <c r="I18" s="137">
        <f t="shared" si="4"/>
        <v>1170062</v>
      </c>
      <c r="J18" s="137">
        <f t="shared" si="5"/>
        <v>1091267</v>
      </c>
      <c r="K18" s="137">
        <f t="shared" si="6"/>
        <v>1190018</v>
      </c>
      <c r="L18" s="137">
        <f t="shared" si="7"/>
        <v>1184438</v>
      </c>
      <c r="M18" s="137" t="e">
        <f t="shared" si="8"/>
        <v>#REF!</v>
      </c>
      <c r="N18" s="138">
        <f t="shared" si="10"/>
        <v>1166717.6000000001</v>
      </c>
      <c r="P18" s="139">
        <f t="shared" si="1"/>
        <v>0.4897475463619429</v>
      </c>
      <c r="Q18" s="139">
        <f t="shared" ref="Q18:V18" si="11">I18/I$55</f>
        <v>0.56913422732935026</v>
      </c>
      <c r="R18" s="139">
        <f t="shared" si="11"/>
        <v>0.47677856935015822</v>
      </c>
      <c r="S18" s="139">
        <f t="shared" si="11"/>
        <v>0.57475853262019272</v>
      </c>
      <c r="T18" s="139">
        <f t="shared" si="11"/>
        <v>0.46610020754252179</v>
      </c>
      <c r="U18" s="139" t="e">
        <f t="shared" si="11"/>
        <v>#REF!</v>
      </c>
      <c r="V18" s="139">
        <f t="shared" si="11"/>
        <v>0.51162467215425955</v>
      </c>
    </row>
    <row r="19" spans="1:22" x14ac:dyDescent="0.25">
      <c r="A19">
        <v>18</v>
      </c>
      <c r="B19" s="137">
        <v>31952</v>
      </c>
      <c r="C19" s="137">
        <v>53699</v>
      </c>
      <c r="D19" s="137">
        <v>82562</v>
      </c>
      <c r="E19" s="137">
        <v>17475</v>
      </c>
      <c r="F19" s="137">
        <v>81046</v>
      </c>
      <c r="G19" s="137" t="e">
        <f>#REF!</f>
        <v>#REF!</v>
      </c>
      <c r="H19" s="137">
        <f t="shared" si="3"/>
        <v>1229755</v>
      </c>
      <c r="I19" s="137">
        <f t="shared" si="4"/>
        <v>1223761</v>
      </c>
      <c r="J19" s="137">
        <f t="shared" si="5"/>
        <v>1173829</v>
      </c>
      <c r="K19" s="137">
        <f t="shared" si="6"/>
        <v>1207493</v>
      </c>
      <c r="L19" s="137">
        <f t="shared" si="7"/>
        <v>1265484</v>
      </c>
      <c r="M19" s="137" t="e">
        <f t="shared" si="8"/>
        <v>#REF!</v>
      </c>
      <c r="N19" s="138">
        <f t="shared" si="10"/>
        <v>1220064.3999999999</v>
      </c>
      <c r="P19" s="139">
        <f t="shared" ref="P19:U23" si="12">H19/H$55</f>
        <v>0.50281180951820215</v>
      </c>
      <c r="Q19" s="139">
        <f t="shared" si="12"/>
        <v>0.59525415847262197</v>
      </c>
      <c r="R19" s="139">
        <f t="shared" si="12"/>
        <v>0.5128502110681683</v>
      </c>
      <c r="S19" s="139">
        <f t="shared" si="12"/>
        <v>0.5831986615573499</v>
      </c>
      <c r="T19" s="139">
        <f t="shared" si="12"/>
        <v>0.49799344080630703</v>
      </c>
      <c r="U19" s="139" t="e">
        <f>M19/M$55</f>
        <v>#REF!</v>
      </c>
      <c r="V19" s="139">
        <f>N19/N$55</f>
        <v>0.5350181129153132</v>
      </c>
    </row>
    <row r="20" spans="1:22" x14ac:dyDescent="0.25">
      <c r="A20">
        <v>19</v>
      </c>
      <c r="B20" s="137">
        <v>43018</v>
      </c>
      <c r="C20" s="137">
        <v>71062</v>
      </c>
      <c r="D20" s="137">
        <v>8994</v>
      </c>
      <c r="E20" s="137">
        <v>8193</v>
      </c>
      <c r="F20" s="137">
        <v>46067</v>
      </c>
      <c r="G20" s="137">
        <v>62423</v>
      </c>
      <c r="H20" s="137">
        <f t="shared" si="3"/>
        <v>1272773</v>
      </c>
      <c r="I20" s="137">
        <f t="shared" si="4"/>
        <v>1294823</v>
      </c>
      <c r="J20" s="137">
        <f t="shared" si="5"/>
        <v>1182823</v>
      </c>
      <c r="K20" s="137">
        <f t="shared" si="6"/>
        <v>1215686</v>
      </c>
      <c r="L20" s="137">
        <f t="shared" si="7"/>
        <v>1311551</v>
      </c>
      <c r="M20" s="137" t="e">
        <f t="shared" si="8"/>
        <v>#REF!</v>
      </c>
      <c r="N20" s="138">
        <f>AVERAGE(H20:L20)</f>
        <v>1255531.2</v>
      </c>
      <c r="P20" s="139">
        <f t="shared" si="12"/>
        <v>0.52040064503572725</v>
      </c>
      <c r="Q20" s="139">
        <f t="shared" si="12"/>
        <v>0.62981969129265913</v>
      </c>
      <c r="R20" s="139">
        <f t="shared" si="12"/>
        <v>0.51677972277587625</v>
      </c>
      <c r="S20" s="139">
        <f t="shared" si="12"/>
        <v>0.58715574175089091</v>
      </c>
      <c r="T20" s="139">
        <f t="shared" si="12"/>
        <v>0.51612173309417808</v>
      </c>
      <c r="U20" s="139" t="e">
        <f t="shared" si="12"/>
        <v>#REF!</v>
      </c>
      <c r="V20" s="139">
        <f>N20/N$55</f>
        <v>0.55057088243071328</v>
      </c>
    </row>
    <row r="21" spans="1:22" x14ac:dyDescent="0.25">
      <c r="A21">
        <v>20</v>
      </c>
      <c r="B21" s="137">
        <v>46958</v>
      </c>
      <c r="C21" s="137">
        <v>61672</v>
      </c>
      <c r="D21" s="137">
        <v>45040</v>
      </c>
      <c r="E21" s="137">
        <v>25935</v>
      </c>
      <c r="F21" s="137">
        <v>110516</v>
      </c>
      <c r="G21" s="137">
        <v>61504</v>
      </c>
      <c r="H21" s="137">
        <f t="shared" si="3"/>
        <v>1319731</v>
      </c>
      <c r="I21" s="137">
        <f t="shared" si="4"/>
        <v>1356495</v>
      </c>
      <c r="J21" s="137">
        <f t="shared" si="5"/>
        <v>1227863</v>
      </c>
      <c r="K21" s="137">
        <f t="shared" si="6"/>
        <v>1241621</v>
      </c>
      <c r="L21" s="137">
        <f t="shared" si="7"/>
        <v>1422067</v>
      </c>
      <c r="M21" s="137" t="e">
        <f t="shared" si="8"/>
        <v>#REF!</v>
      </c>
      <c r="N21" s="138">
        <f t="shared" si="10"/>
        <v>1313555.3999999999</v>
      </c>
      <c r="P21" s="139">
        <f t="shared" si="12"/>
        <v>0.53960043438511451</v>
      </c>
      <c r="Q21" s="139">
        <f t="shared" si="12"/>
        <v>0.6598177991432308</v>
      </c>
      <c r="R21" s="139">
        <f t="shared" si="12"/>
        <v>0.53645786457209221</v>
      </c>
      <c r="S21" s="139">
        <f t="shared" si="12"/>
        <v>0.59968190735805371</v>
      </c>
      <c r="T21" s="139">
        <f t="shared" si="12"/>
        <v>0.55961200488279794</v>
      </c>
      <c r="U21" s="139" t="e">
        <f t="shared" si="12"/>
        <v>#REF!</v>
      </c>
      <c r="V21" s="139">
        <f>N21/N$55</f>
        <v>0.57601543928149979</v>
      </c>
    </row>
    <row r="22" spans="1:22" x14ac:dyDescent="0.25">
      <c r="A22">
        <v>21</v>
      </c>
      <c r="B22" s="137">
        <v>81408</v>
      </c>
      <c r="C22" s="137">
        <v>27272</v>
      </c>
      <c r="D22" s="137">
        <v>43259</v>
      </c>
      <c r="E22" s="137">
        <v>87439</v>
      </c>
      <c r="F22" s="137">
        <v>34553</v>
      </c>
      <c r="G22" s="137">
        <v>116883</v>
      </c>
      <c r="H22" s="137">
        <f t="shared" si="3"/>
        <v>1401139</v>
      </c>
      <c r="I22" s="137">
        <f t="shared" si="4"/>
        <v>1383767</v>
      </c>
      <c r="J22" s="137">
        <f t="shared" si="5"/>
        <v>1271122</v>
      </c>
      <c r="K22" s="137">
        <f t="shared" si="6"/>
        <v>1329060</v>
      </c>
      <c r="L22" s="137">
        <f t="shared" si="7"/>
        <v>1456620</v>
      </c>
      <c r="M22" s="137" t="e">
        <f t="shared" si="8"/>
        <v>#REF!</v>
      </c>
      <c r="N22" s="138">
        <f t="shared" si="10"/>
        <v>1368341.6</v>
      </c>
      <c r="P22" s="139">
        <f t="shared" si="12"/>
        <v>0.57288584797502284</v>
      </c>
      <c r="Q22" s="139">
        <f t="shared" si="12"/>
        <v>0.67308327451780592</v>
      </c>
      <c r="R22" s="139">
        <f t="shared" si="12"/>
        <v>0.55535788091228988</v>
      </c>
      <c r="S22" s="139">
        <f t="shared" si="12"/>
        <v>0.64191346295954632</v>
      </c>
      <c r="T22" s="139">
        <f t="shared" si="12"/>
        <v>0.57320930627908606</v>
      </c>
      <c r="U22" s="139" t="e">
        <f t="shared" si="12"/>
        <v>#REF!</v>
      </c>
      <c r="V22" s="139">
        <f>N22/N$55</f>
        <v>0.60004008038880607</v>
      </c>
    </row>
    <row r="23" spans="1:22" x14ac:dyDescent="0.25">
      <c r="A23">
        <v>22</v>
      </c>
      <c r="B23" s="137">
        <v>43204</v>
      </c>
      <c r="C23" s="137">
        <v>24800</v>
      </c>
      <c r="D23" s="137">
        <v>30562</v>
      </c>
      <c r="E23" s="137">
        <v>19227</v>
      </c>
      <c r="F23" s="137">
        <v>26048</v>
      </c>
      <c r="G23" s="137">
        <v>62703</v>
      </c>
      <c r="H23" s="137">
        <f t="shared" si="3"/>
        <v>1444343</v>
      </c>
      <c r="I23" s="137">
        <f t="shared" si="4"/>
        <v>1408567</v>
      </c>
      <c r="J23" s="137">
        <f t="shared" si="5"/>
        <v>1301684</v>
      </c>
      <c r="K23" s="137">
        <f t="shared" si="6"/>
        <v>1348287</v>
      </c>
      <c r="L23" s="137">
        <f t="shared" si="7"/>
        <v>1482668</v>
      </c>
      <c r="M23" s="137" t="e">
        <f t="shared" si="8"/>
        <v>#REF!</v>
      </c>
      <c r="N23" s="138">
        <f t="shared" si="10"/>
        <v>1397109.8</v>
      </c>
      <c r="P23" s="139">
        <f t="shared" si="12"/>
        <v>0.59055073359730081</v>
      </c>
      <c r="Q23" s="139">
        <f t="shared" si="12"/>
        <v>0.68514633514003609</v>
      </c>
      <c r="R23" s="139">
        <f t="shared" si="12"/>
        <v>0.56871053121370974</v>
      </c>
      <c r="S23" s="139">
        <f t="shared" si="12"/>
        <v>0.65119977821417985</v>
      </c>
      <c r="T23" s="139">
        <f t="shared" si="12"/>
        <v>0.58345971888495285</v>
      </c>
      <c r="U23" s="139" t="e">
        <f t="shared" si="12"/>
        <v>#REF!</v>
      </c>
      <c r="V23" s="139">
        <f>N23/N$55</f>
        <v>0.61265540469133495</v>
      </c>
    </row>
    <row r="24" spans="1:22" x14ac:dyDescent="0.25">
      <c r="A24">
        <v>23</v>
      </c>
      <c r="B24" s="137">
        <v>42616</v>
      </c>
      <c r="C24" s="137">
        <v>18193</v>
      </c>
      <c r="D24" s="137">
        <v>60708</v>
      </c>
      <c r="E24" s="137">
        <v>57872</v>
      </c>
      <c r="F24" s="137">
        <v>19306</v>
      </c>
      <c r="G24" s="137">
        <v>62703</v>
      </c>
      <c r="H24" s="137">
        <f t="shared" si="3"/>
        <v>1486959</v>
      </c>
      <c r="I24" s="137">
        <f t="shared" si="4"/>
        <v>1426760</v>
      </c>
      <c r="J24" s="137">
        <f t="shared" si="5"/>
        <v>1362392</v>
      </c>
      <c r="K24" s="137">
        <f t="shared" si="6"/>
        <v>1406159</v>
      </c>
      <c r="L24" s="137">
        <f t="shared" si="7"/>
        <v>1501974</v>
      </c>
      <c r="M24" s="137" t="e">
        <f t="shared" si="8"/>
        <v>#REF!</v>
      </c>
      <c r="N24" s="138">
        <f t="shared" si="10"/>
        <v>1436848.8</v>
      </c>
      <c r="P24" s="139">
        <f t="shared" ref="P24:P53" si="13">H24/H$55</f>
        <v>0.60797520275939221</v>
      </c>
      <c r="Q24" s="139">
        <f t="shared" ref="Q24:Q53" si="14">I24/I$55</f>
        <v>0.69399566021665837</v>
      </c>
    </row>
    <row r="25" spans="1:22" x14ac:dyDescent="0.25">
      <c r="A25">
        <v>24</v>
      </c>
      <c r="B25" s="137">
        <v>90129</v>
      </c>
      <c r="C25" s="137">
        <v>21187</v>
      </c>
      <c r="D25" s="137">
        <v>10573</v>
      </c>
      <c r="E25" s="137">
        <v>29714</v>
      </c>
      <c r="F25" s="137">
        <v>24458</v>
      </c>
      <c r="G25" s="137">
        <v>7703</v>
      </c>
      <c r="H25" s="137">
        <f t="shared" si="3"/>
        <v>1577088</v>
      </c>
      <c r="I25" s="137">
        <f t="shared" si="4"/>
        <v>1447947</v>
      </c>
      <c r="J25" s="137">
        <f t="shared" si="5"/>
        <v>1372965</v>
      </c>
      <c r="K25" s="137">
        <f t="shared" si="6"/>
        <v>1435873</v>
      </c>
      <c r="L25" s="137">
        <f t="shared" si="7"/>
        <v>1526432</v>
      </c>
      <c r="M25" s="137" t="e">
        <f t="shared" si="8"/>
        <v>#REF!</v>
      </c>
      <c r="N25" s="138">
        <f t="shared" si="10"/>
        <v>1472061</v>
      </c>
      <c r="P25" s="139">
        <f t="shared" si="13"/>
        <v>0.64482638497053668</v>
      </c>
      <c r="Q25" s="139">
        <f t="shared" si="14"/>
        <v>0.70430130801517421</v>
      </c>
    </row>
    <row r="26" spans="1:22" x14ac:dyDescent="0.25">
      <c r="A26">
        <v>25</v>
      </c>
      <c r="B26" s="137">
        <v>15889</v>
      </c>
      <c r="C26" s="137">
        <v>27045</v>
      </c>
      <c r="D26" s="137">
        <v>10320</v>
      </c>
      <c r="E26" s="137">
        <v>63403</v>
      </c>
      <c r="F26" s="137">
        <v>36479</v>
      </c>
      <c r="G26" s="137">
        <v>115003</v>
      </c>
      <c r="H26" s="137">
        <f t="shared" si="3"/>
        <v>1592977</v>
      </c>
      <c r="I26" s="137">
        <f t="shared" si="4"/>
        <v>1474992</v>
      </c>
      <c r="J26" s="137">
        <f t="shared" si="5"/>
        <v>1383285</v>
      </c>
      <c r="K26" s="137">
        <f t="shared" si="6"/>
        <v>1499276</v>
      </c>
      <c r="L26" s="137">
        <f t="shared" si="7"/>
        <v>1562911</v>
      </c>
      <c r="M26" s="137" t="e">
        <f t="shared" si="8"/>
        <v>#REF!</v>
      </c>
      <c r="N26" s="138">
        <f>AVERAGE(H26:L26)</f>
        <v>1502688.2</v>
      </c>
      <c r="P26" s="139">
        <f t="shared" si="13"/>
        <v>0.65132294472547547</v>
      </c>
      <c r="Q26" s="139">
        <f t="shared" si="14"/>
        <v>0.71745636747195707</v>
      </c>
    </row>
    <row r="27" spans="1:22" x14ac:dyDescent="0.25">
      <c r="A27">
        <v>26</v>
      </c>
      <c r="B27" s="137">
        <v>105428</v>
      </c>
      <c r="C27" s="137">
        <v>27629</v>
      </c>
      <c r="D27" s="137">
        <v>67941</v>
      </c>
      <c r="E27" s="137">
        <v>40373</v>
      </c>
      <c r="F27" s="137">
        <v>49827</v>
      </c>
      <c r="G27" s="137">
        <v>60007</v>
      </c>
      <c r="H27" s="137">
        <f t="shared" si="3"/>
        <v>1698405</v>
      </c>
      <c r="I27" s="137">
        <f t="shared" si="4"/>
        <v>1502621</v>
      </c>
      <c r="J27" s="137">
        <f t="shared" si="5"/>
        <v>1451226</v>
      </c>
      <c r="K27" s="137">
        <f t="shared" si="6"/>
        <v>1539649</v>
      </c>
      <c r="L27" s="137">
        <f t="shared" si="7"/>
        <v>1612738</v>
      </c>
      <c r="M27" s="137" t="e">
        <f t="shared" si="8"/>
        <v>#REF!</v>
      </c>
      <c r="N27" s="138">
        <f>AVERAGE(H27:L27)</f>
        <v>1560927.8</v>
      </c>
      <c r="P27" s="139">
        <f t="shared" si="13"/>
        <v>0.69442945248831034</v>
      </c>
      <c r="Q27" s="139">
        <f t="shared" si="14"/>
        <v>0.73089549254984398</v>
      </c>
    </row>
    <row r="28" spans="1:22" x14ac:dyDescent="0.25">
      <c r="A28">
        <v>27</v>
      </c>
      <c r="B28" s="137">
        <v>37515</v>
      </c>
      <c r="C28" s="137">
        <v>23028</v>
      </c>
      <c r="D28" s="137">
        <v>16077</v>
      </c>
      <c r="E28" s="137">
        <v>28753</v>
      </c>
      <c r="F28" s="137">
        <v>55534</v>
      </c>
      <c r="G28" s="137" t="e">
        <f>#REF!</f>
        <v>#REF!</v>
      </c>
      <c r="H28" s="137">
        <f t="shared" si="3"/>
        <v>1735920</v>
      </c>
      <c r="I28" s="137">
        <f t="shared" si="4"/>
        <v>1525649</v>
      </c>
      <c r="J28" s="137">
        <f t="shared" si="5"/>
        <v>1467303</v>
      </c>
      <c r="K28" s="137">
        <f t="shared" si="6"/>
        <v>1568402</v>
      </c>
      <c r="L28" s="137">
        <f t="shared" si="7"/>
        <v>1668272</v>
      </c>
      <c r="M28" s="137" t="e">
        <f t="shared" si="8"/>
        <v>#REF!</v>
      </c>
      <c r="N28" s="138">
        <f t="shared" ref="N28:N53" si="15">AVERAGE(H28:L28)</f>
        <v>1593109.2</v>
      </c>
      <c r="P28" s="139">
        <f t="shared" si="13"/>
        <v>0.70976826797113035</v>
      </c>
      <c r="Q28" s="139">
        <f t="shared" si="14"/>
        <v>0.74209662803406651</v>
      </c>
    </row>
    <row r="29" spans="1:22" x14ac:dyDescent="0.25">
      <c r="A29">
        <v>28</v>
      </c>
      <c r="B29" s="137">
        <v>71299</v>
      </c>
      <c r="C29" s="137">
        <v>21224</v>
      </c>
      <c r="D29" s="137">
        <v>58482</v>
      </c>
      <c r="E29" s="137">
        <v>12699</v>
      </c>
      <c r="F29" s="137">
        <v>24986</v>
      </c>
      <c r="G29" s="137" t="e">
        <f>#REF!</f>
        <v>#REF!</v>
      </c>
      <c r="H29" s="137">
        <f t="shared" si="3"/>
        <v>1807219</v>
      </c>
      <c r="I29" s="137">
        <f t="shared" si="4"/>
        <v>1546873</v>
      </c>
      <c r="J29" s="137">
        <f t="shared" si="5"/>
        <v>1525785</v>
      </c>
      <c r="K29" s="137">
        <f t="shared" si="6"/>
        <v>1581101</v>
      </c>
      <c r="L29" s="137">
        <f t="shared" si="7"/>
        <v>1693258</v>
      </c>
      <c r="M29" s="137" t="e">
        <f t="shared" si="8"/>
        <v>#REF!</v>
      </c>
      <c r="N29" s="138">
        <f t="shared" si="15"/>
        <v>1630847.2</v>
      </c>
      <c r="P29" s="139">
        <f t="shared" si="13"/>
        <v>0.73892039925487252</v>
      </c>
      <c r="Q29" s="139">
        <f t="shared" si="14"/>
        <v>0.75242027314076865</v>
      </c>
    </row>
    <row r="30" spans="1:22" x14ac:dyDescent="0.25">
      <c r="A30">
        <v>29</v>
      </c>
      <c r="B30" s="137">
        <v>9344</v>
      </c>
      <c r="C30" s="137">
        <v>21397</v>
      </c>
      <c r="D30" s="137">
        <v>11659</v>
      </c>
      <c r="E30" s="137">
        <v>13439</v>
      </c>
      <c r="F30" s="137">
        <v>25914</v>
      </c>
      <c r="G30" s="137" t="e">
        <f>#REF!</f>
        <v>#REF!</v>
      </c>
      <c r="H30" s="137">
        <f t="shared" si="3"/>
        <v>1816563</v>
      </c>
      <c r="I30" s="137">
        <f t="shared" si="4"/>
        <v>1568270</v>
      </c>
      <c r="J30" s="137">
        <f t="shared" si="5"/>
        <v>1537444</v>
      </c>
      <c r="K30" s="137">
        <f t="shared" si="6"/>
        <v>1594540</v>
      </c>
      <c r="L30" s="137">
        <f t="shared" si="7"/>
        <v>1719172</v>
      </c>
      <c r="M30" s="137" t="e">
        <f t="shared" si="8"/>
        <v>#REF!</v>
      </c>
      <c r="N30" s="138">
        <f t="shared" si="15"/>
        <v>1647197.8</v>
      </c>
      <c r="P30" s="139">
        <f t="shared" si="13"/>
        <v>0.74274089483987771</v>
      </c>
      <c r="Q30" s="139">
        <f t="shared" si="14"/>
        <v>0.76282806782358548</v>
      </c>
    </row>
    <row r="31" spans="1:22" x14ac:dyDescent="0.25">
      <c r="A31">
        <v>30</v>
      </c>
      <c r="B31" s="137">
        <v>65034</v>
      </c>
      <c r="C31" s="137">
        <v>24612</v>
      </c>
      <c r="D31" s="137">
        <v>34797</v>
      </c>
      <c r="E31" s="137">
        <v>14842</v>
      </c>
      <c r="F31" s="137">
        <v>30658</v>
      </c>
      <c r="G31" s="137" t="e">
        <f>#REF!</f>
        <v>#REF!</v>
      </c>
      <c r="H31" s="137">
        <f t="shared" si="3"/>
        <v>1881597</v>
      </c>
      <c r="I31" s="137">
        <f t="shared" si="4"/>
        <v>1592882</v>
      </c>
      <c r="J31" s="137">
        <f t="shared" si="5"/>
        <v>1572241</v>
      </c>
      <c r="K31" s="137">
        <f t="shared" si="6"/>
        <v>1609382</v>
      </c>
      <c r="L31" s="137">
        <f t="shared" si="7"/>
        <v>1749830</v>
      </c>
      <c r="M31" s="137" t="e">
        <f t="shared" si="8"/>
        <v>#REF!</v>
      </c>
      <c r="N31" s="138">
        <f t="shared" si="15"/>
        <v>1681186.4</v>
      </c>
      <c r="P31" s="139">
        <f t="shared" si="13"/>
        <v>0.7693314459823466</v>
      </c>
      <c r="Q31" s="139">
        <f t="shared" si="14"/>
        <v>0.77479968266367949</v>
      </c>
    </row>
    <row r="32" spans="1:22" x14ac:dyDescent="0.25">
      <c r="A32">
        <v>31</v>
      </c>
      <c r="B32" s="137">
        <v>38081</v>
      </c>
      <c r="C32" s="137">
        <v>23097</v>
      </c>
      <c r="D32" s="137">
        <v>63343</v>
      </c>
      <c r="E32" s="137">
        <v>21271</v>
      </c>
      <c r="F32" s="137">
        <v>33426</v>
      </c>
      <c r="G32" s="137" t="e">
        <f>#REF!</f>
        <v>#REF!</v>
      </c>
      <c r="H32" s="137">
        <f t="shared" si="3"/>
        <v>1919678</v>
      </c>
      <c r="I32" s="137">
        <f t="shared" si="4"/>
        <v>1615979</v>
      </c>
      <c r="J32" s="137">
        <f t="shared" si="5"/>
        <v>1635584</v>
      </c>
      <c r="K32" s="137">
        <f t="shared" si="6"/>
        <v>1630653</v>
      </c>
      <c r="L32" s="137">
        <f t="shared" si="7"/>
        <v>1783256</v>
      </c>
      <c r="M32" s="137" t="e">
        <f t="shared" si="8"/>
        <v>#REF!</v>
      </c>
      <c r="N32" s="138">
        <f t="shared" si="15"/>
        <v>1717030</v>
      </c>
      <c r="P32" s="139">
        <f t="shared" si="13"/>
        <v>0.78490168275167271</v>
      </c>
      <c r="Q32" s="139">
        <f t="shared" si="14"/>
        <v>0.78603438069560083</v>
      </c>
    </row>
    <row r="33" spans="1:17" x14ac:dyDescent="0.25">
      <c r="A33">
        <v>32</v>
      </c>
      <c r="B33" s="137">
        <v>44228</v>
      </c>
      <c r="C33" s="137">
        <v>23438</v>
      </c>
      <c r="D33" s="137">
        <v>48382</v>
      </c>
      <c r="E33" s="137">
        <v>69709</v>
      </c>
      <c r="F33" s="137">
        <v>28996</v>
      </c>
      <c r="G33" s="137" t="e">
        <f>#REF!</f>
        <v>#REF!</v>
      </c>
      <c r="H33" s="137">
        <f t="shared" si="3"/>
        <v>1963906</v>
      </c>
      <c r="I33" s="137">
        <f t="shared" si="4"/>
        <v>1639417</v>
      </c>
      <c r="J33" s="137">
        <f t="shared" si="5"/>
        <v>1683966</v>
      </c>
      <c r="K33" s="137">
        <f t="shared" si="6"/>
        <v>1700362</v>
      </c>
      <c r="L33" s="137">
        <f t="shared" si="7"/>
        <v>1812252</v>
      </c>
      <c r="M33" s="137" t="e">
        <f t="shared" si="8"/>
        <v>#REF!</v>
      </c>
      <c r="N33" s="138">
        <f t="shared" si="15"/>
        <v>1759980.6</v>
      </c>
      <c r="P33" s="139">
        <f t="shared" si="13"/>
        <v>0.80298525282162247</v>
      </c>
      <c r="Q33" s="139">
        <f t="shared" si="14"/>
        <v>0.79743494581107788</v>
      </c>
    </row>
    <row r="34" spans="1:17" x14ac:dyDescent="0.25">
      <c r="A34">
        <v>33</v>
      </c>
      <c r="B34" s="137">
        <v>0</v>
      </c>
      <c r="C34" s="137">
        <v>0</v>
      </c>
      <c r="D34" s="137">
        <v>0</v>
      </c>
      <c r="E34" s="137">
        <v>15924</v>
      </c>
      <c r="F34" s="137">
        <v>29993</v>
      </c>
      <c r="G34" s="137" t="e">
        <f>#REF!</f>
        <v>#REF!</v>
      </c>
      <c r="H34" s="137">
        <f t="shared" si="3"/>
        <v>1963906</v>
      </c>
      <c r="I34" s="137">
        <f t="shared" si="4"/>
        <v>1639417</v>
      </c>
      <c r="J34" s="137">
        <f t="shared" si="5"/>
        <v>1683966</v>
      </c>
      <c r="K34" s="137">
        <f t="shared" si="6"/>
        <v>1716286</v>
      </c>
      <c r="L34" s="137">
        <f t="shared" si="7"/>
        <v>1842245</v>
      </c>
      <c r="M34" s="137" t="e">
        <f t="shared" si="8"/>
        <v>#REF!</v>
      </c>
      <c r="N34" s="138">
        <f t="shared" si="15"/>
        <v>1769164</v>
      </c>
      <c r="P34" s="139">
        <f t="shared" si="13"/>
        <v>0.80298525282162247</v>
      </c>
      <c r="Q34" s="139">
        <f t="shared" si="14"/>
        <v>0.79743494581107788</v>
      </c>
    </row>
    <row r="35" spans="1:17" x14ac:dyDescent="0.25">
      <c r="A35">
        <v>34</v>
      </c>
      <c r="B35" s="137">
        <v>0</v>
      </c>
      <c r="C35" s="137">
        <v>0</v>
      </c>
      <c r="D35" s="137">
        <v>0</v>
      </c>
      <c r="E35" s="137">
        <v>12825</v>
      </c>
      <c r="F35" s="137">
        <v>25665</v>
      </c>
      <c r="G35" s="137" t="e">
        <f>#REF!</f>
        <v>#REF!</v>
      </c>
      <c r="H35" s="137">
        <f t="shared" ref="H35:H53" si="16">H34+B35</f>
        <v>1963906</v>
      </c>
      <c r="I35" s="137">
        <f t="shared" ref="I35:I53" si="17">I34+C35</f>
        <v>1639417</v>
      </c>
      <c r="J35" s="137">
        <f t="shared" ref="J35:J53" si="18">J34+D35</f>
        <v>1683966</v>
      </c>
      <c r="K35" s="137">
        <f t="shared" ref="K35:K53" si="19">K34+E35</f>
        <v>1729111</v>
      </c>
      <c r="L35" s="137">
        <f t="shared" ref="L35:L53" si="20">L34+F35</f>
        <v>1867910</v>
      </c>
      <c r="M35" s="137" t="e">
        <f t="shared" ref="M35:M53" si="21">M34+G35</f>
        <v>#REF!</v>
      </c>
      <c r="N35" s="138">
        <f t="shared" si="15"/>
        <v>1776862</v>
      </c>
      <c r="P35" s="139">
        <f t="shared" si="13"/>
        <v>0.80298525282162247</v>
      </c>
      <c r="Q35" s="139">
        <f t="shared" si="14"/>
        <v>0.79743494581107788</v>
      </c>
    </row>
    <row r="36" spans="1:17" x14ac:dyDescent="0.25">
      <c r="A36">
        <v>35</v>
      </c>
      <c r="B36" s="137">
        <v>121518</v>
      </c>
      <c r="C36" s="137">
        <v>47004</v>
      </c>
      <c r="D36" s="137">
        <v>67694</v>
      </c>
      <c r="E36" s="137">
        <v>9216</v>
      </c>
      <c r="F36" s="137">
        <v>18681</v>
      </c>
      <c r="G36" s="137" t="e">
        <f>#REF!</f>
        <v>#REF!</v>
      </c>
      <c r="H36" s="137">
        <f t="shared" si="16"/>
        <v>2085424</v>
      </c>
      <c r="I36" s="137">
        <f t="shared" si="17"/>
        <v>1686421</v>
      </c>
      <c r="J36" s="137">
        <f t="shared" si="18"/>
        <v>1751660</v>
      </c>
      <c r="K36" s="137">
        <f t="shared" si="19"/>
        <v>1738327</v>
      </c>
      <c r="L36" s="137">
        <f t="shared" si="20"/>
        <v>1886591</v>
      </c>
      <c r="M36" s="137" t="e">
        <f t="shared" si="21"/>
        <v>#REF!</v>
      </c>
      <c r="N36" s="138">
        <f t="shared" si="15"/>
        <v>1829684.6</v>
      </c>
      <c r="P36" s="139">
        <f t="shared" si="13"/>
        <v>0.85267050351711293</v>
      </c>
      <c r="Q36" s="139">
        <f t="shared" si="14"/>
        <v>0.82029833700008226</v>
      </c>
    </row>
    <row r="37" spans="1:17" x14ac:dyDescent="0.25">
      <c r="A37">
        <v>36</v>
      </c>
      <c r="B37" s="137">
        <v>9702</v>
      </c>
      <c r="C37" s="137">
        <v>7435</v>
      </c>
      <c r="D37" s="137">
        <v>5327</v>
      </c>
      <c r="E37" s="137">
        <v>5488</v>
      </c>
      <c r="F37" s="137">
        <v>11869</v>
      </c>
      <c r="G37" s="137" t="e">
        <f>#REF!</f>
        <v>#REF!</v>
      </c>
      <c r="H37" s="137">
        <f t="shared" si="16"/>
        <v>2095126</v>
      </c>
      <c r="I37" s="137">
        <f t="shared" si="17"/>
        <v>1693856</v>
      </c>
      <c r="J37" s="137">
        <f t="shared" si="18"/>
        <v>1756987</v>
      </c>
      <c r="K37" s="137">
        <f t="shared" si="19"/>
        <v>1743815</v>
      </c>
      <c r="L37" s="137">
        <f t="shared" si="20"/>
        <v>1898460</v>
      </c>
      <c r="M37" s="137" t="e">
        <f t="shared" si="21"/>
        <v>#REF!</v>
      </c>
      <c r="N37" s="138">
        <f t="shared" si="15"/>
        <v>1837648.8</v>
      </c>
      <c r="P37" s="139">
        <f t="shared" si="13"/>
        <v>0.85663737511019089</v>
      </c>
      <c r="Q37" s="139">
        <f t="shared" si="14"/>
        <v>0.8239148231180774</v>
      </c>
    </row>
    <row r="38" spans="1:17" x14ac:dyDescent="0.25">
      <c r="A38">
        <v>37</v>
      </c>
      <c r="B38" s="137">
        <v>41051</v>
      </c>
      <c r="C38" s="137">
        <v>26319</v>
      </c>
      <c r="D38" s="137">
        <v>48957</v>
      </c>
      <c r="E38" s="137">
        <v>17380</v>
      </c>
      <c r="F38" s="137">
        <v>28190</v>
      </c>
      <c r="G38" s="137" t="e">
        <f>#REF!</f>
        <v>#REF!</v>
      </c>
      <c r="H38" s="137">
        <f t="shared" si="16"/>
        <v>2136177</v>
      </c>
      <c r="I38" s="137">
        <f t="shared" si="17"/>
        <v>1720175</v>
      </c>
      <c r="J38" s="137">
        <f t="shared" si="18"/>
        <v>1805944</v>
      </c>
      <c r="K38" s="137">
        <f t="shared" si="19"/>
        <v>1761195</v>
      </c>
      <c r="L38" s="137">
        <f t="shared" si="20"/>
        <v>1926650</v>
      </c>
      <c r="M38" s="137" t="e">
        <f t="shared" si="21"/>
        <v>#REF!</v>
      </c>
      <c r="N38" s="138">
        <f t="shared" si="15"/>
        <v>1870028.2</v>
      </c>
      <c r="P38" s="139">
        <f t="shared" si="13"/>
        <v>0.87342196032637764</v>
      </c>
      <c r="Q38" s="139">
        <f t="shared" si="14"/>
        <v>0.83671674620341918</v>
      </c>
    </row>
    <row r="39" spans="1:17" x14ac:dyDescent="0.25">
      <c r="A39">
        <v>38</v>
      </c>
      <c r="B39" s="137">
        <v>13584</v>
      </c>
      <c r="C39" s="137">
        <v>25178</v>
      </c>
      <c r="D39" s="137">
        <v>20987</v>
      </c>
      <c r="E39" s="137">
        <v>16715</v>
      </c>
      <c r="F39" s="137">
        <v>32029</v>
      </c>
      <c r="G39" s="137" t="e">
        <f>#REF!</f>
        <v>#REF!</v>
      </c>
      <c r="H39" s="137">
        <f t="shared" si="16"/>
        <v>2149761</v>
      </c>
      <c r="I39" s="137">
        <f t="shared" si="17"/>
        <v>1745353</v>
      </c>
      <c r="J39" s="137">
        <f t="shared" si="18"/>
        <v>1826931</v>
      </c>
      <c r="K39" s="137">
        <f t="shared" si="19"/>
        <v>1777910</v>
      </c>
      <c r="L39" s="137">
        <f t="shared" si="20"/>
        <v>1958679</v>
      </c>
      <c r="M39" s="137" t="e">
        <f t="shared" si="21"/>
        <v>#REF!</v>
      </c>
      <c r="N39" s="138">
        <f t="shared" si="15"/>
        <v>1891726.8</v>
      </c>
      <c r="P39" s="139">
        <f t="shared" si="13"/>
        <v>0.87897607120252386</v>
      </c>
      <c r="Q39" s="139">
        <f t="shared" si="14"/>
        <v>0.84896367121739147</v>
      </c>
    </row>
    <row r="40" spans="1:17" x14ac:dyDescent="0.25">
      <c r="A40">
        <v>39</v>
      </c>
      <c r="B40" s="137">
        <v>46614</v>
      </c>
      <c r="C40" s="137">
        <v>24719</v>
      </c>
      <c r="D40" s="137">
        <v>14220</v>
      </c>
      <c r="E40" s="137">
        <v>17371</v>
      </c>
      <c r="F40" s="137">
        <v>36059</v>
      </c>
      <c r="G40" s="137" t="e">
        <f>#REF!</f>
        <v>#REF!</v>
      </c>
      <c r="H40" s="137">
        <f t="shared" si="16"/>
        <v>2196375</v>
      </c>
      <c r="I40" s="137">
        <f t="shared" si="17"/>
        <v>1770072</v>
      </c>
      <c r="J40" s="137">
        <f t="shared" si="18"/>
        <v>1841151</v>
      </c>
      <c r="K40" s="137">
        <f t="shared" si="19"/>
        <v>1795281</v>
      </c>
      <c r="L40" s="137">
        <f t="shared" si="20"/>
        <v>1994738</v>
      </c>
      <c r="M40" s="137" t="e">
        <f t="shared" si="21"/>
        <v>#REF!</v>
      </c>
      <c r="N40" s="138">
        <f t="shared" si="15"/>
        <v>1919523.4</v>
      </c>
      <c r="P40" s="139">
        <f t="shared" si="13"/>
        <v>0.89803520874527143</v>
      </c>
      <c r="Q40" s="139">
        <f t="shared" si="14"/>
        <v>0.86098733232710545</v>
      </c>
    </row>
    <row r="41" spans="1:17" x14ac:dyDescent="0.25">
      <c r="A41">
        <v>40</v>
      </c>
      <c r="B41" s="137">
        <v>9411</v>
      </c>
      <c r="C41" s="137">
        <v>22156</v>
      </c>
      <c r="D41" s="137">
        <v>51593</v>
      </c>
      <c r="E41" s="137">
        <v>51844</v>
      </c>
      <c r="F41" s="137">
        <v>37800</v>
      </c>
      <c r="G41" s="137" t="e">
        <f>#REF!</f>
        <v>#REF!</v>
      </c>
      <c r="H41" s="137">
        <f t="shared" si="16"/>
        <v>2205786</v>
      </c>
      <c r="I41" s="137">
        <f t="shared" si="17"/>
        <v>1792228</v>
      </c>
      <c r="J41" s="137">
        <f t="shared" si="18"/>
        <v>1892744</v>
      </c>
      <c r="K41" s="137">
        <f t="shared" si="19"/>
        <v>1847125</v>
      </c>
      <c r="L41" s="137">
        <f t="shared" si="20"/>
        <v>2032538</v>
      </c>
      <c r="M41" s="137" t="e">
        <f t="shared" si="21"/>
        <v>#REF!</v>
      </c>
      <c r="N41" s="138">
        <f t="shared" si="15"/>
        <v>1954084.2</v>
      </c>
      <c r="P41" s="139">
        <f t="shared" si="13"/>
        <v>0.90188309872284889</v>
      </c>
      <c r="Q41" s="139">
        <f t="shared" si="14"/>
        <v>0.87176431503461072</v>
      </c>
    </row>
    <row r="42" spans="1:17" x14ac:dyDescent="0.25">
      <c r="A42">
        <v>41</v>
      </c>
      <c r="B42" s="137">
        <v>12452</v>
      </c>
      <c r="C42" s="137">
        <v>27735</v>
      </c>
      <c r="D42" s="137">
        <v>29378</v>
      </c>
      <c r="E42" s="137">
        <v>13434</v>
      </c>
      <c r="F42" s="137">
        <v>29616</v>
      </c>
      <c r="G42" s="137" t="e">
        <f>#REF!</f>
        <v>#REF!</v>
      </c>
      <c r="H42" s="137">
        <f t="shared" si="16"/>
        <v>2218238</v>
      </c>
      <c r="I42" s="137">
        <f t="shared" si="17"/>
        <v>1819963</v>
      </c>
      <c r="J42" s="137">
        <f t="shared" si="18"/>
        <v>1922122</v>
      </c>
      <c r="K42" s="137">
        <f t="shared" si="19"/>
        <v>1860559</v>
      </c>
      <c r="L42" s="137">
        <f t="shared" si="20"/>
        <v>2062154</v>
      </c>
      <c r="M42" s="137" t="e">
        <f t="shared" si="21"/>
        <v>#REF!</v>
      </c>
      <c r="N42" s="138">
        <f t="shared" si="15"/>
        <v>1976607.2</v>
      </c>
      <c r="P42" s="139">
        <f t="shared" si="13"/>
        <v>0.906974367025983</v>
      </c>
      <c r="Q42" s="139">
        <f t="shared" si="14"/>
        <v>0.88525499996838308</v>
      </c>
    </row>
    <row r="43" spans="1:17" x14ac:dyDescent="0.25">
      <c r="A43">
        <v>42</v>
      </c>
      <c r="B43" s="137">
        <v>13558</v>
      </c>
      <c r="C43" s="137">
        <v>22109</v>
      </c>
      <c r="D43" s="137">
        <v>39741</v>
      </c>
      <c r="E43" s="137">
        <v>10290</v>
      </c>
      <c r="F43" s="137">
        <v>48535</v>
      </c>
      <c r="G43" s="137" t="e">
        <f>#REF!</f>
        <v>#REF!</v>
      </c>
      <c r="H43" s="137">
        <f t="shared" si="16"/>
        <v>2231796</v>
      </c>
      <c r="I43" s="137">
        <f t="shared" si="17"/>
        <v>1842072</v>
      </c>
      <c r="J43" s="137">
        <f t="shared" si="18"/>
        <v>1961863</v>
      </c>
      <c r="K43" s="137">
        <f t="shared" si="19"/>
        <v>1870849</v>
      </c>
      <c r="L43" s="137">
        <f t="shared" si="20"/>
        <v>2110689</v>
      </c>
      <c r="M43" s="137" t="e">
        <f t="shared" si="21"/>
        <v>#REF!</v>
      </c>
      <c r="N43" s="138">
        <f t="shared" si="15"/>
        <v>2003453.8</v>
      </c>
      <c r="P43" s="139">
        <f t="shared" si="13"/>
        <v>0.9125178472423251</v>
      </c>
      <c r="Q43" s="139">
        <f t="shared" si="14"/>
        <v>0.89600912123035437</v>
      </c>
    </row>
    <row r="44" spans="1:17" x14ac:dyDescent="0.25">
      <c r="A44">
        <v>43</v>
      </c>
      <c r="B44" s="137">
        <v>16123</v>
      </c>
      <c r="C44" s="137">
        <v>19963</v>
      </c>
      <c r="D44" s="137">
        <v>28173</v>
      </c>
      <c r="E44" s="137">
        <v>29405</v>
      </c>
      <c r="F44" s="137">
        <v>64260</v>
      </c>
      <c r="G44" s="137" t="e">
        <f>#REF!</f>
        <v>#REF!</v>
      </c>
      <c r="H44" s="137">
        <f t="shared" si="16"/>
        <v>2247919</v>
      </c>
      <c r="I44" s="137">
        <f t="shared" si="17"/>
        <v>1862035</v>
      </c>
      <c r="J44" s="137">
        <f t="shared" si="18"/>
        <v>1990036</v>
      </c>
      <c r="K44" s="137">
        <f t="shared" si="19"/>
        <v>1900254</v>
      </c>
      <c r="L44" s="137">
        <f t="shared" si="20"/>
        <v>2174949</v>
      </c>
      <c r="M44" s="137" t="e">
        <f t="shared" si="21"/>
        <v>#REF!</v>
      </c>
      <c r="N44" s="138">
        <f t="shared" si="15"/>
        <v>2035038.6</v>
      </c>
      <c r="P44" s="139">
        <f t="shared" si="13"/>
        <v>0.91911008293550134</v>
      </c>
      <c r="Q44" s="139">
        <f t="shared" si="14"/>
        <v>0.90571939861751494</v>
      </c>
    </row>
    <row r="45" spans="1:17" x14ac:dyDescent="0.25">
      <c r="A45">
        <v>44</v>
      </c>
      <c r="B45" s="137">
        <v>49340</v>
      </c>
      <c r="C45" s="137">
        <v>32967</v>
      </c>
      <c r="D45" s="137">
        <v>14286</v>
      </c>
      <c r="E45" s="137">
        <v>43796</v>
      </c>
      <c r="F45" s="137">
        <v>36450</v>
      </c>
      <c r="G45" s="137" t="e">
        <f>#REF!</f>
        <v>#REF!</v>
      </c>
      <c r="H45" s="137">
        <f t="shared" si="16"/>
        <v>2297259</v>
      </c>
      <c r="I45" s="137">
        <f t="shared" si="17"/>
        <v>1895002</v>
      </c>
      <c r="J45" s="137">
        <f t="shared" si="18"/>
        <v>2004322</v>
      </c>
      <c r="K45" s="137">
        <f t="shared" si="19"/>
        <v>1944050</v>
      </c>
      <c r="L45" s="137">
        <f t="shared" si="20"/>
        <v>2211399</v>
      </c>
      <c r="M45" s="137" t="e">
        <f t="shared" si="21"/>
        <v>#REF!</v>
      </c>
      <c r="N45" s="138">
        <f t="shared" si="15"/>
        <v>2070406.4</v>
      </c>
      <c r="P45" s="139">
        <f t="shared" si="13"/>
        <v>0.93928380427156266</v>
      </c>
      <c r="Q45" s="139">
        <f t="shared" si="14"/>
        <v>0.92175500021158996</v>
      </c>
    </row>
    <row r="46" spans="1:17" x14ac:dyDescent="0.25">
      <c r="A46">
        <v>45</v>
      </c>
      <c r="B46" s="137">
        <v>12141</v>
      </c>
      <c r="C46" s="137">
        <v>20140</v>
      </c>
      <c r="D46" s="137">
        <v>13766</v>
      </c>
      <c r="E46" s="137">
        <v>13596</v>
      </c>
      <c r="F46" s="137">
        <v>33237</v>
      </c>
      <c r="G46" s="137" t="e">
        <f>#REF!</f>
        <v>#REF!</v>
      </c>
      <c r="H46" s="137">
        <f t="shared" si="16"/>
        <v>2309400</v>
      </c>
      <c r="I46" s="137">
        <f t="shared" si="17"/>
        <v>1915142</v>
      </c>
      <c r="J46" s="137">
        <f t="shared" si="18"/>
        <v>2018088</v>
      </c>
      <c r="K46" s="137">
        <f t="shared" si="19"/>
        <v>1957646</v>
      </c>
      <c r="L46" s="137">
        <f t="shared" si="20"/>
        <v>2244636</v>
      </c>
      <c r="M46" s="137" t="e">
        <f t="shared" si="21"/>
        <v>#REF!</v>
      </c>
      <c r="N46" s="138">
        <f t="shared" si="15"/>
        <v>2088982.4</v>
      </c>
      <c r="P46" s="139">
        <f t="shared" si="13"/>
        <v>0.94424791352857762</v>
      </c>
      <c r="Q46" s="139">
        <f t="shared" si="14"/>
        <v>0.93155137282980427</v>
      </c>
    </row>
    <row r="47" spans="1:17" x14ac:dyDescent="0.25">
      <c r="A47">
        <v>46</v>
      </c>
      <c r="B47" s="137">
        <v>8571</v>
      </c>
      <c r="C47" s="137">
        <v>26106</v>
      </c>
      <c r="D47" s="137">
        <v>27679</v>
      </c>
      <c r="E47" s="137">
        <v>16059</v>
      </c>
      <c r="F47" s="137">
        <v>35051</v>
      </c>
      <c r="G47" s="137" t="e">
        <f>#REF!</f>
        <v>#REF!</v>
      </c>
      <c r="H47" s="137">
        <f t="shared" si="16"/>
        <v>2317971</v>
      </c>
      <c r="I47" s="137">
        <f t="shared" si="17"/>
        <v>1941248</v>
      </c>
      <c r="J47" s="137">
        <f t="shared" si="18"/>
        <v>2045767</v>
      </c>
      <c r="K47" s="137">
        <f t="shared" si="19"/>
        <v>1973705</v>
      </c>
      <c r="L47" s="137">
        <f t="shared" si="20"/>
        <v>2279687</v>
      </c>
      <c r="M47" s="137" t="e">
        <f t="shared" si="21"/>
        <v>#REF!</v>
      </c>
      <c r="N47" s="138">
        <f t="shared" si="15"/>
        <v>2111675.6</v>
      </c>
      <c r="P47" s="139">
        <f t="shared" si="13"/>
        <v>0.94775235142017433</v>
      </c>
      <c r="Q47" s="139">
        <f t="shared" si="14"/>
        <v>0.94424968978964063</v>
      </c>
    </row>
    <row r="48" spans="1:17" x14ac:dyDescent="0.25">
      <c r="A48">
        <v>47</v>
      </c>
      <c r="B48" s="137">
        <v>21048</v>
      </c>
      <c r="C48" s="137">
        <v>20407</v>
      </c>
      <c r="D48" s="137">
        <v>29265</v>
      </c>
      <c r="E48" s="137">
        <v>13841</v>
      </c>
      <c r="F48" s="137">
        <v>31043</v>
      </c>
      <c r="G48" s="137" t="e">
        <f>#REF!</f>
        <v>#REF!</v>
      </c>
      <c r="H48" s="137">
        <f t="shared" si="16"/>
        <v>2339019</v>
      </c>
      <c r="I48" s="137">
        <f t="shared" si="17"/>
        <v>1961655</v>
      </c>
      <c r="J48" s="137">
        <f t="shared" si="18"/>
        <v>2075032</v>
      </c>
      <c r="K48" s="137">
        <f t="shared" si="19"/>
        <v>1987546</v>
      </c>
      <c r="L48" s="137">
        <f t="shared" si="20"/>
        <v>2310730</v>
      </c>
      <c r="M48" s="137" t="e">
        <f t="shared" si="21"/>
        <v>#REF!</v>
      </c>
      <c r="N48" s="138">
        <f t="shared" si="15"/>
        <v>2134796.4</v>
      </c>
      <c r="P48" s="139">
        <f t="shared" si="13"/>
        <v>0.95635827940317841</v>
      </c>
      <c r="Q48" s="139">
        <f t="shared" si="14"/>
        <v>0.95417593487503793</v>
      </c>
    </row>
    <row r="49" spans="1:17" x14ac:dyDescent="0.25">
      <c r="A49">
        <v>48</v>
      </c>
      <c r="B49" s="137">
        <v>36730</v>
      </c>
      <c r="C49" s="137">
        <v>20198</v>
      </c>
      <c r="D49" s="137">
        <v>14531</v>
      </c>
      <c r="E49" s="137">
        <v>13263</v>
      </c>
      <c r="F49" s="137">
        <v>33992</v>
      </c>
      <c r="G49" s="137" t="e">
        <f>#REF!</f>
        <v>#REF!</v>
      </c>
      <c r="H49" s="137">
        <f t="shared" si="16"/>
        <v>2375749</v>
      </c>
      <c r="I49" s="137">
        <f t="shared" si="17"/>
        <v>1981853</v>
      </c>
      <c r="J49" s="137">
        <f t="shared" si="18"/>
        <v>2089563</v>
      </c>
      <c r="K49" s="137">
        <f t="shared" si="19"/>
        <v>2000809</v>
      </c>
      <c r="L49" s="137">
        <f t="shared" si="20"/>
        <v>2344722</v>
      </c>
      <c r="M49" s="137" t="e">
        <f t="shared" si="21"/>
        <v>#REF!</v>
      </c>
      <c r="N49" s="138">
        <f t="shared" si="15"/>
        <v>2158539.2000000002</v>
      </c>
      <c r="P49" s="139">
        <f t="shared" si="13"/>
        <v>0.9713761307342188</v>
      </c>
      <c r="Q49" s="139">
        <f t="shared" si="14"/>
        <v>0.96400051948986876</v>
      </c>
    </row>
    <row r="50" spans="1:17" x14ac:dyDescent="0.25">
      <c r="A50">
        <v>49</v>
      </c>
      <c r="B50" s="137">
        <v>8547</v>
      </c>
      <c r="C50" s="137">
        <v>17540</v>
      </c>
      <c r="D50" s="137">
        <v>56594</v>
      </c>
      <c r="E50" s="137">
        <v>18343</v>
      </c>
      <c r="F50" s="137">
        <v>30756</v>
      </c>
      <c r="G50" s="137" t="e">
        <f>#REF!</f>
        <v>#REF!</v>
      </c>
      <c r="H50" s="137">
        <f t="shared" si="16"/>
        <v>2384296</v>
      </c>
      <c r="I50" s="137">
        <f t="shared" si="17"/>
        <v>1999393</v>
      </c>
      <c r="J50" s="137">
        <f t="shared" si="18"/>
        <v>2146157</v>
      </c>
      <c r="K50" s="137">
        <f t="shared" si="19"/>
        <v>2019152</v>
      </c>
      <c r="L50" s="137">
        <f t="shared" si="20"/>
        <v>2375478</v>
      </c>
      <c r="M50" s="137" t="e">
        <f t="shared" si="21"/>
        <v>#REF!</v>
      </c>
      <c r="N50" s="138">
        <f t="shared" si="15"/>
        <v>2184895.2000000002</v>
      </c>
      <c r="P50" s="139">
        <f t="shared" si="13"/>
        <v>0.97487075570907322</v>
      </c>
      <c r="Q50" s="139">
        <f t="shared" si="14"/>
        <v>0.97253221639768794</v>
      </c>
    </row>
    <row r="51" spans="1:17" x14ac:dyDescent="0.25">
      <c r="A51">
        <v>50</v>
      </c>
      <c r="B51" s="137">
        <v>7370</v>
      </c>
      <c r="C51" s="137">
        <v>17653</v>
      </c>
      <c r="D51" s="137">
        <v>18943</v>
      </c>
      <c r="E51" s="137">
        <v>14877</v>
      </c>
      <c r="F51" s="137">
        <v>47830</v>
      </c>
      <c r="G51" s="137" t="e">
        <f>#REF!</f>
        <v>#REF!</v>
      </c>
      <c r="H51" s="137">
        <f t="shared" si="16"/>
        <v>2391666</v>
      </c>
      <c r="I51" s="137">
        <f t="shared" si="17"/>
        <v>2017046</v>
      </c>
      <c r="J51" s="137">
        <f t="shared" si="18"/>
        <v>2165100</v>
      </c>
      <c r="K51" s="137">
        <f t="shared" si="19"/>
        <v>2034029</v>
      </c>
      <c r="L51" s="137">
        <f t="shared" si="20"/>
        <v>2423308</v>
      </c>
      <c r="M51" s="137" t="e">
        <f t="shared" si="21"/>
        <v>#REF!</v>
      </c>
      <c r="N51" s="138">
        <f t="shared" si="15"/>
        <v>2206229.7999999998</v>
      </c>
      <c r="P51" s="139">
        <f t="shared" si="13"/>
        <v>0.97788413889202352</v>
      </c>
      <c r="Q51" s="139">
        <f t="shared" si="14"/>
        <v>0.98111887805753595</v>
      </c>
    </row>
    <row r="52" spans="1:17" x14ac:dyDescent="0.25">
      <c r="A52">
        <v>51</v>
      </c>
      <c r="B52" s="137">
        <v>9448</v>
      </c>
      <c r="C52" s="137">
        <v>13877</v>
      </c>
      <c r="D52" s="137">
        <v>14289</v>
      </c>
      <c r="E52" s="137">
        <v>11637</v>
      </c>
      <c r="F52" s="137">
        <v>25932</v>
      </c>
      <c r="G52" s="137" t="e">
        <f>#REF!</f>
        <v>#REF!</v>
      </c>
      <c r="H52" s="137">
        <f t="shared" si="16"/>
        <v>2401114</v>
      </c>
      <c r="I52" s="137">
        <f t="shared" si="17"/>
        <v>2030923</v>
      </c>
      <c r="J52" s="137">
        <f t="shared" si="18"/>
        <v>2179389</v>
      </c>
      <c r="K52" s="137">
        <f t="shared" si="19"/>
        <v>2045666</v>
      </c>
      <c r="L52" s="137">
        <f t="shared" si="20"/>
        <v>2449240</v>
      </c>
      <c r="M52" s="137" t="e">
        <f t="shared" si="21"/>
        <v>#REF!</v>
      </c>
      <c r="N52" s="138">
        <f t="shared" si="15"/>
        <v>2221266.4</v>
      </c>
      <c r="P52" s="139">
        <f t="shared" si="13"/>
        <v>0.98174715711624549</v>
      </c>
      <c r="Q52" s="139">
        <f t="shared" si="14"/>
        <v>0.98786884145490239</v>
      </c>
    </row>
    <row r="53" spans="1:17" x14ac:dyDescent="0.25">
      <c r="A53">
        <v>52</v>
      </c>
      <c r="B53" s="137">
        <v>44642</v>
      </c>
      <c r="C53" s="137">
        <v>24940</v>
      </c>
      <c r="D53" s="137">
        <v>109445</v>
      </c>
      <c r="E53" s="137">
        <v>24800</v>
      </c>
      <c r="F53" s="137">
        <v>45980</v>
      </c>
      <c r="G53" s="137" t="e">
        <f>#REF!</f>
        <v>#REF!</v>
      </c>
      <c r="H53" s="137">
        <f t="shared" si="16"/>
        <v>2445756</v>
      </c>
      <c r="I53" s="137">
        <f t="shared" si="17"/>
        <v>2055863</v>
      </c>
      <c r="J53" s="137">
        <f t="shared" si="18"/>
        <v>2288834</v>
      </c>
      <c r="K53" s="137">
        <f t="shared" si="19"/>
        <v>2070466</v>
      </c>
      <c r="L53" s="137">
        <f t="shared" si="20"/>
        <v>2495220</v>
      </c>
      <c r="M53" s="137" t="e">
        <f t="shared" si="21"/>
        <v>#REF!</v>
      </c>
      <c r="N53" s="138">
        <f t="shared" si="15"/>
        <v>2271227.7999999998</v>
      </c>
      <c r="P53" s="139">
        <f t="shared" si="13"/>
        <v>1</v>
      </c>
      <c r="Q53" s="139">
        <f t="shared" si="14"/>
        <v>1</v>
      </c>
    </row>
    <row r="54" spans="1:17" x14ac:dyDescent="0.25">
      <c r="B54" s="137"/>
      <c r="C54" s="137"/>
      <c r="D54" s="137"/>
      <c r="E54" s="137"/>
      <c r="F54" s="137">
        <v>45946</v>
      </c>
      <c r="G54" s="137" t="e">
        <f>#REF!</f>
        <v>#REF!</v>
      </c>
    </row>
    <row r="55" spans="1:17" x14ac:dyDescent="0.25">
      <c r="B55" s="138">
        <f>SUM(B2:B54)</f>
        <v>2445756</v>
      </c>
      <c r="C55" s="138">
        <f>SUM(C2:C54)</f>
        <v>2055863</v>
      </c>
      <c r="D55" s="138">
        <f>SUM(D2:D54)</f>
        <v>2288834</v>
      </c>
      <c r="E55" s="138">
        <f>SUM(E2:E54)</f>
        <v>2070466</v>
      </c>
      <c r="F55" s="138">
        <f>SUM(F2:F54)</f>
        <v>2541166</v>
      </c>
      <c r="H55" s="137">
        <v>2445756</v>
      </c>
      <c r="I55" s="137">
        <v>2055863</v>
      </c>
      <c r="J55" s="137">
        <v>2288834</v>
      </c>
      <c r="K55" s="137">
        <v>2070466</v>
      </c>
      <c r="L55" s="137">
        <v>2541166</v>
      </c>
      <c r="M55" s="137">
        <v>2500000</v>
      </c>
      <c r="N55" s="137">
        <f>AVERAGE(H55:L55)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54" customFormat="1" ht="15.6" x14ac:dyDescent="0.3">
      <c r="A1" s="53" t="s">
        <v>171</v>
      </c>
    </row>
    <row r="2" spans="1:2" s="54" customFormat="1" ht="15.6" x14ac:dyDescent="0.3">
      <c r="A2" s="53" t="s">
        <v>172</v>
      </c>
    </row>
    <row r="3" spans="1:2" s="54" customFormat="1" ht="15" x14ac:dyDescent="0.25"/>
    <row r="4" spans="1:2" s="54" customFormat="1" ht="15" x14ac:dyDescent="0.25">
      <c r="A4" s="98" t="s">
        <v>173</v>
      </c>
      <c r="B4" s="75" t="e">
        <f>#REF!</f>
        <v>#REF!</v>
      </c>
    </row>
    <row r="5" spans="1:2" s="54" customFormat="1" ht="15" x14ac:dyDescent="0.25">
      <c r="A5" s="98" t="s">
        <v>174</v>
      </c>
      <c r="B5" s="55" t="e">
        <f>B4</f>
        <v>#REF!</v>
      </c>
    </row>
    <row r="6" spans="1:2" s="54" customFormat="1" ht="15" x14ac:dyDescent="0.25">
      <c r="A6" s="98"/>
      <c r="B6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54" customFormat="1" ht="15.6" x14ac:dyDescent="0.3">
      <c r="A1" s="53" t="s">
        <v>175</v>
      </c>
    </row>
    <row r="2" spans="1:8" s="54" customFormat="1" ht="15.6" x14ac:dyDescent="0.3">
      <c r="A2" s="53" t="s">
        <v>172</v>
      </c>
    </row>
    <row r="3" spans="1:8" s="54" customFormat="1" ht="15" x14ac:dyDescent="0.25"/>
    <row r="4" spans="1:8" s="54" customFormat="1" ht="15" x14ac:dyDescent="0.25">
      <c r="A4" s="98" t="s">
        <v>173</v>
      </c>
      <c r="B4" s="75" t="e">
        <f>#REF!</f>
        <v>#REF!</v>
      </c>
    </row>
    <row r="5" spans="1:8" s="54" customFormat="1" ht="15" x14ac:dyDescent="0.25">
      <c r="A5" s="98" t="s">
        <v>174</v>
      </c>
      <c r="B5" s="55" t="e">
        <f>B4</f>
        <v>#REF!</v>
      </c>
    </row>
    <row r="7" spans="1:8" ht="15.6" x14ac:dyDescent="0.3">
      <c r="A7" s="206" t="s">
        <v>176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177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178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179</v>
      </c>
      <c r="C10" s="107" t="s">
        <v>180</v>
      </c>
      <c r="D10" s="107" t="s">
        <v>181</v>
      </c>
      <c r="E10" s="107" t="s">
        <v>182</v>
      </c>
      <c r="F10" s="107" t="s">
        <v>183</v>
      </c>
      <c r="G10" s="107" t="s">
        <v>184</v>
      </c>
      <c r="H10" s="107" t="s">
        <v>184</v>
      </c>
    </row>
    <row r="11" spans="1:8" x14ac:dyDescent="0.25">
      <c r="A11" s="106">
        <v>1</v>
      </c>
      <c r="B11" s="106" t="s">
        <v>185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186</v>
      </c>
      <c r="C12" s="108">
        <v>87</v>
      </c>
      <c r="D12" s="108">
        <v>0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187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188</v>
      </c>
      <c r="C14" s="108">
        <v>392</v>
      </c>
      <c r="D14" s="108">
        <v>0</v>
      </c>
      <c r="E14" s="108">
        <v>0</v>
      </c>
      <c r="F14" s="108">
        <v>0</v>
      </c>
      <c r="G14" s="109">
        <f t="shared" si="0"/>
        <v>392</v>
      </c>
      <c r="H14" s="109">
        <f t="shared" si="1"/>
        <v>479</v>
      </c>
    </row>
    <row r="15" spans="1:8" x14ac:dyDescent="0.25">
      <c r="A15" s="106">
        <v>5</v>
      </c>
      <c r="B15" s="106" t="s">
        <v>189</v>
      </c>
      <c r="C15" s="108">
        <v>0</v>
      </c>
      <c r="D15" s="108">
        <v>0</v>
      </c>
      <c r="E15" s="108">
        <v>0</v>
      </c>
      <c r="F15" s="108">
        <v>0</v>
      </c>
      <c r="G15" s="109">
        <f t="shared" si="0"/>
        <v>0</v>
      </c>
      <c r="H15" s="109">
        <f t="shared" si="1"/>
        <v>479</v>
      </c>
    </row>
    <row r="16" spans="1:8" x14ac:dyDescent="0.25">
      <c r="A16" s="106">
        <v>6</v>
      </c>
      <c r="B16" s="106" t="s">
        <v>190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479</v>
      </c>
    </row>
    <row r="17" spans="1:8" x14ac:dyDescent="0.25">
      <c r="A17" s="106">
        <v>7</v>
      </c>
      <c r="B17" s="106" t="s">
        <v>191</v>
      </c>
      <c r="C17" s="108">
        <v>0</v>
      </c>
      <c r="D17" s="108">
        <v>0</v>
      </c>
      <c r="E17" s="108">
        <v>0</v>
      </c>
      <c r="F17" s="108">
        <v>0</v>
      </c>
      <c r="G17" s="109">
        <f t="shared" si="0"/>
        <v>0</v>
      </c>
      <c r="H17" s="109">
        <f t="shared" si="1"/>
        <v>479</v>
      </c>
    </row>
    <row r="18" spans="1:8" x14ac:dyDescent="0.25">
      <c r="A18" s="106">
        <v>8</v>
      </c>
      <c r="B18" s="106" t="s">
        <v>192</v>
      </c>
      <c r="C18" s="108">
        <v>131</v>
      </c>
      <c r="D18" s="108">
        <v>0</v>
      </c>
      <c r="E18" s="108">
        <v>0</v>
      </c>
      <c r="F18" s="108">
        <v>0</v>
      </c>
      <c r="G18" s="109">
        <f t="shared" si="0"/>
        <v>131</v>
      </c>
      <c r="H18" s="109">
        <f t="shared" si="1"/>
        <v>610</v>
      </c>
    </row>
    <row r="19" spans="1:8" x14ac:dyDescent="0.25">
      <c r="A19" s="106">
        <v>9</v>
      </c>
      <c r="B19" s="106" t="s">
        <v>193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610</v>
      </c>
    </row>
    <row r="20" spans="1:8" x14ac:dyDescent="0.25">
      <c r="A20" s="106">
        <v>10</v>
      </c>
      <c r="B20" s="106" t="s">
        <v>194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610</v>
      </c>
    </row>
    <row r="21" spans="1:8" x14ac:dyDescent="0.25">
      <c r="A21" s="106">
        <v>11</v>
      </c>
      <c r="B21" s="106" t="s">
        <v>195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610</v>
      </c>
    </row>
    <row r="22" spans="1:8" x14ac:dyDescent="0.25">
      <c r="A22" s="106">
        <v>12</v>
      </c>
      <c r="B22" s="106" t="s">
        <v>196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610</v>
      </c>
    </row>
    <row r="23" spans="1:8" x14ac:dyDescent="0.25">
      <c r="A23" s="106">
        <v>13</v>
      </c>
      <c r="B23" s="106" t="s">
        <v>197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610</v>
      </c>
    </row>
    <row r="24" spans="1:8" x14ac:dyDescent="0.25">
      <c r="A24" s="106">
        <v>14</v>
      </c>
      <c r="B24" s="106" t="s">
        <v>198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610</v>
      </c>
    </row>
    <row r="25" spans="1:8" x14ac:dyDescent="0.25">
      <c r="A25" s="106">
        <v>15</v>
      </c>
      <c r="B25" s="106" t="s">
        <v>199</v>
      </c>
      <c r="C25" s="108">
        <v>260</v>
      </c>
      <c r="D25" s="108">
        <v>0</v>
      </c>
      <c r="E25" s="108">
        <v>0</v>
      </c>
      <c r="F25" s="108">
        <v>0</v>
      </c>
      <c r="G25" s="109">
        <f t="shared" si="0"/>
        <v>260</v>
      </c>
      <c r="H25" s="109">
        <f t="shared" si="1"/>
        <v>870</v>
      </c>
    </row>
    <row r="26" spans="1:8" x14ac:dyDescent="0.25">
      <c r="A26" s="106">
        <v>16</v>
      </c>
      <c r="B26" s="106" t="s">
        <v>200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870</v>
      </c>
    </row>
    <row r="27" spans="1:8" x14ac:dyDescent="0.25">
      <c r="A27" s="106">
        <v>17</v>
      </c>
      <c r="B27" s="106" t="s">
        <v>201</v>
      </c>
      <c r="C27" s="108">
        <v>0</v>
      </c>
      <c r="D27" s="108">
        <v>0</v>
      </c>
      <c r="E27" s="108">
        <v>0</v>
      </c>
      <c r="F27" s="108">
        <v>0</v>
      </c>
      <c r="G27" s="109">
        <f t="shared" si="0"/>
        <v>0</v>
      </c>
      <c r="H27" s="109">
        <f t="shared" si="1"/>
        <v>870</v>
      </c>
    </row>
    <row r="28" spans="1:8" x14ac:dyDescent="0.25">
      <c r="A28" s="106">
        <v>18</v>
      </c>
      <c r="B28" s="106" t="s">
        <v>202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870</v>
      </c>
    </row>
    <row r="29" spans="1:8" x14ac:dyDescent="0.25">
      <c r="A29" s="106">
        <v>19</v>
      </c>
      <c r="B29" s="106" t="s">
        <v>203</v>
      </c>
      <c r="C29" s="108">
        <v>143</v>
      </c>
      <c r="D29" s="108">
        <v>0</v>
      </c>
      <c r="E29" s="108">
        <v>0</v>
      </c>
      <c r="F29" s="108">
        <v>0</v>
      </c>
      <c r="G29" s="109">
        <f t="shared" si="0"/>
        <v>143</v>
      </c>
      <c r="H29" s="109">
        <f t="shared" si="1"/>
        <v>1013</v>
      </c>
    </row>
    <row r="30" spans="1:8" x14ac:dyDescent="0.25">
      <c r="A30" s="106">
        <v>20</v>
      </c>
      <c r="B30" s="106" t="s">
        <v>204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1013</v>
      </c>
    </row>
    <row r="31" spans="1:8" x14ac:dyDescent="0.25">
      <c r="A31" s="106">
        <v>21</v>
      </c>
      <c r="B31" s="106" t="s">
        <v>205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1013</v>
      </c>
    </row>
    <row r="32" spans="1:8" x14ac:dyDescent="0.25">
      <c r="A32" s="106">
        <v>22</v>
      </c>
      <c r="B32" s="106" t="s">
        <v>206</v>
      </c>
      <c r="C32" s="108">
        <v>111</v>
      </c>
      <c r="D32" s="108">
        <v>0</v>
      </c>
      <c r="E32" s="108">
        <v>0</v>
      </c>
      <c r="F32" s="108">
        <v>0</v>
      </c>
      <c r="G32" s="109">
        <f t="shared" si="0"/>
        <v>111</v>
      </c>
      <c r="H32" s="109">
        <f t="shared" si="1"/>
        <v>1124</v>
      </c>
    </row>
    <row r="33" spans="1:8" x14ac:dyDescent="0.25">
      <c r="A33" s="106">
        <v>23</v>
      </c>
      <c r="B33" s="106" t="s">
        <v>207</v>
      </c>
      <c r="C33" s="108">
        <v>0</v>
      </c>
      <c r="D33" s="108">
        <v>0</v>
      </c>
      <c r="E33" s="108">
        <v>0</v>
      </c>
      <c r="F33" s="108">
        <v>0</v>
      </c>
      <c r="G33" s="109">
        <f t="shared" si="0"/>
        <v>0</v>
      </c>
      <c r="H33" s="109">
        <f t="shared" si="1"/>
        <v>1124</v>
      </c>
    </row>
    <row r="34" spans="1:8" x14ac:dyDescent="0.25">
      <c r="A34" s="106">
        <v>24</v>
      </c>
      <c r="B34" s="106" t="s">
        <v>208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1124</v>
      </c>
    </row>
    <row r="35" spans="1:8" x14ac:dyDescent="0.25">
      <c r="A35" s="106">
        <v>25</v>
      </c>
      <c r="B35" s="106" t="s">
        <v>209</v>
      </c>
      <c r="C35" s="108">
        <v>1022</v>
      </c>
      <c r="D35" s="108">
        <v>8294</v>
      </c>
      <c r="E35" s="108">
        <v>0</v>
      </c>
      <c r="F35" s="108">
        <v>0</v>
      </c>
      <c r="G35" s="109">
        <f t="shared" si="0"/>
        <v>9316</v>
      </c>
      <c r="H35" s="109">
        <f t="shared" si="1"/>
        <v>10440</v>
      </c>
    </row>
    <row r="36" spans="1:8" x14ac:dyDescent="0.25">
      <c r="A36" s="106">
        <v>26</v>
      </c>
      <c r="B36" s="106" t="s">
        <v>210</v>
      </c>
      <c r="C36" s="108">
        <v>0</v>
      </c>
      <c r="D36" s="108">
        <v>0</v>
      </c>
      <c r="E36" s="108">
        <v>0</v>
      </c>
      <c r="F36" s="108">
        <v>0</v>
      </c>
      <c r="G36" s="109">
        <f t="shared" si="0"/>
        <v>0</v>
      </c>
      <c r="H36" s="109">
        <f t="shared" si="1"/>
        <v>10440</v>
      </c>
    </row>
    <row r="37" spans="1:8" x14ac:dyDescent="0.25">
      <c r="A37" s="106">
        <v>27</v>
      </c>
      <c r="B37" s="106" t="s">
        <v>211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10440</v>
      </c>
    </row>
    <row r="38" spans="1:8" x14ac:dyDescent="0.25">
      <c r="A38" s="106">
        <v>28</v>
      </c>
      <c r="B38" s="106" t="s">
        <v>212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10440</v>
      </c>
    </row>
    <row r="39" spans="1:8" x14ac:dyDescent="0.25">
      <c r="A39" s="106">
        <v>29</v>
      </c>
      <c r="B39" s="106" t="s">
        <v>213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10440</v>
      </c>
    </row>
    <row r="40" spans="1:8" x14ac:dyDescent="0.25">
      <c r="A40" s="106">
        <v>30</v>
      </c>
      <c r="B40" s="106" t="s">
        <v>214</v>
      </c>
      <c r="C40" s="108">
        <v>0</v>
      </c>
      <c r="D40" s="108">
        <v>0</v>
      </c>
      <c r="E40" s="108">
        <v>0</v>
      </c>
      <c r="F40" s="108">
        <v>0</v>
      </c>
      <c r="G40" s="109">
        <f t="shared" si="0"/>
        <v>0</v>
      </c>
      <c r="H40" s="109">
        <f t="shared" si="1"/>
        <v>10440</v>
      </c>
    </row>
    <row r="41" spans="1:8" x14ac:dyDescent="0.25">
      <c r="A41" s="106">
        <v>31</v>
      </c>
      <c r="B41" s="106" t="s">
        <v>215</v>
      </c>
      <c r="C41" s="108">
        <v>374</v>
      </c>
      <c r="D41" s="108">
        <v>0</v>
      </c>
      <c r="E41" s="108">
        <v>0</v>
      </c>
      <c r="F41" s="108">
        <v>0</v>
      </c>
      <c r="G41" s="109">
        <f t="shared" si="0"/>
        <v>374</v>
      </c>
      <c r="H41" s="109">
        <f t="shared" si="1"/>
        <v>10814</v>
      </c>
    </row>
    <row r="42" spans="1:8" x14ac:dyDescent="0.25">
      <c r="A42" s="106">
        <v>32</v>
      </c>
      <c r="B42" s="106" t="s">
        <v>216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10814</v>
      </c>
    </row>
    <row r="43" spans="1:8" x14ac:dyDescent="0.25">
      <c r="A43" s="106">
        <v>33</v>
      </c>
      <c r="B43" s="106" t="s">
        <v>217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10814</v>
      </c>
    </row>
    <row r="44" spans="1:8" x14ac:dyDescent="0.25">
      <c r="A44" s="106">
        <v>34</v>
      </c>
      <c r="B44" s="106" t="s">
        <v>218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10814</v>
      </c>
    </row>
    <row r="45" spans="1:8" x14ac:dyDescent="0.25">
      <c r="A45" s="106" t="s">
        <v>219</v>
      </c>
      <c r="B45" s="106" t="s">
        <v>220</v>
      </c>
      <c r="C45" s="108">
        <v>141</v>
      </c>
      <c r="D45" s="108">
        <v>0</v>
      </c>
      <c r="E45" s="108">
        <v>0</v>
      </c>
      <c r="F45" s="108">
        <v>0</v>
      </c>
      <c r="G45" s="109">
        <f t="shared" si="0"/>
        <v>141</v>
      </c>
      <c r="H45" s="109">
        <f t="shared" si="1"/>
        <v>10955</v>
      </c>
    </row>
    <row r="46" spans="1:8" x14ac:dyDescent="0.25">
      <c r="A46" s="106">
        <v>36</v>
      </c>
      <c r="B46" s="106" t="s">
        <v>221</v>
      </c>
      <c r="C46" s="108">
        <v>0</v>
      </c>
      <c r="D46" s="108">
        <v>0</v>
      </c>
      <c r="E46" s="108">
        <v>0</v>
      </c>
      <c r="F46" s="108">
        <v>0</v>
      </c>
      <c r="G46" s="109">
        <f t="shared" si="0"/>
        <v>0</v>
      </c>
      <c r="H46" s="109">
        <f t="shared" si="1"/>
        <v>10955</v>
      </c>
    </row>
    <row r="47" spans="1:8" x14ac:dyDescent="0.25">
      <c r="A47" s="106">
        <v>37</v>
      </c>
      <c r="B47" s="106" t="s">
        <v>222</v>
      </c>
      <c r="C47" s="108">
        <v>0</v>
      </c>
      <c r="D47" s="108">
        <v>0</v>
      </c>
      <c r="E47" s="108">
        <v>0</v>
      </c>
      <c r="F47" s="108">
        <v>0</v>
      </c>
      <c r="G47" s="109">
        <f t="shared" si="0"/>
        <v>0</v>
      </c>
      <c r="H47" s="109">
        <f t="shared" si="1"/>
        <v>10955</v>
      </c>
    </row>
    <row r="48" spans="1:8" x14ac:dyDescent="0.25">
      <c r="A48" s="106">
        <v>38</v>
      </c>
      <c r="B48" s="106" t="s">
        <v>223</v>
      </c>
      <c r="C48" s="108">
        <v>0</v>
      </c>
      <c r="D48" s="108">
        <v>0</v>
      </c>
      <c r="E48" s="108">
        <v>0</v>
      </c>
      <c r="F48" s="108">
        <v>0</v>
      </c>
      <c r="G48" s="109">
        <f t="shared" si="0"/>
        <v>0</v>
      </c>
      <c r="H48" s="109">
        <f t="shared" si="1"/>
        <v>10955</v>
      </c>
    </row>
    <row r="49" spans="1:8" x14ac:dyDescent="0.25">
      <c r="A49" s="106">
        <v>39</v>
      </c>
      <c r="B49" s="106" t="s">
        <v>224</v>
      </c>
      <c r="C49" s="108">
        <v>0</v>
      </c>
      <c r="D49" s="108">
        <v>0</v>
      </c>
      <c r="E49" s="108">
        <v>0</v>
      </c>
      <c r="F49" s="108">
        <v>0</v>
      </c>
      <c r="G49" s="109">
        <f t="shared" si="0"/>
        <v>0</v>
      </c>
      <c r="H49" s="109">
        <f t="shared" si="1"/>
        <v>10955</v>
      </c>
    </row>
    <row r="50" spans="1:8" x14ac:dyDescent="0.25">
      <c r="A50" s="106">
        <v>40</v>
      </c>
      <c r="B50" s="106" t="s">
        <v>225</v>
      </c>
      <c r="C50" s="108">
        <v>0</v>
      </c>
      <c r="D50" s="108">
        <v>0</v>
      </c>
      <c r="E50" s="108">
        <v>149</v>
      </c>
      <c r="F50" s="108">
        <v>0</v>
      </c>
      <c r="G50" s="109">
        <f t="shared" si="0"/>
        <v>149</v>
      </c>
      <c r="H50" s="109">
        <f t="shared" si="1"/>
        <v>11104</v>
      </c>
    </row>
    <row r="51" spans="1:8" x14ac:dyDescent="0.25">
      <c r="A51" s="106">
        <v>41</v>
      </c>
      <c r="B51" s="106" t="s">
        <v>226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11104</v>
      </c>
    </row>
    <row r="52" spans="1:8" x14ac:dyDescent="0.25">
      <c r="A52" s="106">
        <v>42</v>
      </c>
      <c r="B52" s="106" t="s">
        <v>227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11104</v>
      </c>
    </row>
    <row r="53" spans="1:8" x14ac:dyDescent="0.25">
      <c r="A53" s="106">
        <v>43</v>
      </c>
      <c r="B53" s="106" t="s">
        <v>228</v>
      </c>
      <c r="C53" s="108">
        <v>0</v>
      </c>
      <c r="D53" s="108">
        <v>0</v>
      </c>
      <c r="E53" s="108">
        <v>0</v>
      </c>
      <c r="F53" s="108">
        <v>0</v>
      </c>
      <c r="G53" s="109">
        <f t="shared" si="0"/>
        <v>0</v>
      </c>
      <c r="H53" s="109">
        <f t="shared" si="1"/>
        <v>11104</v>
      </c>
    </row>
    <row r="54" spans="1:8" x14ac:dyDescent="0.25">
      <c r="A54" s="106">
        <v>44</v>
      </c>
      <c r="B54" s="106" t="s">
        <v>229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11104</v>
      </c>
    </row>
    <row r="55" spans="1:8" x14ac:dyDescent="0.25">
      <c r="A55" s="106">
        <v>45</v>
      </c>
      <c r="B55" s="106" t="s">
        <v>230</v>
      </c>
      <c r="C55" s="108">
        <v>0</v>
      </c>
      <c r="D55" s="108">
        <v>0</v>
      </c>
      <c r="E55" s="108">
        <v>0</v>
      </c>
      <c r="F55" s="108">
        <v>429</v>
      </c>
      <c r="G55" s="109">
        <f t="shared" si="0"/>
        <v>429</v>
      </c>
      <c r="H55" s="109">
        <f t="shared" si="1"/>
        <v>11533</v>
      </c>
    </row>
    <row r="56" spans="1:8" x14ac:dyDescent="0.25">
      <c r="A56" s="106">
        <v>46</v>
      </c>
      <c r="B56" s="106" t="s">
        <v>231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11533</v>
      </c>
    </row>
    <row r="57" spans="1:8" x14ac:dyDescent="0.25">
      <c r="A57" s="106">
        <v>47</v>
      </c>
      <c r="B57" s="106" t="s">
        <v>232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11533</v>
      </c>
    </row>
    <row r="58" spans="1:8" x14ac:dyDescent="0.25">
      <c r="A58" s="106">
        <v>48</v>
      </c>
      <c r="B58" s="106" t="s">
        <v>233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11533</v>
      </c>
    </row>
    <row r="59" spans="1:8" x14ac:dyDescent="0.25">
      <c r="A59" s="106">
        <v>49</v>
      </c>
      <c r="B59" s="106" t="s">
        <v>234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11533</v>
      </c>
    </row>
    <row r="60" spans="1:8" x14ac:dyDescent="0.25">
      <c r="A60" s="106">
        <v>50</v>
      </c>
      <c r="B60" s="106" t="s">
        <v>235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11533</v>
      </c>
    </row>
    <row r="61" spans="1:8" x14ac:dyDescent="0.25">
      <c r="A61" s="106">
        <v>51</v>
      </c>
      <c r="B61" s="106" t="s">
        <v>236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11533</v>
      </c>
    </row>
    <row r="62" spans="1:8" x14ac:dyDescent="0.25">
      <c r="A62" s="106">
        <v>52</v>
      </c>
      <c r="B62" s="106" t="s">
        <v>237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11533</v>
      </c>
    </row>
    <row r="63" spans="1:8" x14ac:dyDescent="0.25">
      <c r="A63" s="106" t="s">
        <v>178</v>
      </c>
      <c r="B63" s="106" t="s">
        <v>238</v>
      </c>
      <c r="C63" s="109">
        <f>SUM(C11:C62)</f>
        <v>2661</v>
      </c>
      <c r="D63" s="109">
        <f>SUM(D11:D62)</f>
        <v>8294</v>
      </c>
      <c r="E63" s="109">
        <f>SUM(E11:E62)</f>
        <v>149</v>
      </c>
      <c r="F63" s="109">
        <f>SUM(F11:F62)</f>
        <v>429</v>
      </c>
      <c r="G63" s="109">
        <f>SUM(G11:G62)</f>
        <v>11533</v>
      </c>
      <c r="H63" s="109"/>
    </row>
    <row r="65" spans="1:1" x14ac:dyDescent="0.25">
      <c r="A65" t="s">
        <v>239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54" customFormat="1" ht="15.6" x14ac:dyDescent="0.3">
      <c r="A1" s="53" t="s">
        <v>240</v>
      </c>
    </row>
    <row r="2" spans="1:11" s="54" customFormat="1" ht="15.6" x14ac:dyDescent="0.3">
      <c r="A2" s="53" t="s">
        <v>241</v>
      </c>
    </row>
    <row r="3" spans="1:11" s="54" customFormat="1" ht="15" x14ac:dyDescent="0.25"/>
    <row r="4" spans="1:11" s="54" customFormat="1" ht="15" x14ac:dyDescent="0.25">
      <c r="A4" s="98" t="s">
        <v>173</v>
      </c>
      <c r="B4" s="75" t="e">
        <f>#REF!</f>
        <v>#REF!</v>
      </c>
    </row>
    <row r="5" spans="1:11" s="54" customFormat="1" ht="15" x14ac:dyDescent="0.25">
      <c r="A5" s="98" t="s">
        <v>174</v>
      </c>
      <c r="B5" s="55" t="e">
        <f>B4</f>
        <v>#REF!</v>
      </c>
    </row>
    <row r="7" spans="1:11" ht="15.6" x14ac:dyDescent="0.3">
      <c r="A7" s="206" t="s">
        <v>242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</row>
    <row r="8" spans="1:11" ht="15.6" x14ac:dyDescent="0.3">
      <c r="A8" s="206" t="s">
        <v>243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</row>
    <row r="9" spans="1:11" x14ac:dyDescent="0.25">
      <c r="A9" s="209" t="s">
        <v>178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x14ac:dyDescent="0.25">
      <c r="A10" s="107"/>
      <c r="B10" s="107" t="s">
        <v>179</v>
      </c>
      <c r="C10" s="107" t="s">
        <v>244</v>
      </c>
      <c r="D10" s="107" t="s">
        <v>245</v>
      </c>
      <c r="E10" s="107" t="s">
        <v>246</v>
      </c>
      <c r="F10" s="107" t="s">
        <v>247</v>
      </c>
      <c r="G10" s="107" t="s">
        <v>248</v>
      </c>
      <c r="H10" s="107" t="s">
        <v>249</v>
      </c>
      <c r="I10" s="107" t="s">
        <v>250</v>
      </c>
      <c r="J10" s="107" t="s">
        <v>184</v>
      </c>
      <c r="K10" s="107" t="s">
        <v>184</v>
      </c>
    </row>
    <row r="11" spans="1:11" x14ac:dyDescent="0.25">
      <c r="A11" s="106">
        <v>1</v>
      </c>
      <c r="B11" s="106" t="s">
        <v>185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9">
        <f t="shared" ref="J11:J62" si="0">SUM(C11:I11)</f>
        <v>0</v>
      </c>
      <c r="K11" s="109">
        <f>J11</f>
        <v>0</v>
      </c>
    </row>
    <row r="12" spans="1:11" x14ac:dyDescent="0.25">
      <c r="A12" s="106">
        <v>2</v>
      </c>
      <c r="B12" s="106" t="s">
        <v>186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136</v>
      </c>
      <c r="J12" s="109">
        <f t="shared" si="0"/>
        <v>136</v>
      </c>
      <c r="K12" s="109">
        <f t="shared" ref="K12:K62" si="1">J12+K11</f>
        <v>136</v>
      </c>
    </row>
    <row r="13" spans="1:11" x14ac:dyDescent="0.25">
      <c r="A13" s="106">
        <v>3</v>
      </c>
      <c r="B13" s="106" t="s">
        <v>187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483</v>
      </c>
      <c r="J13" s="109">
        <f t="shared" si="0"/>
        <v>483</v>
      </c>
      <c r="K13" s="109">
        <f t="shared" si="1"/>
        <v>619</v>
      </c>
    </row>
    <row r="14" spans="1:11" x14ac:dyDescent="0.25">
      <c r="A14" s="106">
        <v>4</v>
      </c>
      <c r="B14" s="106" t="s">
        <v>188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515</v>
      </c>
      <c r="J14" s="109">
        <f t="shared" si="0"/>
        <v>515</v>
      </c>
      <c r="K14" s="109">
        <f t="shared" si="1"/>
        <v>1134</v>
      </c>
    </row>
    <row r="15" spans="1:11" x14ac:dyDescent="0.25">
      <c r="A15" s="106">
        <v>5</v>
      </c>
      <c r="B15" s="106" t="s">
        <v>189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9">
        <f t="shared" si="0"/>
        <v>0</v>
      </c>
      <c r="K15" s="109">
        <f t="shared" si="1"/>
        <v>1134</v>
      </c>
    </row>
    <row r="16" spans="1:11" x14ac:dyDescent="0.25">
      <c r="A16" s="106">
        <v>6</v>
      </c>
      <c r="B16" s="106" t="s">
        <v>190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957</v>
      </c>
      <c r="J16" s="109">
        <f t="shared" si="0"/>
        <v>957</v>
      </c>
      <c r="K16" s="109">
        <f t="shared" si="1"/>
        <v>2091</v>
      </c>
    </row>
    <row r="17" spans="1:11" x14ac:dyDescent="0.25">
      <c r="A17" s="106">
        <v>7</v>
      </c>
      <c r="B17" s="106" t="s">
        <v>191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9">
        <f t="shared" si="0"/>
        <v>0</v>
      </c>
      <c r="K17" s="109">
        <f t="shared" si="1"/>
        <v>2091</v>
      </c>
    </row>
    <row r="18" spans="1:11" x14ac:dyDescent="0.25">
      <c r="A18" s="106">
        <v>8</v>
      </c>
      <c r="B18" s="106" t="s">
        <v>192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1240</v>
      </c>
      <c r="J18" s="109">
        <f t="shared" si="0"/>
        <v>1240</v>
      </c>
      <c r="K18" s="109">
        <f t="shared" si="1"/>
        <v>3331</v>
      </c>
    </row>
    <row r="19" spans="1:11" x14ac:dyDescent="0.25">
      <c r="A19" s="106">
        <v>9</v>
      </c>
      <c r="B19" s="106" t="s">
        <v>193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9">
        <f t="shared" si="0"/>
        <v>0</v>
      </c>
      <c r="K19" s="109">
        <f t="shared" si="1"/>
        <v>3331</v>
      </c>
    </row>
    <row r="20" spans="1:11" x14ac:dyDescent="0.25">
      <c r="A20" s="106">
        <v>10</v>
      </c>
      <c r="B20" s="106" t="s">
        <v>194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9">
        <f t="shared" si="0"/>
        <v>0</v>
      </c>
      <c r="K20" s="109">
        <f t="shared" si="1"/>
        <v>3331</v>
      </c>
    </row>
    <row r="21" spans="1:11" x14ac:dyDescent="0.25">
      <c r="A21" s="106">
        <v>11</v>
      </c>
      <c r="B21" s="106" t="s">
        <v>195</v>
      </c>
      <c r="C21" s="108">
        <v>0</v>
      </c>
      <c r="D21" s="108">
        <v>529</v>
      </c>
      <c r="E21" s="108">
        <v>0</v>
      </c>
      <c r="F21" s="108">
        <v>0</v>
      </c>
      <c r="G21" s="108">
        <v>0</v>
      </c>
      <c r="H21" s="108">
        <v>0</v>
      </c>
      <c r="I21" s="108">
        <v>4993</v>
      </c>
      <c r="J21" s="109">
        <f t="shared" si="0"/>
        <v>5522</v>
      </c>
      <c r="K21" s="109">
        <f t="shared" si="1"/>
        <v>8853</v>
      </c>
    </row>
    <row r="22" spans="1:11" x14ac:dyDescent="0.25">
      <c r="A22" s="106">
        <v>12</v>
      </c>
      <c r="B22" s="106" t="s">
        <v>196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9">
        <f t="shared" si="0"/>
        <v>0</v>
      </c>
      <c r="K22" s="109">
        <f t="shared" si="1"/>
        <v>8853</v>
      </c>
    </row>
    <row r="23" spans="1:11" x14ac:dyDescent="0.25">
      <c r="A23" s="106">
        <v>13</v>
      </c>
      <c r="B23" s="106" t="s">
        <v>197</v>
      </c>
      <c r="C23" s="108">
        <v>0</v>
      </c>
      <c r="D23" s="108">
        <v>3080</v>
      </c>
      <c r="E23" s="108">
        <v>0</v>
      </c>
      <c r="F23" s="108">
        <v>0</v>
      </c>
      <c r="G23" s="108">
        <v>0</v>
      </c>
      <c r="H23" s="108">
        <v>0</v>
      </c>
      <c r="I23" s="108">
        <v>7</v>
      </c>
      <c r="J23" s="109">
        <f t="shared" si="0"/>
        <v>3087</v>
      </c>
      <c r="K23" s="109">
        <f t="shared" si="1"/>
        <v>11940</v>
      </c>
    </row>
    <row r="24" spans="1:11" x14ac:dyDescent="0.25">
      <c r="A24" s="106">
        <v>14</v>
      </c>
      <c r="B24" s="106" t="s">
        <v>198</v>
      </c>
      <c r="C24" s="108">
        <v>0</v>
      </c>
      <c r="D24" s="108">
        <v>4366</v>
      </c>
      <c r="E24" s="108">
        <v>0</v>
      </c>
      <c r="F24" s="108">
        <v>0</v>
      </c>
      <c r="G24" s="108">
        <v>0</v>
      </c>
      <c r="H24" s="108">
        <v>0</v>
      </c>
      <c r="I24" s="108">
        <v>4183</v>
      </c>
      <c r="J24" s="109">
        <f t="shared" si="0"/>
        <v>8549</v>
      </c>
      <c r="K24" s="109">
        <f t="shared" si="1"/>
        <v>20489</v>
      </c>
    </row>
    <row r="25" spans="1:11" x14ac:dyDescent="0.25">
      <c r="A25" s="106">
        <v>15</v>
      </c>
      <c r="B25" s="106" t="s">
        <v>199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9">
        <f t="shared" si="0"/>
        <v>0</v>
      </c>
      <c r="K25" s="109">
        <f t="shared" si="1"/>
        <v>20489</v>
      </c>
    </row>
    <row r="26" spans="1:11" x14ac:dyDescent="0.25">
      <c r="A26" s="106">
        <v>16</v>
      </c>
      <c r="B26" s="106" t="s">
        <v>200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8116</v>
      </c>
      <c r="J26" s="109">
        <f t="shared" si="0"/>
        <v>8116</v>
      </c>
      <c r="K26" s="109">
        <f t="shared" si="1"/>
        <v>28605</v>
      </c>
    </row>
    <row r="27" spans="1:11" x14ac:dyDescent="0.25">
      <c r="A27" s="106">
        <v>17</v>
      </c>
      <c r="B27" s="106" t="s">
        <v>201</v>
      </c>
      <c r="C27" s="108">
        <v>0</v>
      </c>
      <c r="D27" s="108">
        <v>749</v>
      </c>
      <c r="E27" s="108">
        <v>0</v>
      </c>
      <c r="F27" s="108">
        <v>0</v>
      </c>
      <c r="G27" s="108">
        <v>0</v>
      </c>
      <c r="H27" s="108">
        <v>0</v>
      </c>
      <c r="I27" s="108">
        <v>8613</v>
      </c>
      <c r="J27" s="109">
        <f t="shared" si="0"/>
        <v>9362</v>
      </c>
      <c r="K27" s="109">
        <f t="shared" si="1"/>
        <v>37967</v>
      </c>
    </row>
    <row r="28" spans="1:11" x14ac:dyDescent="0.25">
      <c r="A28" s="106">
        <v>18</v>
      </c>
      <c r="B28" s="106" t="s">
        <v>202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7858</v>
      </c>
      <c r="J28" s="109">
        <f t="shared" si="0"/>
        <v>7858</v>
      </c>
      <c r="K28" s="109">
        <f t="shared" si="1"/>
        <v>45825</v>
      </c>
    </row>
    <row r="29" spans="1:11" x14ac:dyDescent="0.25">
      <c r="A29" s="106">
        <v>19</v>
      </c>
      <c r="B29" s="106" t="s">
        <v>203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5356</v>
      </c>
      <c r="J29" s="109">
        <f t="shared" si="0"/>
        <v>5356</v>
      </c>
      <c r="K29" s="109">
        <f t="shared" si="1"/>
        <v>51181</v>
      </c>
    </row>
    <row r="30" spans="1:11" x14ac:dyDescent="0.25">
      <c r="A30" s="106">
        <v>20</v>
      </c>
      <c r="B30" s="106" t="s">
        <v>204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3639</v>
      </c>
      <c r="J30" s="109">
        <f t="shared" si="0"/>
        <v>3639</v>
      </c>
      <c r="K30" s="109">
        <f t="shared" si="1"/>
        <v>54820</v>
      </c>
    </row>
    <row r="31" spans="1:11" x14ac:dyDescent="0.25">
      <c r="A31" s="106">
        <v>21</v>
      </c>
      <c r="B31" s="106" t="s">
        <v>205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4297</v>
      </c>
      <c r="J31" s="109">
        <f t="shared" si="0"/>
        <v>4297</v>
      </c>
      <c r="K31" s="109">
        <f t="shared" si="1"/>
        <v>59117</v>
      </c>
    </row>
    <row r="32" spans="1:11" x14ac:dyDescent="0.25">
      <c r="A32" s="106">
        <v>22</v>
      </c>
      <c r="B32" s="106" t="s">
        <v>206</v>
      </c>
      <c r="C32" s="108">
        <v>0</v>
      </c>
      <c r="D32" s="108">
        <v>2369</v>
      </c>
      <c r="E32" s="108">
        <v>68</v>
      </c>
      <c r="F32" s="108">
        <v>0</v>
      </c>
      <c r="G32" s="108">
        <v>0</v>
      </c>
      <c r="H32" s="108">
        <v>0</v>
      </c>
      <c r="I32" s="108">
        <v>8532</v>
      </c>
      <c r="J32" s="109">
        <f t="shared" si="0"/>
        <v>10969</v>
      </c>
      <c r="K32" s="109">
        <f t="shared" si="1"/>
        <v>70086</v>
      </c>
    </row>
    <row r="33" spans="1:11" x14ac:dyDescent="0.25">
      <c r="A33" s="106">
        <v>23</v>
      </c>
      <c r="B33" s="106" t="s">
        <v>207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10</v>
      </c>
      <c r="J33" s="109">
        <f t="shared" si="0"/>
        <v>10</v>
      </c>
      <c r="K33" s="109">
        <f t="shared" si="1"/>
        <v>70096</v>
      </c>
    </row>
    <row r="34" spans="1:11" x14ac:dyDescent="0.25">
      <c r="A34" s="106">
        <v>24</v>
      </c>
      <c r="B34" s="106" t="s">
        <v>208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1184</v>
      </c>
      <c r="J34" s="109">
        <f t="shared" si="0"/>
        <v>1184</v>
      </c>
      <c r="K34" s="109">
        <f t="shared" si="1"/>
        <v>71280</v>
      </c>
    </row>
    <row r="35" spans="1:11" x14ac:dyDescent="0.25">
      <c r="A35" s="106">
        <v>25</v>
      </c>
      <c r="B35" s="106" t="s">
        <v>209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3085</v>
      </c>
      <c r="J35" s="109">
        <f t="shared" si="0"/>
        <v>3085</v>
      </c>
      <c r="K35" s="109">
        <f t="shared" si="1"/>
        <v>74365</v>
      </c>
    </row>
    <row r="36" spans="1:11" x14ac:dyDescent="0.25">
      <c r="A36" s="106">
        <v>26</v>
      </c>
      <c r="B36" s="106" t="s">
        <v>210</v>
      </c>
      <c r="C36" s="108">
        <v>0</v>
      </c>
      <c r="D36" s="108">
        <v>1760</v>
      </c>
      <c r="E36" s="108">
        <v>0</v>
      </c>
      <c r="F36" s="108">
        <v>0</v>
      </c>
      <c r="G36" s="108">
        <v>0</v>
      </c>
      <c r="H36" s="108">
        <v>0</v>
      </c>
      <c r="I36" s="108">
        <v>11964</v>
      </c>
      <c r="J36" s="109">
        <f t="shared" si="0"/>
        <v>13724</v>
      </c>
      <c r="K36" s="109">
        <f t="shared" si="1"/>
        <v>88089</v>
      </c>
    </row>
    <row r="37" spans="1:11" x14ac:dyDescent="0.25">
      <c r="A37" s="106">
        <v>27</v>
      </c>
      <c r="B37" s="106" t="s">
        <v>211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1973</v>
      </c>
      <c r="J37" s="109">
        <f t="shared" si="0"/>
        <v>1973</v>
      </c>
      <c r="K37" s="109">
        <f t="shared" si="1"/>
        <v>90062</v>
      </c>
    </row>
    <row r="38" spans="1:11" x14ac:dyDescent="0.25">
      <c r="A38" s="106">
        <v>28</v>
      </c>
      <c r="B38" s="106" t="s">
        <v>212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470</v>
      </c>
      <c r="J38" s="109">
        <f t="shared" si="0"/>
        <v>470</v>
      </c>
      <c r="K38" s="109">
        <f t="shared" si="1"/>
        <v>90532</v>
      </c>
    </row>
    <row r="39" spans="1:11" x14ac:dyDescent="0.25">
      <c r="A39" s="106">
        <v>29</v>
      </c>
      <c r="B39" s="106" t="s">
        <v>213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7009</v>
      </c>
      <c r="J39" s="109">
        <f t="shared" si="0"/>
        <v>7009</v>
      </c>
      <c r="K39" s="109">
        <f t="shared" si="1"/>
        <v>97541</v>
      </c>
    </row>
    <row r="40" spans="1:11" x14ac:dyDescent="0.25">
      <c r="A40" s="106">
        <v>30</v>
      </c>
      <c r="B40" s="106" t="s">
        <v>214</v>
      </c>
      <c r="C40" s="108">
        <v>0</v>
      </c>
      <c r="D40" s="108">
        <v>6175</v>
      </c>
      <c r="E40" s="108">
        <v>0</v>
      </c>
      <c r="F40" s="108">
        <v>0</v>
      </c>
      <c r="G40" s="108">
        <v>0</v>
      </c>
      <c r="H40" s="108">
        <v>0</v>
      </c>
      <c r="I40" s="108">
        <v>10366</v>
      </c>
      <c r="J40" s="109">
        <f t="shared" si="0"/>
        <v>16541</v>
      </c>
      <c r="K40" s="109">
        <f t="shared" si="1"/>
        <v>114082</v>
      </c>
    </row>
    <row r="41" spans="1:11" x14ac:dyDescent="0.25">
      <c r="A41" s="106">
        <v>31</v>
      </c>
      <c r="B41" s="106" t="s">
        <v>215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1769</v>
      </c>
      <c r="J41" s="109">
        <f t="shared" si="0"/>
        <v>1769</v>
      </c>
      <c r="K41" s="109">
        <f t="shared" si="1"/>
        <v>115851</v>
      </c>
    </row>
    <row r="42" spans="1:11" x14ac:dyDescent="0.25">
      <c r="A42" s="106">
        <v>32</v>
      </c>
      <c r="B42" s="106" t="s">
        <v>216</v>
      </c>
      <c r="C42" s="108">
        <v>0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9">
        <f t="shared" si="0"/>
        <v>0</v>
      </c>
      <c r="K42" s="109">
        <f t="shared" si="1"/>
        <v>115851</v>
      </c>
    </row>
    <row r="43" spans="1:11" x14ac:dyDescent="0.25">
      <c r="A43" s="106">
        <v>33</v>
      </c>
      <c r="B43" s="106" t="s">
        <v>217</v>
      </c>
      <c r="C43" s="108">
        <v>0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9">
        <f t="shared" si="0"/>
        <v>0</v>
      </c>
      <c r="K43" s="109">
        <f t="shared" si="1"/>
        <v>115851</v>
      </c>
    </row>
    <row r="44" spans="1:11" x14ac:dyDescent="0.25">
      <c r="A44" s="106">
        <v>34</v>
      </c>
      <c r="B44" s="106" t="s">
        <v>218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9">
        <f t="shared" si="0"/>
        <v>0</v>
      </c>
      <c r="K44" s="109">
        <f t="shared" si="1"/>
        <v>115851</v>
      </c>
    </row>
    <row r="45" spans="1:11" x14ac:dyDescent="0.25">
      <c r="A45" s="106" t="s">
        <v>219</v>
      </c>
      <c r="B45" s="106" t="s">
        <v>220</v>
      </c>
      <c r="C45" s="108">
        <v>0</v>
      </c>
      <c r="D45" s="108">
        <v>10368</v>
      </c>
      <c r="E45" s="108">
        <v>0</v>
      </c>
      <c r="F45" s="108">
        <v>0</v>
      </c>
      <c r="G45" s="108">
        <v>300</v>
      </c>
      <c r="H45" s="108">
        <v>0</v>
      </c>
      <c r="I45" s="108">
        <v>13837</v>
      </c>
      <c r="J45" s="109">
        <f t="shared" si="0"/>
        <v>24505</v>
      </c>
      <c r="K45" s="109">
        <f t="shared" si="1"/>
        <v>140356</v>
      </c>
    </row>
    <row r="46" spans="1:11" x14ac:dyDescent="0.25">
      <c r="A46" s="106">
        <v>36</v>
      </c>
      <c r="B46" s="106" t="s">
        <v>221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1688</v>
      </c>
      <c r="J46" s="109">
        <f t="shared" si="0"/>
        <v>1688</v>
      </c>
      <c r="K46" s="109">
        <f t="shared" si="1"/>
        <v>142044</v>
      </c>
    </row>
    <row r="47" spans="1:11" x14ac:dyDescent="0.25">
      <c r="A47" s="106">
        <v>37</v>
      </c>
      <c r="B47" s="106" t="s">
        <v>222</v>
      </c>
      <c r="C47" s="108">
        <v>0</v>
      </c>
      <c r="D47" s="108">
        <v>0</v>
      </c>
      <c r="E47" s="108">
        <v>0</v>
      </c>
      <c r="F47" s="108">
        <v>0</v>
      </c>
      <c r="G47" s="108">
        <v>407</v>
      </c>
      <c r="H47" s="108">
        <v>0</v>
      </c>
      <c r="I47" s="108">
        <v>2125</v>
      </c>
      <c r="J47" s="109">
        <f t="shared" si="0"/>
        <v>2532</v>
      </c>
      <c r="K47" s="109">
        <f t="shared" si="1"/>
        <v>144576</v>
      </c>
    </row>
    <row r="48" spans="1:11" x14ac:dyDescent="0.25">
      <c r="A48" s="106">
        <v>38</v>
      </c>
      <c r="B48" s="106" t="s">
        <v>223</v>
      </c>
      <c r="C48" s="108">
        <v>0</v>
      </c>
      <c r="D48" s="108">
        <v>257</v>
      </c>
      <c r="E48" s="108">
        <v>0</v>
      </c>
      <c r="F48" s="108">
        <v>0</v>
      </c>
      <c r="G48" s="108">
        <v>0</v>
      </c>
      <c r="H48" s="108">
        <v>0</v>
      </c>
      <c r="I48" s="108">
        <v>951</v>
      </c>
      <c r="J48" s="109">
        <f t="shared" si="0"/>
        <v>1208</v>
      </c>
      <c r="K48" s="109">
        <f t="shared" si="1"/>
        <v>145784</v>
      </c>
    </row>
    <row r="49" spans="1:11" x14ac:dyDescent="0.25">
      <c r="A49" s="106">
        <v>39</v>
      </c>
      <c r="B49" s="106" t="s">
        <v>224</v>
      </c>
      <c r="C49" s="108">
        <v>0</v>
      </c>
      <c r="D49" s="108">
        <v>688</v>
      </c>
      <c r="E49" s="108">
        <v>0</v>
      </c>
      <c r="F49" s="108">
        <v>813</v>
      </c>
      <c r="G49" s="108">
        <v>445</v>
      </c>
      <c r="H49" s="108">
        <v>0</v>
      </c>
      <c r="I49" s="108">
        <v>3386</v>
      </c>
      <c r="J49" s="109">
        <f t="shared" si="0"/>
        <v>5332</v>
      </c>
      <c r="K49" s="109">
        <f t="shared" si="1"/>
        <v>151116</v>
      </c>
    </row>
    <row r="50" spans="1:11" x14ac:dyDescent="0.25">
      <c r="A50" s="106">
        <v>40</v>
      </c>
      <c r="B50" s="106" t="s">
        <v>225</v>
      </c>
      <c r="C50" s="108">
        <v>0</v>
      </c>
      <c r="D50" s="108">
        <v>399</v>
      </c>
      <c r="E50" s="108">
        <v>0</v>
      </c>
      <c r="F50" s="108">
        <v>0</v>
      </c>
      <c r="G50" s="108">
        <v>0</v>
      </c>
      <c r="H50" s="108">
        <v>0</v>
      </c>
      <c r="I50" s="108">
        <v>1855</v>
      </c>
      <c r="J50" s="109">
        <f t="shared" si="0"/>
        <v>2254</v>
      </c>
      <c r="K50" s="109">
        <f t="shared" si="1"/>
        <v>153370</v>
      </c>
    </row>
    <row r="51" spans="1:11" x14ac:dyDescent="0.25">
      <c r="A51" s="106">
        <v>41</v>
      </c>
      <c r="B51" s="106" t="s">
        <v>226</v>
      </c>
      <c r="C51" s="108">
        <v>0</v>
      </c>
      <c r="D51" s="108">
        <v>0</v>
      </c>
      <c r="E51" s="108">
        <v>0</v>
      </c>
      <c r="F51" s="108">
        <v>464</v>
      </c>
      <c r="G51" s="108">
        <v>0</v>
      </c>
      <c r="H51" s="108">
        <v>0</v>
      </c>
      <c r="I51" s="108">
        <v>3602</v>
      </c>
      <c r="J51" s="109">
        <f t="shared" si="0"/>
        <v>4066</v>
      </c>
      <c r="K51" s="109">
        <f t="shared" si="1"/>
        <v>157436</v>
      </c>
    </row>
    <row r="52" spans="1:11" x14ac:dyDescent="0.25">
      <c r="A52" s="106">
        <v>42</v>
      </c>
      <c r="B52" s="106" t="s">
        <v>227</v>
      </c>
      <c r="C52" s="108">
        <v>0</v>
      </c>
      <c r="D52" s="108">
        <v>203</v>
      </c>
      <c r="E52" s="108">
        <v>0</v>
      </c>
      <c r="F52" s="108">
        <v>105</v>
      </c>
      <c r="G52" s="108">
        <v>0</v>
      </c>
      <c r="H52" s="108">
        <v>0</v>
      </c>
      <c r="I52" s="108">
        <v>4841</v>
      </c>
      <c r="J52" s="109">
        <f t="shared" si="0"/>
        <v>5149</v>
      </c>
      <c r="K52" s="109">
        <f t="shared" si="1"/>
        <v>162585</v>
      </c>
    </row>
    <row r="53" spans="1:11" x14ac:dyDescent="0.25">
      <c r="A53" s="106">
        <v>43</v>
      </c>
      <c r="B53" s="106" t="s">
        <v>228</v>
      </c>
      <c r="C53" s="108">
        <v>0</v>
      </c>
      <c r="D53" s="108">
        <v>1362</v>
      </c>
      <c r="E53" s="108">
        <v>0</v>
      </c>
      <c r="F53" s="108">
        <v>421</v>
      </c>
      <c r="G53" s="108">
        <v>0</v>
      </c>
      <c r="H53" s="108">
        <v>0</v>
      </c>
      <c r="I53" s="108">
        <v>5881</v>
      </c>
      <c r="J53" s="109">
        <f t="shared" si="0"/>
        <v>7664</v>
      </c>
      <c r="K53" s="109">
        <f t="shared" si="1"/>
        <v>170249</v>
      </c>
    </row>
    <row r="54" spans="1:11" x14ac:dyDescent="0.25">
      <c r="A54" s="106">
        <v>44</v>
      </c>
      <c r="B54" s="106" t="s">
        <v>229</v>
      </c>
      <c r="C54" s="108">
        <v>0</v>
      </c>
      <c r="D54" s="108">
        <v>814</v>
      </c>
      <c r="E54" s="108">
        <v>0</v>
      </c>
      <c r="F54" s="108">
        <v>568</v>
      </c>
      <c r="G54" s="108">
        <v>0</v>
      </c>
      <c r="H54" s="108">
        <v>0</v>
      </c>
      <c r="I54" s="108">
        <v>2022</v>
      </c>
      <c r="J54" s="109">
        <f t="shared" si="0"/>
        <v>3404</v>
      </c>
      <c r="K54" s="109">
        <f t="shared" si="1"/>
        <v>173653</v>
      </c>
    </row>
    <row r="55" spans="1:11" x14ac:dyDescent="0.25">
      <c r="A55" s="106">
        <v>45</v>
      </c>
      <c r="B55" s="106" t="s">
        <v>230</v>
      </c>
      <c r="C55" s="108">
        <v>0</v>
      </c>
      <c r="D55" s="108">
        <v>1222</v>
      </c>
      <c r="E55" s="108">
        <v>0</v>
      </c>
      <c r="F55" s="108">
        <v>0</v>
      </c>
      <c r="G55" s="108">
        <v>0</v>
      </c>
      <c r="H55" s="108">
        <v>0</v>
      </c>
      <c r="I55" s="108">
        <v>3664</v>
      </c>
      <c r="J55" s="109">
        <f t="shared" si="0"/>
        <v>4886</v>
      </c>
      <c r="K55" s="109">
        <f t="shared" si="1"/>
        <v>178539</v>
      </c>
    </row>
    <row r="56" spans="1:11" x14ac:dyDescent="0.25">
      <c r="A56" s="106">
        <v>46</v>
      </c>
      <c r="B56" s="106" t="s">
        <v>231</v>
      </c>
      <c r="C56" s="108">
        <v>0</v>
      </c>
      <c r="D56" s="108">
        <v>1421</v>
      </c>
      <c r="E56" s="108">
        <v>0</v>
      </c>
      <c r="F56" s="108">
        <v>0</v>
      </c>
      <c r="G56" s="108">
        <v>0</v>
      </c>
      <c r="H56" s="108">
        <v>0</v>
      </c>
      <c r="I56" s="108">
        <v>4890</v>
      </c>
      <c r="J56" s="109">
        <f t="shared" si="0"/>
        <v>6311</v>
      </c>
      <c r="K56" s="109">
        <f t="shared" si="1"/>
        <v>184850</v>
      </c>
    </row>
    <row r="57" spans="1:11" x14ac:dyDescent="0.25">
      <c r="A57" s="106">
        <v>47</v>
      </c>
      <c r="B57" s="106" t="s">
        <v>232</v>
      </c>
      <c r="C57" s="108">
        <v>0</v>
      </c>
      <c r="D57" s="108">
        <v>867</v>
      </c>
      <c r="E57" s="108">
        <v>0</v>
      </c>
      <c r="F57" s="108">
        <v>0</v>
      </c>
      <c r="G57" s="108">
        <v>0</v>
      </c>
      <c r="H57" s="108">
        <v>0</v>
      </c>
      <c r="I57" s="108">
        <v>3957</v>
      </c>
      <c r="J57" s="109">
        <f t="shared" si="0"/>
        <v>4824</v>
      </c>
      <c r="K57" s="109">
        <f t="shared" si="1"/>
        <v>189674</v>
      </c>
    </row>
    <row r="58" spans="1:11" x14ac:dyDescent="0.25">
      <c r="A58" s="106">
        <v>48</v>
      </c>
      <c r="B58" s="106" t="s">
        <v>233</v>
      </c>
      <c r="C58" s="108">
        <v>0</v>
      </c>
      <c r="D58" s="108">
        <v>1202</v>
      </c>
      <c r="E58" s="108">
        <v>0</v>
      </c>
      <c r="F58" s="108">
        <v>107</v>
      </c>
      <c r="G58" s="108">
        <v>0</v>
      </c>
      <c r="H58" s="108">
        <v>19995</v>
      </c>
      <c r="I58" s="108">
        <v>7825</v>
      </c>
      <c r="J58" s="109">
        <f t="shared" si="0"/>
        <v>29129</v>
      </c>
      <c r="K58" s="109">
        <f t="shared" si="1"/>
        <v>218803</v>
      </c>
    </row>
    <row r="59" spans="1:11" x14ac:dyDescent="0.25">
      <c r="A59" s="106">
        <v>49</v>
      </c>
      <c r="B59" s="106" t="s">
        <v>234</v>
      </c>
      <c r="C59" s="108">
        <v>0</v>
      </c>
      <c r="D59" s="108">
        <v>180</v>
      </c>
      <c r="E59" s="108">
        <v>0</v>
      </c>
      <c r="F59" s="108">
        <v>0</v>
      </c>
      <c r="G59" s="108">
        <v>0</v>
      </c>
      <c r="H59" s="108">
        <v>0</v>
      </c>
      <c r="I59" s="108">
        <v>6217</v>
      </c>
      <c r="J59" s="109">
        <f t="shared" si="0"/>
        <v>6397</v>
      </c>
      <c r="K59" s="109">
        <f t="shared" si="1"/>
        <v>225200</v>
      </c>
    </row>
    <row r="60" spans="1:11" x14ac:dyDescent="0.25">
      <c r="A60" s="106">
        <v>50</v>
      </c>
      <c r="B60" s="106" t="s">
        <v>235</v>
      </c>
      <c r="C60" s="108">
        <v>809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5273</v>
      </c>
      <c r="J60" s="109">
        <f t="shared" si="0"/>
        <v>6082</v>
      </c>
      <c r="K60" s="109">
        <f t="shared" si="1"/>
        <v>231282</v>
      </c>
    </row>
    <row r="61" spans="1:11" x14ac:dyDescent="0.25">
      <c r="A61" s="106">
        <v>51</v>
      </c>
      <c r="B61" s="106" t="s">
        <v>236</v>
      </c>
      <c r="C61" s="108">
        <v>600</v>
      </c>
      <c r="D61" s="108">
        <v>102</v>
      </c>
      <c r="E61" s="108">
        <v>0</v>
      </c>
      <c r="F61" s="108">
        <v>0</v>
      </c>
      <c r="G61" s="108">
        <v>0</v>
      </c>
      <c r="H61" s="108">
        <v>0</v>
      </c>
      <c r="I61" s="108">
        <v>2001</v>
      </c>
      <c r="J61" s="109">
        <f t="shared" si="0"/>
        <v>2703</v>
      </c>
      <c r="K61" s="109">
        <f t="shared" si="1"/>
        <v>233985</v>
      </c>
    </row>
    <row r="62" spans="1:11" x14ac:dyDescent="0.25">
      <c r="A62" s="106">
        <v>52</v>
      </c>
      <c r="B62" s="106" t="s">
        <v>237</v>
      </c>
      <c r="C62" s="108">
        <v>902</v>
      </c>
      <c r="D62" s="108">
        <v>116</v>
      </c>
      <c r="E62" s="108">
        <v>0</v>
      </c>
      <c r="F62" s="108">
        <v>0</v>
      </c>
      <c r="G62" s="108">
        <v>0</v>
      </c>
      <c r="H62" s="108">
        <v>0</v>
      </c>
      <c r="I62" s="108">
        <v>3772</v>
      </c>
      <c r="J62" s="109">
        <f t="shared" si="0"/>
        <v>4790</v>
      </c>
      <c r="K62" s="109">
        <f t="shared" si="1"/>
        <v>238775</v>
      </c>
    </row>
    <row r="63" spans="1:11" x14ac:dyDescent="0.25">
      <c r="A63" s="106" t="s">
        <v>178</v>
      </c>
      <c r="B63" s="106" t="s">
        <v>238</v>
      </c>
      <c r="C63" s="109">
        <f t="shared" ref="C63:I63" si="2">SUM(C11:C62)</f>
        <v>2311</v>
      </c>
      <c r="D63" s="109">
        <f t="shared" si="2"/>
        <v>38229</v>
      </c>
      <c r="E63" s="109">
        <f t="shared" si="2"/>
        <v>68</v>
      </c>
      <c r="F63" s="109">
        <f t="shared" si="2"/>
        <v>2478</v>
      </c>
      <c r="G63" s="109">
        <f t="shared" si="2"/>
        <v>1152</v>
      </c>
      <c r="H63" s="109">
        <f t="shared" si="2"/>
        <v>19995</v>
      </c>
      <c r="I63" s="109">
        <f t="shared" si="2"/>
        <v>174542</v>
      </c>
      <c r="J63" s="109">
        <f>SUM(J11:J62)</f>
        <v>238775</v>
      </c>
      <c r="K63" s="109"/>
    </row>
    <row r="65" spans="1:1" x14ac:dyDescent="0.25">
      <c r="A65" t="s">
        <v>251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54" customFormat="1" ht="15.6" x14ac:dyDescent="0.3">
      <c r="A1" s="53" t="s">
        <v>252</v>
      </c>
    </row>
    <row r="2" spans="1:8" s="54" customFormat="1" ht="15.6" x14ac:dyDescent="0.3">
      <c r="A2" s="53" t="s">
        <v>253</v>
      </c>
    </row>
    <row r="3" spans="1:8" s="54" customFormat="1" ht="15" x14ac:dyDescent="0.25"/>
    <row r="4" spans="1:8" s="54" customFormat="1" ht="15" x14ac:dyDescent="0.25">
      <c r="A4" s="98" t="s">
        <v>173</v>
      </c>
      <c r="B4" s="75" t="e">
        <f>#REF!</f>
        <v>#REF!</v>
      </c>
    </row>
    <row r="5" spans="1:8" s="54" customFormat="1" ht="15" x14ac:dyDescent="0.25">
      <c r="A5" s="98" t="s">
        <v>174</v>
      </c>
      <c r="B5" s="55" t="e">
        <f>B4</f>
        <v>#REF!</v>
      </c>
    </row>
    <row r="7" spans="1:8" ht="15.6" x14ac:dyDescent="0.3">
      <c r="A7" s="206" t="s">
        <v>254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255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178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179</v>
      </c>
      <c r="C10" s="107" t="s">
        <v>256</v>
      </c>
      <c r="D10" s="107" t="s">
        <v>247</v>
      </c>
      <c r="E10" s="107" t="s">
        <v>248</v>
      </c>
      <c r="F10" s="107" t="s">
        <v>250</v>
      </c>
      <c r="G10" s="107" t="s">
        <v>184</v>
      </c>
      <c r="H10" s="107" t="s">
        <v>184</v>
      </c>
    </row>
    <row r="11" spans="1:8" x14ac:dyDescent="0.25">
      <c r="A11" s="106">
        <v>1</v>
      </c>
      <c r="B11" s="106" t="s">
        <v>185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186</v>
      </c>
      <c r="C12" s="108">
        <v>0</v>
      </c>
      <c r="D12" s="108">
        <v>87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187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188</v>
      </c>
      <c r="C14" s="108">
        <v>0</v>
      </c>
      <c r="D14" s="108">
        <v>0</v>
      </c>
      <c r="E14" s="108">
        <v>1115</v>
      </c>
      <c r="F14" s="108">
        <v>912</v>
      </c>
      <c r="G14" s="109">
        <f t="shared" si="0"/>
        <v>2027</v>
      </c>
      <c r="H14" s="109">
        <f t="shared" si="1"/>
        <v>2114</v>
      </c>
    </row>
    <row r="15" spans="1:8" x14ac:dyDescent="0.25">
      <c r="A15" s="106">
        <v>5</v>
      </c>
      <c r="B15" s="106" t="s">
        <v>189</v>
      </c>
      <c r="C15" s="108">
        <v>0</v>
      </c>
      <c r="D15" s="108">
        <v>0</v>
      </c>
      <c r="E15" s="108">
        <v>290</v>
      </c>
      <c r="F15" s="108">
        <v>0</v>
      </c>
      <c r="G15" s="109">
        <f t="shared" si="0"/>
        <v>290</v>
      </c>
      <c r="H15" s="109">
        <f t="shared" si="1"/>
        <v>2404</v>
      </c>
    </row>
    <row r="16" spans="1:8" x14ac:dyDescent="0.25">
      <c r="A16" s="106">
        <v>6</v>
      </c>
      <c r="B16" s="106" t="s">
        <v>190</v>
      </c>
      <c r="C16" s="108">
        <v>0</v>
      </c>
      <c r="D16" s="108">
        <v>0</v>
      </c>
      <c r="E16" s="108">
        <v>426</v>
      </c>
      <c r="F16" s="108">
        <v>0</v>
      </c>
      <c r="G16" s="109">
        <f t="shared" si="0"/>
        <v>426</v>
      </c>
      <c r="H16" s="109">
        <f t="shared" si="1"/>
        <v>2830</v>
      </c>
    </row>
    <row r="17" spans="1:8" x14ac:dyDescent="0.25">
      <c r="A17" s="106">
        <v>7</v>
      </c>
      <c r="B17" s="106" t="s">
        <v>191</v>
      </c>
      <c r="C17" s="108">
        <v>0</v>
      </c>
      <c r="D17" s="108">
        <v>0</v>
      </c>
      <c r="E17" s="108">
        <v>71</v>
      </c>
      <c r="F17" s="108">
        <v>0</v>
      </c>
      <c r="G17" s="109">
        <f t="shared" si="0"/>
        <v>71</v>
      </c>
      <c r="H17" s="109">
        <f t="shared" si="1"/>
        <v>2901</v>
      </c>
    </row>
    <row r="18" spans="1:8" x14ac:dyDescent="0.25">
      <c r="A18" s="106">
        <v>8</v>
      </c>
      <c r="B18" s="106" t="s">
        <v>192</v>
      </c>
      <c r="C18" s="108">
        <v>0</v>
      </c>
      <c r="D18" s="108">
        <v>131</v>
      </c>
      <c r="E18" s="108">
        <v>1096</v>
      </c>
      <c r="F18" s="108">
        <v>0</v>
      </c>
      <c r="G18" s="109">
        <f t="shared" si="0"/>
        <v>1227</v>
      </c>
      <c r="H18" s="109">
        <f t="shared" si="1"/>
        <v>4128</v>
      </c>
    </row>
    <row r="19" spans="1:8" x14ac:dyDescent="0.25">
      <c r="A19" s="106">
        <v>9</v>
      </c>
      <c r="B19" s="106" t="s">
        <v>193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4128</v>
      </c>
    </row>
    <row r="20" spans="1:8" x14ac:dyDescent="0.25">
      <c r="A20" s="106">
        <v>10</v>
      </c>
      <c r="B20" s="106" t="s">
        <v>194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4128</v>
      </c>
    </row>
    <row r="21" spans="1:8" x14ac:dyDescent="0.25">
      <c r="A21" s="106">
        <v>11</v>
      </c>
      <c r="B21" s="106" t="s">
        <v>195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4128</v>
      </c>
    </row>
    <row r="22" spans="1:8" x14ac:dyDescent="0.25">
      <c r="A22" s="106">
        <v>12</v>
      </c>
      <c r="B22" s="106" t="s">
        <v>196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4128</v>
      </c>
    </row>
    <row r="23" spans="1:8" x14ac:dyDescent="0.25">
      <c r="A23" s="106">
        <v>13</v>
      </c>
      <c r="B23" s="106" t="s">
        <v>197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4128</v>
      </c>
    </row>
    <row r="24" spans="1:8" x14ac:dyDescent="0.25">
      <c r="A24" s="106">
        <v>14</v>
      </c>
      <c r="B24" s="106" t="s">
        <v>198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4128</v>
      </c>
    </row>
    <row r="25" spans="1:8" x14ac:dyDescent="0.25">
      <c r="A25" s="106">
        <v>15</v>
      </c>
      <c r="B25" s="106" t="s">
        <v>199</v>
      </c>
      <c r="C25" s="108">
        <v>0</v>
      </c>
      <c r="D25" s="108">
        <v>39</v>
      </c>
      <c r="E25" s="108">
        <v>0</v>
      </c>
      <c r="F25" s="108">
        <v>0</v>
      </c>
      <c r="G25" s="109">
        <f t="shared" si="0"/>
        <v>39</v>
      </c>
      <c r="H25" s="109">
        <f t="shared" si="1"/>
        <v>4167</v>
      </c>
    </row>
    <row r="26" spans="1:8" x14ac:dyDescent="0.25">
      <c r="A26" s="106">
        <v>16</v>
      </c>
      <c r="B26" s="106" t="s">
        <v>200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4167</v>
      </c>
    </row>
    <row r="27" spans="1:8" x14ac:dyDescent="0.25">
      <c r="A27" s="106">
        <v>17</v>
      </c>
      <c r="B27" s="106" t="s">
        <v>201</v>
      </c>
      <c r="C27" s="108">
        <v>0</v>
      </c>
      <c r="D27" s="108">
        <v>0</v>
      </c>
      <c r="E27" s="108">
        <v>97</v>
      </c>
      <c r="F27" s="108">
        <v>0</v>
      </c>
      <c r="G27" s="109">
        <f t="shared" si="0"/>
        <v>97</v>
      </c>
      <c r="H27" s="109">
        <f t="shared" si="1"/>
        <v>4264</v>
      </c>
    </row>
    <row r="28" spans="1:8" x14ac:dyDescent="0.25">
      <c r="A28" s="106">
        <v>18</v>
      </c>
      <c r="B28" s="106" t="s">
        <v>202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4264</v>
      </c>
    </row>
    <row r="29" spans="1:8" x14ac:dyDescent="0.25">
      <c r="A29" s="106">
        <v>19</v>
      </c>
      <c r="B29" s="106" t="s">
        <v>203</v>
      </c>
      <c r="C29" s="108">
        <v>0</v>
      </c>
      <c r="D29" s="108">
        <v>0</v>
      </c>
      <c r="E29" s="108">
        <v>0</v>
      </c>
      <c r="F29" s="108">
        <v>0</v>
      </c>
      <c r="G29" s="109">
        <f t="shared" si="0"/>
        <v>0</v>
      </c>
      <c r="H29" s="109">
        <f t="shared" si="1"/>
        <v>4264</v>
      </c>
    </row>
    <row r="30" spans="1:8" x14ac:dyDescent="0.25">
      <c r="A30" s="106">
        <v>20</v>
      </c>
      <c r="B30" s="106" t="s">
        <v>204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4264</v>
      </c>
    </row>
    <row r="31" spans="1:8" x14ac:dyDescent="0.25">
      <c r="A31" s="106">
        <v>21</v>
      </c>
      <c r="B31" s="106" t="s">
        <v>205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4264</v>
      </c>
    </row>
    <row r="32" spans="1:8" x14ac:dyDescent="0.25">
      <c r="A32" s="106">
        <v>22</v>
      </c>
      <c r="B32" s="106" t="s">
        <v>206</v>
      </c>
      <c r="C32" s="108">
        <v>0</v>
      </c>
      <c r="D32" s="108">
        <v>210</v>
      </c>
      <c r="E32" s="108">
        <v>0</v>
      </c>
      <c r="F32" s="108">
        <v>0</v>
      </c>
      <c r="G32" s="109">
        <f t="shared" si="0"/>
        <v>210</v>
      </c>
      <c r="H32" s="109">
        <f t="shared" si="1"/>
        <v>4474</v>
      </c>
    </row>
    <row r="33" spans="1:8" x14ac:dyDescent="0.25">
      <c r="A33" s="106">
        <v>23</v>
      </c>
      <c r="B33" s="106" t="s">
        <v>207</v>
      </c>
      <c r="C33" s="108">
        <v>0</v>
      </c>
      <c r="D33" s="108">
        <v>129</v>
      </c>
      <c r="E33" s="108">
        <v>0</v>
      </c>
      <c r="F33" s="108">
        <v>0</v>
      </c>
      <c r="G33" s="109">
        <f t="shared" si="0"/>
        <v>129</v>
      </c>
      <c r="H33" s="109">
        <f t="shared" si="1"/>
        <v>4603</v>
      </c>
    </row>
    <row r="34" spans="1:8" x14ac:dyDescent="0.25">
      <c r="A34" s="106">
        <v>24</v>
      </c>
      <c r="B34" s="106" t="s">
        <v>208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4603</v>
      </c>
    </row>
    <row r="35" spans="1:8" x14ac:dyDescent="0.25">
      <c r="A35" s="106">
        <v>25</v>
      </c>
      <c r="B35" s="106" t="s">
        <v>209</v>
      </c>
      <c r="C35" s="108">
        <v>0</v>
      </c>
      <c r="D35" s="108">
        <v>0</v>
      </c>
      <c r="E35" s="108">
        <v>0</v>
      </c>
      <c r="F35" s="108">
        <v>0</v>
      </c>
      <c r="G35" s="109">
        <f t="shared" si="0"/>
        <v>0</v>
      </c>
      <c r="H35" s="109">
        <f t="shared" si="1"/>
        <v>4603</v>
      </c>
    </row>
    <row r="36" spans="1:8" x14ac:dyDescent="0.25">
      <c r="A36" s="106">
        <v>26</v>
      </c>
      <c r="B36" s="106" t="s">
        <v>210</v>
      </c>
      <c r="C36" s="108">
        <v>0</v>
      </c>
      <c r="D36" s="108">
        <v>298</v>
      </c>
      <c r="E36" s="108">
        <v>0</v>
      </c>
      <c r="F36" s="108">
        <v>0</v>
      </c>
      <c r="G36" s="109">
        <f t="shared" si="0"/>
        <v>298</v>
      </c>
      <c r="H36" s="109">
        <f t="shared" si="1"/>
        <v>4901</v>
      </c>
    </row>
    <row r="37" spans="1:8" x14ac:dyDescent="0.25">
      <c r="A37" s="106">
        <v>27</v>
      </c>
      <c r="B37" s="106" t="s">
        <v>211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4901</v>
      </c>
    </row>
    <row r="38" spans="1:8" x14ac:dyDescent="0.25">
      <c r="A38" s="106">
        <v>28</v>
      </c>
      <c r="B38" s="106" t="s">
        <v>212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4901</v>
      </c>
    </row>
    <row r="39" spans="1:8" x14ac:dyDescent="0.25">
      <c r="A39" s="106">
        <v>29</v>
      </c>
      <c r="B39" s="106" t="s">
        <v>213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4901</v>
      </c>
    </row>
    <row r="40" spans="1:8" x14ac:dyDescent="0.25">
      <c r="A40" s="106">
        <v>30</v>
      </c>
      <c r="B40" s="106" t="s">
        <v>214</v>
      </c>
      <c r="C40" s="108">
        <v>724</v>
      </c>
      <c r="D40" s="108">
        <v>136</v>
      </c>
      <c r="E40" s="108">
        <v>0</v>
      </c>
      <c r="F40" s="108">
        <v>0</v>
      </c>
      <c r="G40" s="109">
        <f t="shared" si="0"/>
        <v>860</v>
      </c>
      <c r="H40" s="109">
        <f t="shared" si="1"/>
        <v>5761</v>
      </c>
    </row>
    <row r="41" spans="1:8" x14ac:dyDescent="0.25">
      <c r="A41" s="106">
        <v>31</v>
      </c>
      <c r="B41" s="106" t="s">
        <v>215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5761</v>
      </c>
    </row>
    <row r="42" spans="1:8" x14ac:dyDescent="0.25">
      <c r="A42" s="106">
        <v>32</v>
      </c>
      <c r="B42" s="106" t="s">
        <v>216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5761</v>
      </c>
    </row>
    <row r="43" spans="1:8" x14ac:dyDescent="0.25">
      <c r="A43" s="106">
        <v>33</v>
      </c>
      <c r="B43" s="106" t="s">
        <v>217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5761</v>
      </c>
    </row>
    <row r="44" spans="1:8" x14ac:dyDescent="0.25">
      <c r="A44" s="106">
        <v>34</v>
      </c>
      <c r="B44" s="106" t="s">
        <v>218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5761</v>
      </c>
    </row>
    <row r="45" spans="1:8" x14ac:dyDescent="0.25">
      <c r="A45" s="106" t="s">
        <v>219</v>
      </c>
      <c r="B45" s="106" t="s">
        <v>220</v>
      </c>
      <c r="C45" s="108">
        <v>0</v>
      </c>
      <c r="D45" s="108">
        <v>374</v>
      </c>
      <c r="E45" s="108">
        <v>0</v>
      </c>
      <c r="F45" s="108">
        <v>3000</v>
      </c>
      <c r="G45" s="109">
        <f t="shared" si="0"/>
        <v>3374</v>
      </c>
      <c r="H45" s="109">
        <f t="shared" si="1"/>
        <v>9135</v>
      </c>
    </row>
    <row r="46" spans="1:8" x14ac:dyDescent="0.25">
      <c r="A46" s="106">
        <v>36</v>
      </c>
      <c r="B46" s="106" t="s">
        <v>221</v>
      </c>
      <c r="C46" s="108">
        <v>0</v>
      </c>
      <c r="D46" s="108">
        <v>0</v>
      </c>
      <c r="E46" s="108">
        <v>0</v>
      </c>
      <c r="F46" s="108">
        <v>466</v>
      </c>
      <c r="G46" s="109">
        <f t="shared" si="0"/>
        <v>466</v>
      </c>
      <c r="H46" s="109">
        <f t="shared" si="1"/>
        <v>9601</v>
      </c>
    </row>
    <row r="47" spans="1:8" x14ac:dyDescent="0.25">
      <c r="A47" s="106">
        <v>37</v>
      </c>
      <c r="B47" s="106" t="s">
        <v>222</v>
      </c>
      <c r="C47" s="108">
        <v>0</v>
      </c>
      <c r="D47" s="108">
        <v>0</v>
      </c>
      <c r="E47" s="108">
        <v>0</v>
      </c>
      <c r="F47" s="108">
        <v>1212</v>
      </c>
      <c r="G47" s="109">
        <f t="shared" si="0"/>
        <v>1212</v>
      </c>
      <c r="H47" s="109">
        <f t="shared" si="1"/>
        <v>10813</v>
      </c>
    </row>
    <row r="48" spans="1:8" x14ac:dyDescent="0.25">
      <c r="A48" s="106">
        <v>38</v>
      </c>
      <c r="B48" s="106" t="s">
        <v>223</v>
      </c>
      <c r="C48" s="108">
        <v>0</v>
      </c>
      <c r="D48" s="108">
        <v>0</v>
      </c>
      <c r="E48" s="108">
        <v>0</v>
      </c>
      <c r="F48" s="108">
        <v>1327</v>
      </c>
      <c r="G48" s="109">
        <f t="shared" si="0"/>
        <v>1327</v>
      </c>
      <c r="H48" s="109">
        <f t="shared" si="1"/>
        <v>12140</v>
      </c>
    </row>
    <row r="49" spans="1:8" x14ac:dyDescent="0.25">
      <c r="A49" s="106">
        <v>39</v>
      </c>
      <c r="B49" s="106" t="s">
        <v>224</v>
      </c>
      <c r="C49" s="108">
        <v>0</v>
      </c>
      <c r="D49" s="108">
        <v>141</v>
      </c>
      <c r="E49" s="108">
        <v>0</v>
      </c>
      <c r="F49" s="108">
        <v>1081</v>
      </c>
      <c r="G49" s="109">
        <f t="shared" si="0"/>
        <v>1222</v>
      </c>
      <c r="H49" s="109">
        <f t="shared" si="1"/>
        <v>13362</v>
      </c>
    </row>
    <row r="50" spans="1:8" x14ac:dyDescent="0.25">
      <c r="A50" s="106">
        <v>40</v>
      </c>
      <c r="B50" s="106" t="s">
        <v>225</v>
      </c>
      <c r="C50" s="108">
        <v>0</v>
      </c>
      <c r="D50" s="108">
        <v>0</v>
      </c>
      <c r="E50" s="108">
        <v>0</v>
      </c>
      <c r="F50" s="108">
        <v>641</v>
      </c>
      <c r="G50" s="109">
        <f t="shared" si="0"/>
        <v>641</v>
      </c>
      <c r="H50" s="109">
        <f t="shared" si="1"/>
        <v>14003</v>
      </c>
    </row>
    <row r="51" spans="1:8" x14ac:dyDescent="0.25">
      <c r="A51" s="106">
        <v>41</v>
      </c>
      <c r="B51" s="106" t="s">
        <v>226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14003</v>
      </c>
    </row>
    <row r="52" spans="1:8" x14ac:dyDescent="0.25">
      <c r="A52" s="106">
        <v>42</v>
      </c>
      <c r="B52" s="106" t="s">
        <v>227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14003</v>
      </c>
    </row>
    <row r="53" spans="1:8" x14ac:dyDescent="0.25">
      <c r="A53" s="106">
        <v>43</v>
      </c>
      <c r="B53" s="106" t="s">
        <v>228</v>
      </c>
      <c r="C53" s="108">
        <v>0</v>
      </c>
      <c r="D53" s="108">
        <v>135</v>
      </c>
      <c r="E53" s="108">
        <v>0</v>
      </c>
      <c r="F53" s="108">
        <v>0</v>
      </c>
      <c r="G53" s="109">
        <f t="shared" si="0"/>
        <v>135</v>
      </c>
      <c r="H53" s="109">
        <f t="shared" si="1"/>
        <v>14138</v>
      </c>
    </row>
    <row r="54" spans="1:8" x14ac:dyDescent="0.25">
      <c r="A54" s="106">
        <v>44</v>
      </c>
      <c r="B54" s="106" t="s">
        <v>229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14138</v>
      </c>
    </row>
    <row r="55" spans="1:8" x14ac:dyDescent="0.25">
      <c r="A55" s="106">
        <v>45</v>
      </c>
      <c r="B55" s="106" t="s">
        <v>230</v>
      </c>
      <c r="C55" s="108">
        <v>0</v>
      </c>
      <c r="D55" s="108">
        <v>0</v>
      </c>
      <c r="E55" s="108">
        <v>0</v>
      </c>
      <c r="F55" s="108">
        <v>0</v>
      </c>
      <c r="G55" s="109">
        <f t="shared" si="0"/>
        <v>0</v>
      </c>
      <c r="H55" s="109">
        <f t="shared" si="1"/>
        <v>14138</v>
      </c>
    </row>
    <row r="56" spans="1:8" x14ac:dyDescent="0.25">
      <c r="A56" s="106">
        <v>46</v>
      </c>
      <c r="B56" s="106" t="s">
        <v>231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14138</v>
      </c>
    </row>
    <row r="57" spans="1:8" x14ac:dyDescent="0.25">
      <c r="A57" s="106">
        <v>47</v>
      </c>
      <c r="B57" s="106" t="s">
        <v>232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14138</v>
      </c>
    </row>
    <row r="58" spans="1:8" x14ac:dyDescent="0.25">
      <c r="A58" s="106">
        <v>48</v>
      </c>
      <c r="B58" s="106" t="s">
        <v>233</v>
      </c>
      <c r="C58" s="108">
        <v>0</v>
      </c>
      <c r="D58" s="108">
        <v>14</v>
      </c>
      <c r="E58" s="108">
        <v>429</v>
      </c>
      <c r="F58" s="108">
        <v>721</v>
      </c>
      <c r="G58" s="109">
        <f t="shared" si="0"/>
        <v>1164</v>
      </c>
      <c r="H58" s="109">
        <f t="shared" si="1"/>
        <v>15302</v>
      </c>
    </row>
    <row r="59" spans="1:8" x14ac:dyDescent="0.25">
      <c r="A59" s="106">
        <v>49</v>
      </c>
      <c r="B59" s="106" t="s">
        <v>234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15302</v>
      </c>
    </row>
    <row r="60" spans="1:8" x14ac:dyDescent="0.25">
      <c r="A60" s="106">
        <v>50</v>
      </c>
      <c r="B60" s="106" t="s">
        <v>235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15302</v>
      </c>
    </row>
    <row r="61" spans="1:8" x14ac:dyDescent="0.25">
      <c r="A61" s="106">
        <v>51</v>
      </c>
      <c r="B61" s="106" t="s">
        <v>236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15302</v>
      </c>
    </row>
    <row r="62" spans="1:8" x14ac:dyDescent="0.25">
      <c r="A62" s="106">
        <v>52</v>
      </c>
      <c r="B62" s="106" t="s">
        <v>237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15302</v>
      </c>
    </row>
    <row r="63" spans="1:8" x14ac:dyDescent="0.25">
      <c r="A63" s="106" t="s">
        <v>178</v>
      </c>
      <c r="B63" s="106" t="s">
        <v>238</v>
      </c>
      <c r="C63" s="109">
        <f>SUM(C11:C62)</f>
        <v>724</v>
      </c>
      <c r="D63" s="109">
        <f>SUM(D11:D62)</f>
        <v>1694</v>
      </c>
      <c r="E63" s="109">
        <f>SUM(E11:E62)</f>
        <v>3524</v>
      </c>
      <c r="F63" s="109">
        <f>SUM(F11:F62)</f>
        <v>9360</v>
      </c>
      <c r="G63" s="109">
        <f>SUM(G11:G62)</f>
        <v>15302</v>
      </c>
      <c r="H63" s="109"/>
    </row>
    <row r="65" spans="1:1" x14ac:dyDescent="0.25">
      <c r="A65" t="s">
        <v>251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4.xml><?xml version="1.0" encoding="utf-8"?>
<ds:datastoreItem xmlns:ds="http://schemas.openxmlformats.org/officeDocument/2006/customXml" ds:itemID="{A31BBC42-3F92-4595-9A45-D9E14C7B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Nampo</dc:creator>
  <cp:keywords/>
  <dc:description/>
  <cp:lastModifiedBy>Luzelle Botha</cp:lastModifiedBy>
  <cp:revision/>
  <dcterms:created xsi:type="dcterms:W3CDTF">2005-05-06T06:48:19Z</dcterms:created>
  <dcterms:modified xsi:type="dcterms:W3CDTF">2025-09-11T12:58:19Z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