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A195ABA9-2A4C-488A-8EA7-95C230FEDAFD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bestem.'!$A$1:$U$96</definedName>
    <definedName name="_xlnm.Print_Area" localSheetId="8">'Imports from - Invoere vanaf '!$A$1:$G$24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" i="9" l="1"/>
  <c r="P61" i="9"/>
  <c r="P60" i="9"/>
  <c r="T10" i="9" s="1"/>
  <c r="P59" i="9"/>
  <c r="P58" i="9"/>
  <c r="P57" i="9"/>
  <c r="P14" i="9"/>
  <c r="S8" i="9" s="1"/>
  <c r="P13" i="9"/>
  <c r="S10" i="9" s="1"/>
  <c r="P12" i="9"/>
  <c r="P11" i="9"/>
  <c r="P10" i="9"/>
  <c r="S9" i="9" s="1"/>
  <c r="P9" i="9"/>
  <c r="S11" i="9" s="1"/>
  <c r="B4" i="8"/>
  <c r="T8" i="9"/>
  <c r="T11" i="9"/>
  <c r="T9" i="9"/>
  <c r="P51" i="9"/>
  <c r="P5" i="9"/>
  <c r="P4" i="9"/>
  <c r="C4" i="9"/>
  <c r="P62" i="9"/>
  <c r="P85" i="9"/>
  <c r="P73" i="9"/>
  <c r="P94" i="9"/>
  <c r="A4" i="9"/>
  <c r="S18" i="9"/>
  <c r="T18" i="9" l="1"/>
  <c r="P53" i="9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90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6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O87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90" i="9"/>
  <c r="N61" i="9"/>
  <c r="N60" i="9"/>
  <c r="N59" i="9"/>
  <c r="N58" i="9"/>
  <c r="N14" i="9"/>
  <c r="N13" i="9"/>
  <c r="N12" i="9"/>
  <c r="N11" i="9"/>
  <c r="N10" i="9"/>
  <c r="N9" i="9"/>
  <c r="N87" i="9"/>
  <c r="N23" i="33" l="1"/>
  <c r="N24" i="33" s="1"/>
  <c r="O96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4" i="9"/>
  <c r="N63" i="9"/>
  <c r="N27" i="9"/>
  <c r="N62" i="9"/>
  <c r="N47" i="9"/>
  <c r="N33" i="33" l="1"/>
  <c r="V13" i="33"/>
  <c r="M14" i="33"/>
  <c r="N96" i="9"/>
  <c r="N34" i="33" l="1"/>
  <c r="N35" i="33" s="1"/>
  <c r="N36" i="33" s="1"/>
  <c r="V14" i="33"/>
  <c r="M15" i="33"/>
  <c r="M90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2" i="9"/>
  <c r="M35" i="9"/>
  <c r="M28" i="9"/>
  <c r="M27" i="9"/>
  <c r="M64" i="9"/>
  <c r="M88" i="9"/>
  <c r="M47" i="9"/>
  <c r="M46" i="9"/>
  <c r="M15" i="9"/>
  <c r="M63" i="9"/>
  <c r="M83" i="9"/>
  <c r="M65" i="9"/>
  <c r="M94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6" i="9"/>
  <c r="L94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2" i="8"/>
  <c r="L83" i="9"/>
  <c r="I63" i="9"/>
  <c r="K63" i="9"/>
  <c r="L88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90" i="9"/>
  <c r="L92" i="9"/>
  <c r="L89" i="9"/>
  <c r="K94" i="9"/>
  <c r="K90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90" i="9"/>
  <c r="J61" i="9"/>
  <c r="J60" i="9"/>
  <c r="J59" i="9"/>
  <c r="J58" i="9"/>
  <c r="J57" i="9"/>
  <c r="J73" i="9"/>
  <c r="J74" i="9"/>
  <c r="J65" i="9"/>
  <c r="I94" i="9"/>
  <c r="I92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4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90" i="9"/>
  <c r="H62" i="9"/>
  <c r="H70" i="9"/>
  <c r="H63" i="9"/>
  <c r="H27" i="9"/>
  <c r="H50" i="9"/>
  <c r="B8" i="8"/>
  <c r="B9" i="8"/>
  <c r="B10" i="8"/>
  <c r="B17" i="8"/>
  <c r="B18" i="8"/>
  <c r="B22" i="8"/>
  <c r="B20" i="8"/>
  <c r="B21" i="8"/>
  <c r="G90" i="9"/>
  <c r="G87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90" i="9"/>
  <c r="F95" i="9"/>
  <c r="F71" i="9"/>
  <c r="F72" i="9"/>
  <c r="D90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6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6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6" i="9"/>
  <c r="D53" i="9"/>
  <c r="I96" i="9"/>
  <c r="J96" i="9"/>
  <c r="I53" i="9"/>
  <c r="G96" i="9"/>
  <c r="J53" i="9"/>
  <c r="G53" i="9"/>
  <c r="H53" i="9"/>
  <c r="U33" i="9" s="1"/>
  <c r="U34" i="9" s="1"/>
  <c r="B97" i="9"/>
  <c r="D96" i="9"/>
  <c r="F53" i="9"/>
  <c r="F96" i="9"/>
  <c r="U53" i="9" s="1"/>
  <c r="U54" i="9" s="1"/>
  <c r="H96" i="9"/>
  <c r="T53" i="9" s="1"/>
  <c r="T54" i="9" s="1"/>
  <c r="T56" i="9" s="1"/>
  <c r="K96" i="9"/>
  <c r="C53" i="9"/>
  <c r="E53" i="9"/>
  <c r="E97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6" i="8"/>
  <c r="E15" i="8"/>
  <c r="E8" i="8"/>
  <c r="S17" i="9"/>
  <c r="S19" i="9" s="1"/>
  <c r="U67" i="9"/>
  <c r="U18" i="9"/>
  <c r="U35" i="9"/>
  <c r="T67" i="9"/>
  <c r="U55" i="9"/>
  <c r="S55" i="9"/>
  <c r="B24" i="8"/>
  <c r="E7" i="8"/>
  <c r="U8" i="9"/>
  <c r="T12" i="9"/>
  <c r="U11" i="9"/>
  <c r="T17" i="9"/>
  <c r="L96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7" i="9"/>
  <c r="K97" i="9"/>
  <c r="S65" i="9"/>
  <c r="S66" i="9" s="1"/>
  <c r="S68" i="9" s="1"/>
  <c r="I97" i="9"/>
  <c r="U36" i="9"/>
  <c r="C97" i="9"/>
  <c r="J97" i="9"/>
  <c r="G97" i="9"/>
  <c r="F97" i="9"/>
  <c r="U56" i="9"/>
  <c r="H97" i="9"/>
  <c r="U26" i="9" s="1"/>
  <c r="E9" i="8"/>
  <c r="U3" i="30"/>
  <c r="M5" i="30"/>
  <c r="U4" i="30"/>
  <c r="E17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<sst xmlns="http://schemas.openxmlformats.org/spreadsheetml/2006/main" count="740" uniqueCount="272">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</sst>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237-4D95-B20D-7C0DED10092B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30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96-454B-B071-B55D7535F8D2}"/>
                </c:ext>
              </c:extLst>
            </c:dLbl>
            <c:dLbl>
              <c:idx val="33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96-454B-B071-B55D7535F8D2}"/>
                </c:ext>
              </c:extLst>
            </c:dLbl>
            <c:dLbl>
              <c:idx val="37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C2-42BA-974F-66FD66375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bestem.'!$A$57:$A$95</c:f>
              <c:strCache>
                <c:ptCount val="39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Sri Lanka</c:v>
                </c:pt>
                <c:pt idx="29">
                  <c:v>Tanzania</c:v>
                </c:pt>
                <c:pt idx="30">
                  <c:v>Zambia</c:v>
                </c:pt>
                <c:pt idx="31">
                  <c:v>Seychelles</c:v>
                </c:pt>
                <c:pt idx="32">
                  <c:v>Spain</c:v>
                </c:pt>
                <c:pt idx="33">
                  <c:v>Zimbabwe</c:v>
                </c:pt>
                <c:pt idx="34">
                  <c:v>Iran</c:v>
                </c:pt>
                <c:pt idx="35">
                  <c:v>Italy</c:v>
                </c:pt>
                <c:pt idx="36">
                  <c:v>Indonesia</c:v>
                </c:pt>
                <c:pt idx="37">
                  <c:v>Vietnam</c:v>
                </c:pt>
                <c:pt idx="38">
                  <c:v>Central African Republic</c:v>
                </c:pt>
              </c:strCache>
            </c:strRef>
          </c:cat>
          <c:val>
            <c:numRef>
              <c:f>'Export destin -Uitvoer bestem.'!$P$57:$P$95</c:f>
              <c:numCache>
                <c:formatCode>_ * #\ ##0_ ;_ * \-#\ ##0_ ;_ * "-"??_ ;_ @_ </c:formatCode>
                <c:ptCount val="39"/>
                <c:pt idx="0">
                  <c:v>868</c:v>
                </c:pt>
                <c:pt idx="1">
                  <c:v>32952</c:v>
                </c:pt>
                <c:pt idx="2">
                  <c:v>34931</c:v>
                </c:pt>
                <c:pt idx="3">
                  <c:v>18622</c:v>
                </c:pt>
                <c:pt idx="4">
                  <c:v>21227</c:v>
                </c:pt>
                <c:pt idx="5">
                  <c:v>50255</c:v>
                </c:pt>
                <c:pt idx="16">
                  <c:v>47633</c:v>
                </c:pt>
                <c:pt idx="20">
                  <c:v>0</c:v>
                </c:pt>
                <c:pt idx="26">
                  <c:v>0</c:v>
                </c:pt>
                <c:pt idx="28">
                  <c:v>713</c:v>
                </c:pt>
                <c:pt idx="30">
                  <c:v>0</c:v>
                </c:pt>
                <c:pt idx="33">
                  <c:v>29358</c:v>
                </c:pt>
                <c:pt idx="37">
                  <c:v>109120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10787</c:v>
                </c:pt>
                <c:pt idx="1">
                  <c:v>28219</c:v>
                </c:pt>
                <c:pt idx="2">
                  <c:v>8137</c:v>
                </c:pt>
                <c:pt idx="3">
                  <c:v>33035</c:v>
                </c:pt>
                <c:pt idx="4">
                  <c:v>5858</c:v>
                </c:pt>
                <c:pt idx="5">
                  <c:v>56094</c:v>
                </c:pt>
                <c:pt idx="42">
                  <c:v>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'Weekliks-Weekly'!$T$9:$T$25</c:f>
              <c:numCache>
                <c:formatCode>_ * #\ ##0_ ;_ * \-#\ ##0_ ;_ * "-"??_ ;_ @_ </c:formatCode>
                <c:ptCount val="17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13678</c:v>
                </c:pt>
                <c:pt idx="6">
                  <c:v>51139</c:v>
                </c:pt>
                <c:pt idx="7">
                  <c:v>55080</c:v>
                </c:pt>
                <c:pt idx="8">
                  <c:v>66636</c:v>
                </c:pt>
                <c:pt idx="9">
                  <c:v>52555</c:v>
                </c:pt>
                <c:pt idx="10">
                  <c:v>13220</c:v>
                </c:pt>
                <c:pt idx="11">
                  <c:v>13991</c:v>
                </c:pt>
                <c:pt idx="12">
                  <c:v>67562</c:v>
                </c:pt>
                <c:pt idx="13">
                  <c:v>32793</c:v>
                </c:pt>
                <c:pt idx="14">
                  <c:v>30412</c:v>
                </c:pt>
                <c:pt idx="15">
                  <c:v>45039</c:v>
                </c:pt>
                <c:pt idx="16">
                  <c:v>14428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'Weekliks-Weekly'!$M$9:$M$25</c:f>
              <c:numCache>
                <c:formatCode>#,##0</c:formatCode>
                <c:ptCount val="17"/>
                <c:pt idx="0">
                  <c:v>2858</c:v>
                </c:pt>
                <c:pt idx="1">
                  <c:v>9460</c:v>
                </c:pt>
                <c:pt idx="2">
                  <c:v>18299</c:v>
                </c:pt>
                <c:pt idx="3">
                  <c:v>29473</c:v>
                </c:pt>
                <c:pt idx="4">
                  <c:v>44210</c:v>
                </c:pt>
                <c:pt idx="5">
                  <c:v>52292</c:v>
                </c:pt>
                <c:pt idx="6">
                  <c:v>63928</c:v>
                </c:pt>
                <c:pt idx="7">
                  <c:v>72677</c:v>
                </c:pt>
                <c:pt idx="8">
                  <c:v>88257</c:v>
                </c:pt>
                <c:pt idx="9">
                  <c:v>93320</c:v>
                </c:pt>
                <c:pt idx="10">
                  <c:v>97794</c:v>
                </c:pt>
                <c:pt idx="11">
                  <c:v>103922</c:v>
                </c:pt>
                <c:pt idx="12">
                  <c:v>114510</c:v>
                </c:pt>
                <c:pt idx="13">
                  <c:v>138716</c:v>
                </c:pt>
                <c:pt idx="14">
                  <c:v>159240</c:v>
                </c:pt>
                <c:pt idx="15">
                  <c:v>198637</c:v>
                </c:pt>
                <c:pt idx="16">
                  <c:v>208129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'Weekliks-Weekly'!$K$9:$K$25</c:f>
              <c:numCache>
                <c:formatCode>General</c:formatCode>
                <c:ptCount val="17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8082</c:v>
                </c:pt>
                <c:pt idx="6">
                  <c:v>11636</c:v>
                </c:pt>
                <c:pt idx="7">
                  <c:v>8749</c:v>
                </c:pt>
                <c:pt idx="8">
                  <c:v>15580</c:v>
                </c:pt>
                <c:pt idx="9">
                  <c:v>5063</c:v>
                </c:pt>
                <c:pt idx="10">
                  <c:v>4474</c:v>
                </c:pt>
                <c:pt idx="11">
                  <c:v>6128</c:v>
                </c:pt>
                <c:pt idx="12">
                  <c:v>10588</c:v>
                </c:pt>
                <c:pt idx="13">
                  <c:v>24206</c:v>
                </c:pt>
                <c:pt idx="14">
                  <c:v>20524</c:v>
                </c:pt>
                <c:pt idx="15">
                  <c:v>39397</c:v>
                </c:pt>
                <c:pt idx="16">
                  <c:v>9492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Weekly'!$V$9:$V$25</c:f>
              <c:numCache>
                <c:formatCode>_ * #\ ##0_ ;_ * \-#\ ##0_ ;_ * "-"??_ ;_ @_ </c:formatCode>
                <c:ptCount val="17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620136</c:v>
                </c:pt>
                <c:pt idx="15">
                  <c:v>673384</c:v>
                </c:pt>
                <c:pt idx="16">
                  <c:v>718232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'Weekliks-Weekly'!$N$9:$N$25</c:f>
              <c:numCache>
                <c:formatCode>#,##0</c:formatCode>
                <c:ptCount val="17"/>
                <c:pt idx="0">
                  <c:v>4741</c:v>
                </c:pt>
                <c:pt idx="1">
                  <c:v>12025</c:v>
                </c:pt>
                <c:pt idx="2">
                  <c:v>21917</c:v>
                </c:pt>
                <c:pt idx="3">
                  <c:v>34349</c:v>
                </c:pt>
                <c:pt idx="4">
                  <c:v>53065</c:v>
                </c:pt>
                <c:pt idx="5">
                  <c:v>58661</c:v>
                </c:pt>
                <c:pt idx="6">
                  <c:v>98164</c:v>
                </c:pt>
                <c:pt idx="7">
                  <c:v>144495</c:v>
                </c:pt>
                <c:pt idx="8">
                  <c:v>195551</c:v>
                </c:pt>
                <c:pt idx="9">
                  <c:v>243043</c:v>
                </c:pt>
                <c:pt idx="10">
                  <c:v>251789</c:v>
                </c:pt>
                <c:pt idx="11">
                  <c:v>259652</c:v>
                </c:pt>
                <c:pt idx="12">
                  <c:v>316626</c:v>
                </c:pt>
                <c:pt idx="13">
                  <c:v>325213</c:v>
                </c:pt>
                <c:pt idx="14">
                  <c:v>335101</c:v>
                </c:pt>
                <c:pt idx="15">
                  <c:v>340743</c:v>
                </c:pt>
                <c:pt idx="16">
                  <c:v>345679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Weekly'!$V$9:$V$25</c:f>
              <c:numCache>
                <c:formatCode>_ * #\ ##0_ ;_ * \-#\ ##0_ ;_ * "-"??_ ;_ @_ </c:formatCode>
                <c:ptCount val="17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620136</c:v>
                </c:pt>
                <c:pt idx="15">
                  <c:v>673384</c:v>
                </c:pt>
                <c:pt idx="16">
                  <c:v>718232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'Weekliks-Weekly'!$K$9:$K$25</c:f>
              <c:numCache>
                <c:formatCode>General</c:formatCode>
                <c:ptCount val="17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8082</c:v>
                </c:pt>
                <c:pt idx="6">
                  <c:v>11636</c:v>
                </c:pt>
                <c:pt idx="7">
                  <c:v>8749</c:v>
                </c:pt>
                <c:pt idx="8">
                  <c:v>15580</c:v>
                </c:pt>
                <c:pt idx="9">
                  <c:v>5063</c:v>
                </c:pt>
                <c:pt idx="10">
                  <c:v>4474</c:v>
                </c:pt>
                <c:pt idx="11">
                  <c:v>6128</c:v>
                </c:pt>
                <c:pt idx="12">
                  <c:v>10588</c:v>
                </c:pt>
                <c:pt idx="13">
                  <c:v>24206</c:v>
                </c:pt>
                <c:pt idx="14">
                  <c:v>20524</c:v>
                </c:pt>
                <c:pt idx="15">
                  <c:v>39397</c:v>
                </c:pt>
                <c:pt idx="16">
                  <c:v>9492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'Weekliks-Weekly'!$L$9:$L$25</c:f>
              <c:numCache>
                <c:formatCode>General</c:formatCode>
                <c:ptCount val="17"/>
                <c:pt idx="0">
                  <c:v>4741</c:v>
                </c:pt>
                <c:pt idx="1">
                  <c:v>7284</c:v>
                </c:pt>
                <c:pt idx="2">
                  <c:v>9892</c:v>
                </c:pt>
                <c:pt idx="3">
                  <c:v>12432</c:v>
                </c:pt>
                <c:pt idx="4">
                  <c:v>18716</c:v>
                </c:pt>
                <c:pt idx="5">
                  <c:v>5596</c:v>
                </c:pt>
                <c:pt idx="6">
                  <c:v>39503</c:v>
                </c:pt>
                <c:pt idx="7">
                  <c:v>46331</c:v>
                </c:pt>
                <c:pt idx="8">
                  <c:v>51056</c:v>
                </c:pt>
                <c:pt idx="9">
                  <c:v>47492</c:v>
                </c:pt>
                <c:pt idx="10">
                  <c:v>8746</c:v>
                </c:pt>
                <c:pt idx="11">
                  <c:v>7863</c:v>
                </c:pt>
                <c:pt idx="12">
                  <c:v>56974</c:v>
                </c:pt>
                <c:pt idx="13">
                  <c:v>8587</c:v>
                </c:pt>
                <c:pt idx="14">
                  <c:v>9888</c:v>
                </c:pt>
                <c:pt idx="15">
                  <c:v>5642</c:v>
                </c:pt>
                <c:pt idx="16">
                  <c:v>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'Weekliks-Weekly'!$T$9:$T$25</c:f>
              <c:numCache>
                <c:formatCode>_ * #\ ##0_ ;_ * \-#\ ##0_ ;_ * "-"??_ ;_ @_ </c:formatCode>
                <c:ptCount val="17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13678</c:v>
                </c:pt>
                <c:pt idx="6">
                  <c:v>51139</c:v>
                </c:pt>
                <c:pt idx="7">
                  <c:v>55080</c:v>
                </c:pt>
                <c:pt idx="8">
                  <c:v>66636</c:v>
                </c:pt>
                <c:pt idx="9">
                  <c:v>52555</c:v>
                </c:pt>
                <c:pt idx="10">
                  <c:v>13220</c:v>
                </c:pt>
                <c:pt idx="11">
                  <c:v>13991</c:v>
                </c:pt>
                <c:pt idx="12">
                  <c:v>67562</c:v>
                </c:pt>
                <c:pt idx="13">
                  <c:v>32793</c:v>
                </c:pt>
                <c:pt idx="14">
                  <c:v>30412</c:v>
                </c:pt>
                <c:pt idx="15">
                  <c:v>45039</c:v>
                </c:pt>
                <c:pt idx="16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  <c:max val="4587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2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3043422408684"/>
          <c:y val="0.17905761779777529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'Weekliks-Weekly'!$M$9:$M$25</c15:sqref>
                  </c15:fullRef>
                </c:ext>
              </c:extLst>
              <c:f>('Weekliks-Weekly'!$M$9,'Weekliks-Weekly'!$M$11:$M$25)</c:f>
              <c:numCache>
                <c:formatCode>#,##0</c:formatCode>
                <c:ptCount val="16"/>
                <c:pt idx="0">
                  <c:v>2858</c:v>
                </c:pt>
                <c:pt idx="1">
                  <c:v>18299</c:v>
                </c:pt>
                <c:pt idx="2">
                  <c:v>29473</c:v>
                </c:pt>
                <c:pt idx="3">
                  <c:v>44210</c:v>
                </c:pt>
                <c:pt idx="4">
                  <c:v>52292</c:v>
                </c:pt>
                <c:pt idx="5">
                  <c:v>63928</c:v>
                </c:pt>
                <c:pt idx="6">
                  <c:v>72677</c:v>
                </c:pt>
                <c:pt idx="7">
                  <c:v>88257</c:v>
                </c:pt>
                <c:pt idx="8">
                  <c:v>93320</c:v>
                </c:pt>
                <c:pt idx="9">
                  <c:v>97794</c:v>
                </c:pt>
                <c:pt idx="10">
                  <c:v>103922</c:v>
                </c:pt>
                <c:pt idx="11">
                  <c:v>114510</c:v>
                </c:pt>
                <c:pt idx="12">
                  <c:v>138716</c:v>
                </c:pt>
                <c:pt idx="13">
                  <c:v>159240</c:v>
                </c:pt>
                <c:pt idx="14">
                  <c:v>198637</c:v>
                </c:pt>
                <c:pt idx="15">
                  <c:v>208129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'Weekliks-Weekly'!$T$9:$T$25</c15:sqref>
                  </c15:fullRef>
                </c:ext>
              </c:extLst>
              <c:f>('Weekliks-Weekly'!$T$9,'Weekliks-Weekly'!$T$11:$T$25)</c:f>
              <c:numCache>
                <c:formatCode>_ * #\ ##0_ ;_ * \-#\ ##0_ ;_ * "-"??_ ;_ @_ </c:formatCode>
                <c:ptCount val="16"/>
                <c:pt idx="0">
                  <c:v>7599</c:v>
                </c:pt>
                <c:pt idx="1">
                  <c:v>18731</c:v>
                </c:pt>
                <c:pt idx="2">
                  <c:v>23606</c:v>
                </c:pt>
                <c:pt idx="3">
                  <c:v>33453</c:v>
                </c:pt>
                <c:pt idx="4">
                  <c:v>13678</c:v>
                </c:pt>
                <c:pt idx="5">
                  <c:v>51139</c:v>
                </c:pt>
                <c:pt idx="6">
                  <c:v>55080</c:v>
                </c:pt>
                <c:pt idx="7">
                  <c:v>66636</c:v>
                </c:pt>
                <c:pt idx="8">
                  <c:v>52555</c:v>
                </c:pt>
                <c:pt idx="9">
                  <c:v>13220</c:v>
                </c:pt>
                <c:pt idx="10">
                  <c:v>13991</c:v>
                </c:pt>
                <c:pt idx="11">
                  <c:v>67562</c:v>
                </c:pt>
                <c:pt idx="12">
                  <c:v>32793</c:v>
                </c:pt>
                <c:pt idx="13">
                  <c:v>30412</c:v>
                </c:pt>
                <c:pt idx="14">
                  <c:v>45039</c:v>
                </c:pt>
                <c:pt idx="1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006910565545267"/>
          <c:y val="0.65561701339056766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601236" cy="75557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topLeftCell="A82" zoomScale="141" zoomScaleNormal="141" workbookViewId="0">
      <selection activeCell="P96" sqref="P96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52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0</v>
      </c>
      <c r="B1" s="1"/>
      <c r="C1" s="1"/>
      <c r="D1" s="1"/>
      <c r="J1" s="162"/>
    </row>
    <row r="2" spans="1:21" x14ac:dyDescent="0.25">
      <c r="A2" s="1" t="s">
        <v>1</v>
      </c>
      <c r="B2" s="1"/>
      <c r="C2" s="1"/>
      <c r="D2" s="1"/>
      <c r="J2" s="162"/>
    </row>
    <row r="4" spans="1:21" ht="14.4" x14ac:dyDescent="0.3">
      <c r="A4" s="161">
        <f>'Weekliks-Weekly'!B9</f>
        <v>45779</v>
      </c>
      <c r="B4" s="162" t="s">
        <v>2</v>
      </c>
      <c r="C4" s="161">
        <f>P4</f>
        <v>45884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'Weekliks-Weekly'!B24</f>
        <v>45884</v>
      </c>
    </row>
    <row r="5" spans="1:21" ht="14.4" x14ac:dyDescent="0.3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52-16</f>
        <v>36</v>
      </c>
    </row>
    <row r="6" spans="1:21" ht="15" thickBot="1" x14ac:dyDescent="0.35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5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5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56094</v>
      </c>
      <c r="T8" s="19">
        <f>P61</f>
        <v>21227</v>
      </c>
      <c r="U8" s="26">
        <f>SUM(S8:T8)</f>
        <v>77321</v>
      </c>
    </row>
    <row r="9" spans="1:21" ht="14.4" x14ac:dyDescent="0.3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66+68+97+60+55+632+1157+1825+1261+1869+1836+1349+512</f>
        <v>10787</v>
      </c>
      <c r="R9" s="25" t="s">
        <v>27</v>
      </c>
      <c r="S9" s="19">
        <f>P10</f>
        <v>28219</v>
      </c>
      <c r="T9" s="19">
        <f>P57</f>
        <v>868</v>
      </c>
      <c r="U9" s="26">
        <f>SUM(S9:T9)</f>
        <v>29087</v>
      </c>
    </row>
    <row r="10" spans="1:21" ht="14.4" x14ac:dyDescent="0.3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461+1390+1262+1174+4135+2608+2017+223+7575+163+1566+1404+2146+1393+178+524</f>
        <v>28219</v>
      </c>
      <c r="R10" s="25" t="s">
        <v>28</v>
      </c>
      <c r="S10" s="19">
        <f>P13</f>
        <v>5858</v>
      </c>
      <c r="T10" s="19">
        <f>P60</f>
        <v>18622</v>
      </c>
      <c r="U10" s="26">
        <f>SUM(S10:T10)</f>
        <v>24480</v>
      </c>
    </row>
    <row r="11" spans="1:21" ht="14.4" x14ac:dyDescent="0.3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767+917+770+354+942+684+504+547+108+37+205+107+823+540+510+322</f>
        <v>8137</v>
      </c>
      <c r="R11" s="25" t="s">
        <v>30</v>
      </c>
      <c r="S11" s="19">
        <f>P9</f>
        <v>10787</v>
      </c>
      <c r="T11" s="19">
        <f>P59</f>
        <v>34931</v>
      </c>
      <c r="U11" s="26">
        <f>SUM(S11:T11)</f>
        <v>45718</v>
      </c>
    </row>
    <row r="12" spans="1:21" ht="15.6" customHeight="1" thickBot="1" x14ac:dyDescent="0.35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422+1465+210+2344+4093+3210+1633+7802+5772+2979+2478+627</f>
        <v>33035</v>
      </c>
      <c r="R12" s="27" t="s">
        <v>32</v>
      </c>
      <c r="S12" s="28">
        <f>SUM(S8:S11)</f>
        <v>100958</v>
      </c>
      <c r="T12" s="28">
        <f>SUM(T8:T11)</f>
        <v>75648</v>
      </c>
      <c r="U12" s="29">
        <f>SUM(S12:T12)</f>
        <v>176606</v>
      </c>
    </row>
    <row r="13" spans="1:21" ht="14.4" x14ac:dyDescent="0.3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2858+968+70+108+233+24+707+705+185</f>
        <v>5858</v>
      </c>
      <c r="R13" s="1"/>
      <c r="S13" s="33"/>
      <c r="T13" s="33"/>
      <c r="U13" s="33"/>
    </row>
    <row r="14" spans="1:21" ht="14.4" x14ac:dyDescent="0.3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5340+3123+3290+4293+3916+2626+1898+4293+5445+3824+5498+3113+2472+1576+2629+2070+688</f>
        <v>56094</v>
      </c>
      <c r="R14" s="1"/>
      <c r="S14" s="33"/>
      <c r="T14" s="33"/>
      <c r="U14" s="33"/>
    </row>
    <row r="15" spans="1:21" ht="15" thickBot="1" x14ac:dyDescent="0.35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4.4" x14ac:dyDescent="0.3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4.4" x14ac:dyDescent="0.3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L57+L58+L59+L60+L61+L65+L90+L87</f>
        <v>214392</v>
      </c>
      <c r="U17" s="26">
        <f>SUM(S17:T17)</f>
        <v>747344</v>
      </c>
      <c r="W17" s="2"/>
      <c r="X17" s="2"/>
    </row>
    <row r="18" spans="1:24" ht="14.4" x14ac:dyDescent="0.3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P62+P63+P73+P89+P92+P94</f>
        <v>207008</v>
      </c>
      <c r="U18" s="26">
        <f>SUM(S18:T18)</f>
        <v>207008</v>
      </c>
    </row>
    <row r="19" spans="1:24" ht="15" thickBot="1" x14ac:dyDescent="0.35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421400</v>
      </c>
      <c r="U19" s="29">
        <f>SUM(S19:T19)</f>
        <v>954352</v>
      </c>
    </row>
    <row r="20" spans="1:24" ht="14.4" x14ac:dyDescent="0.3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4.4" x14ac:dyDescent="0.3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4.4" x14ac:dyDescent="0.3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4.4" x14ac:dyDescent="0.3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" thickBot="1" x14ac:dyDescent="0.35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4.4" x14ac:dyDescent="0.3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4.4" x14ac:dyDescent="0.3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13008.0625</v>
      </c>
      <c r="T26" s="103">
        <f>P96/(52-S35)</f>
        <v>21604.9375</v>
      </c>
      <c r="U26" s="86">
        <f>H97/(52-S35)</f>
        <v>140417.125</v>
      </c>
    </row>
    <row r="27" spans="1:24" ht="15" thickBot="1" x14ac:dyDescent="0.35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676419.25</v>
      </c>
      <c r="T27" s="67">
        <f>T26*52</f>
        <v>1123456.75</v>
      </c>
      <c r="U27" s="68">
        <f>S27+T27</f>
        <v>1799876</v>
      </c>
    </row>
    <row r="28" spans="1:24" ht="14.4" x14ac:dyDescent="0.3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4.4" x14ac:dyDescent="0.3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" thickBot="1" x14ac:dyDescent="0.35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4.4" x14ac:dyDescent="0.3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4.4" x14ac:dyDescent="0.3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4.4" x14ac:dyDescent="0.3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208129</v>
      </c>
      <c r="T33" s="18">
        <f>P53</f>
        <v>208129</v>
      </c>
      <c r="U33" s="31">
        <f>H53</f>
        <v>769973</v>
      </c>
    </row>
    <row r="34" spans="1:21" ht="14.4" x14ac:dyDescent="0.3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1791871</v>
      </c>
      <c r="T34" s="18">
        <f>T32-T33</f>
        <v>2441871</v>
      </c>
      <c r="U34" s="31">
        <f>U32-U33</f>
        <v>1930027</v>
      </c>
    </row>
    <row r="35" spans="1:21" ht="14.4" x14ac:dyDescent="0.3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36</v>
      </c>
      <c r="T35" s="18">
        <f>$S$35</f>
        <v>36</v>
      </c>
      <c r="U35" s="31">
        <f>$S$35</f>
        <v>36</v>
      </c>
    </row>
    <row r="36" spans="1:21" ht="15" thickBot="1" x14ac:dyDescent="0.35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49774.194444444445</v>
      </c>
      <c r="T36" s="22">
        <f>T34/T35</f>
        <v>67829.75</v>
      </c>
      <c r="U36" s="23">
        <f>U34/U35</f>
        <v>53611.861111111109</v>
      </c>
    </row>
    <row r="37" spans="1:21" ht="14.4" x14ac:dyDescent="0.3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4.4" x14ac:dyDescent="0.3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4.4" x14ac:dyDescent="0.3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4.4" x14ac:dyDescent="0.3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4.4" x14ac:dyDescent="0.3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4.4" x14ac:dyDescent="0.3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4.4" x14ac:dyDescent="0.3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4.4" x14ac:dyDescent="0.3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4.4" x14ac:dyDescent="0.3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4.4" x14ac:dyDescent="0.3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4.4" x14ac:dyDescent="0.3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4.4" x14ac:dyDescent="0.3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4.4" x14ac:dyDescent="0.3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" thickBot="1" x14ac:dyDescent="0.35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4.4" x14ac:dyDescent="0.3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>
        <f>32999+15134+17866</f>
        <v>65999</v>
      </c>
      <c r="R51" s="30"/>
      <c r="S51" s="20" t="s">
        <v>59</v>
      </c>
      <c r="T51" s="20" t="s">
        <v>89</v>
      </c>
      <c r="U51" s="21" t="s">
        <v>61</v>
      </c>
    </row>
    <row r="52" spans="1:21" ht="14.4" x14ac:dyDescent="0.3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4.4" x14ac:dyDescent="0.3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208129</v>
      </c>
      <c r="R53" s="160" t="s">
        <v>93</v>
      </c>
      <c r="S53" s="18">
        <f>H96</f>
        <v>1476701</v>
      </c>
      <c r="T53" s="18">
        <f>H96</f>
        <v>1476701</v>
      </c>
      <c r="U53" s="31">
        <f>F96</f>
        <v>210799</v>
      </c>
    </row>
    <row r="54" spans="1:21" ht="14.4" x14ac:dyDescent="0.3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4.4" x14ac:dyDescent="0.3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36</v>
      </c>
      <c r="T55" s="18">
        <f>$S$35</f>
        <v>36</v>
      </c>
      <c r="U55" s="31">
        <f>$S$35</f>
        <v>36</v>
      </c>
    </row>
    <row r="56" spans="1:21" ht="13.8" thickBot="1" x14ac:dyDescent="0.3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-2130.5833333333335</v>
      </c>
      <c r="T56" s="22">
        <f>T54/T55</f>
        <v>3424.9722222222222</v>
      </c>
      <c r="U56" s="23">
        <f>U54/U55</f>
        <v>44144.472222222219</v>
      </c>
    </row>
    <row r="57" spans="1:21" ht="14.4" x14ac:dyDescent="0.3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35+104+423+3+3+6+79+8+207</f>
        <v>868</v>
      </c>
      <c r="S57" s="42"/>
      <c r="T57" s="33"/>
      <c r="U57" s="42"/>
    </row>
    <row r="58" spans="1:21" ht="14.4" x14ac:dyDescent="0.3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899+1322+3514+2555+3267+3251+3235+2286+1315+1758+957+1297+3057+1384+1430+1046+379</f>
        <v>32952</v>
      </c>
      <c r="R58" s="65" t="s">
        <v>74</v>
      </c>
      <c r="S58" s="42"/>
      <c r="T58" s="33"/>
      <c r="U58" s="42"/>
    </row>
    <row r="59" spans="1:21" ht="14.4" x14ac:dyDescent="0.3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2048+2077+3095+1829+1565+2201+2372+1752+1895+2018+2213+2492+957+2010+2633+1758+2016</f>
        <v>34931</v>
      </c>
      <c r="R59" s="65" t="s">
        <v>77</v>
      </c>
    </row>
    <row r="60" spans="1:21" ht="14.4" x14ac:dyDescent="0.3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983+714+1027+2167+535+1262+1046+887+1340+1977+1622+982+1557+1408+1010+75+30</f>
        <v>18622</v>
      </c>
    </row>
    <row r="61" spans="1:21" ht="14.4" x14ac:dyDescent="0.3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1006+1494+2252+1898+1177+1045+2093+1121+2628+323+1291+678+2293+1070+308+522+28</f>
        <v>21227</v>
      </c>
    </row>
    <row r="62" spans="1:21" ht="15" thickBot="1" x14ac:dyDescent="0.35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>
        <f>50255</f>
        <v>50255</v>
      </c>
      <c r="R62" s="1" t="s">
        <v>97</v>
      </c>
    </row>
    <row r="63" spans="1:21" ht="14.4" x14ac:dyDescent="0.3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4.4" x14ac:dyDescent="0.3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4.4" x14ac:dyDescent="0.3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H96+H53</f>
        <v>2246674</v>
      </c>
      <c r="T65" s="18">
        <f>S65</f>
        <v>2246674</v>
      </c>
      <c r="U65" s="31">
        <f>T65</f>
        <v>2246674</v>
      </c>
    </row>
    <row r="66" spans="1:23" ht="14.4" x14ac:dyDescent="0.3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4.4" x14ac:dyDescent="0.3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36</v>
      </c>
      <c r="T67" s="18">
        <f>$S$35</f>
        <v>36</v>
      </c>
      <c r="U67" s="31">
        <f>$S$35</f>
        <v>36</v>
      </c>
    </row>
    <row r="68" spans="1:23" ht="15" thickBot="1" x14ac:dyDescent="0.35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32036.833333333332</v>
      </c>
      <c r="T68" s="22">
        <f>T66/T67</f>
        <v>55647.944444444445</v>
      </c>
      <c r="U68" s="23">
        <f>U66/U67</f>
        <v>62592.388888888891</v>
      </c>
    </row>
    <row r="69" spans="1:23" ht="14.4" x14ac:dyDescent="0.3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4.4" x14ac:dyDescent="0.3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4.4" x14ac:dyDescent="0.3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4.4" x14ac:dyDescent="0.3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4.4" x14ac:dyDescent="0.3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30743+16890</f>
        <v>47633</v>
      </c>
      <c r="W73" s="1"/>
    </row>
    <row r="74" spans="1:23" ht="14.4" x14ac:dyDescent="0.3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4.4" x14ac:dyDescent="0.3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4.4" x14ac:dyDescent="0.3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4.4" x14ac:dyDescent="0.3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4.4" x14ac:dyDescent="0.3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4.4" x14ac:dyDescent="0.3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4.4" x14ac:dyDescent="0.3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4.4" x14ac:dyDescent="0.3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4.4" x14ac:dyDescent="0.3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4.4" x14ac:dyDescent="0.3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4.4" x14ac:dyDescent="0.3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4.4" x14ac:dyDescent="0.3">
      <c r="A85" s="145" t="s">
        <v>271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>
        <f>713</f>
        <v>713</v>
      </c>
    </row>
    <row r="86" spans="1:30" ht="14.4" x14ac:dyDescent="0.3">
      <c r="A86" s="145" t="s">
        <v>80</v>
      </c>
      <c r="B86" s="145"/>
      <c r="C86" s="51"/>
      <c r="D86" s="78"/>
      <c r="E86" s="78"/>
      <c r="F86" s="101"/>
      <c r="G86" s="114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30" ht="14.4" x14ac:dyDescent="0.3">
      <c r="A87" s="34" t="s">
        <v>90</v>
      </c>
      <c r="B87" s="34"/>
      <c r="C87" s="51"/>
      <c r="D87" s="78"/>
      <c r="E87" s="78"/>
      <c r="F87" s="101"/>
      <c r="G87" s="114">
        <f>132</f>
        <v>132</v>
      </c>
      <c r="H87" s="101"/>
      <c r="I87" s="101"/>
      <c r="J87" s="101"/>
      <c r="K87" s="101"/>
      <c r="L87" s="101"/>
      <c r="M87" s="101"/>
      <c r="N87" s="101">
        <f>72</f>
        <v>72</v>
      </c>
      <c r="O87" s="101">
        <f>553+315+417+71</f>
        <v>1356</v>
      </c>
      <c r="P87" s="100">
        <v>0</v>
      </c>
    </row>
    <row r="88" spans="1:30" ht="14.4" x14ac:dyDescent="0.3">
      <c r="A88" s="34" t="s">
        <v>114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335+434</f>
        <v>769</v>
      </c>
      <c r="M88" s="101">
        <f>139+208</f>
        <v>347</v>
      </c>
      <c r="N88" s="101"/>
      <c r="O88" s="101"/>
      <c r="P88" s="100"/>
    </row>
    <row r="89" spans="1:30" ht="14.4" x14ac:dyDescent="0.3">
      <c r="A89" s="34" t="s">
        <v>78</v>
      </c>
      <c r="B89" s="34"/>
      <c r="C89" s="51"/>
      <c r="D89" s="78"/>
      <c r="E89" s="78"/>
      <c r="F89" s="101"/>
      <c r="G89" s="114"/>
      <c r="H89" s="101"/>
      <c r="I89" s="101"/>
      <c r="J89" s="101"/>
      <c r="K89" s="101"/>
      <c r="L89" s="101">
        <f>53610+27400+22400</f>
        <v>103410</v>
      </c>
      <c r="M89" s="101">
        <v>0</v>
      </c>
      <c r="N89" s="101"/>
      <c r="O89" s="101"/>
      <c r="P89" s="100"/>
    </row>
    <row r="90" spans="1:30" ht="14.4" x14ac:dyDescent="0.3">
      <c r="A90" s="34" t="s">
        <v>31</v>
      </c>
      <c r="B90" s="34">
        <v>263</v>
      </c>
      <c r="C90" s="51"/>
      <c r="D90" s="78">
        <f>638+633+506+319+1025+397+1008+1075+488+2034+1910+904+1675+1248+531+66+1085+775+587+1489+1543+1213+968+359+174+70+1035+366+951+598+365+69+318+784</f>
        <v>27206</v>
      </c>
      <c r="E90" s="78">
        <v>3617</v>
      </c>
      <c r="F90" s="101">
        <f>33+67+62+35</f>
        <v>197</v>
      </c>
      <c r="G90" s="114">
        <f>394+179+598+197+491+1740+2194+3167+2177+2486+2619+3109+3240+2734+1713+8992+4692+4785+4210+4018+5162+2556+2616+2436+3011+1426+1349+1233+888+249+922+765+670+37+738+355+362+572+1783+1593+332+101+748+5711+244</f>
        <v>89594</v>
      </c>
      <c r="H90" s="101">
        <f>889</f>
        <v>889</v>
      </c>
      <c r="I90" s="101"/>
      <c r="J90" s="101">
        <f>1226+1351+1901+2089+5750+5079+4513+4378+5445+3977+2687+1448+2015+2522+2337+1820+209+101+1162+1494+1240+925+1281+1230+1501+582+398+68+1137+934+1763+1731+2438+1052+1435+808+705</f>
        <v>70732</v>
      </c>
      <c r="K90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90" s="101">
        <f>27</f>
        <v>27</v>
      </c>
      <c r="M90" s="101">
        <f>935+202+264+535+770+472+647+1167+809+5+1067+751+376+781+104+64+1015+64</f>
        <v>10028</v>
      </c>
      <c r="N90" s="101">
        <f>7372+7523+7060+5682+4559+6281+7086+7707+6670+8583+7498+7244+7269+9454+5528+8844+4999+1876+2075+5583+8694+6933+7638+5447+4472+4085+5197+4487+6908+2942+2144+15+141+493+495+478</f>
        <v>189462</v>
      </c>
      <c r="O90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90" s="100">
        <f>34+175+104+1+37+416+1363+141+10060+6552+4304+3883+2288</f>
        <v>29358</v>
      </c>
    </row>
    <row r="91" spans="1:30" ht="14.4" x14ac:dyDescent="0.3">
      <c r="A91" s="145" t="s">
        <v>55</v>
      </c>
      <c r="B91" s="145">
        <v>40800</v>
      </c>
      <c r="C91" s="51"/>
      <c r="D91" s="78"/>
      <c r="E91" s="78"/>
      <c r="F91" s="101"/>
      <c r="G91" s="114"/>
      <c r="H91" s="101"/>
      <c r="I91" s="101"/>
      <c r="J91" s="101"/>
      <c r="K91" s="101"/>
      <c r="L91" s="101"/>
      <c r="M91" s="101"/>
      <c r="N91" s="101"/>
      <c r="O91" s="101"/>
      <c r="P91" s="100"/>
    </row>
    <row r="92" spans="1:30" ht="14.4" x14ac:dyDescent="0.3">
      <c r="A92" s="166" t="s">
        <v>68</v>
      </c>
      <c r="B92" s="169"/>
      <c r="C92" s="50"/>
      <c r="D92" s="78"/>
      <c r="E92" s="78">
        <v>50078</v>
      </c>
      <c r="F92" s="101"/>
      <c r="G92" s="114"/>
      <c r="H92" s="101"/>
      <c r="I92" s="101">
        <f>9300+39000+40093+11057</f>
        <v>99450</v>
      </c>
      <c r="J92" s="101"/>
      <c r="K92" s="101"/>
      <c r="L92" s="101">
        <f>27150</f>
        <v>27150</v>
      </c>
      <c r="M92" s="101">
        <f>2231+807+983</f>
        <v>4021</v>
      </c>
      <c r="N92" s="101"/>
      <c r="O92" s="101"/>
      <c r="P92" s="100"/>
    </row>
    <row r="93" spans="1:30" ht="14.4" x14ac:dyDescent="0.3">
      <c r="A93" s="166" t="s">
        <v>115</v>
      </c>
      <c r="B93" s="169"/>
      <c r="C93" s="50"/>
      <c r="D93" s="78"/>
      <c r="E93" s="78"/>
      <c r="F93" s="101"/>
      <c r="G93" s="114"/>
      <c r="H93" s="101"/>
      <c r="I93" s="101"/>
      <c r="J93" s="101"/>
      <c r="K93" s="101"/>
      <c r="L93" s="101"/>
      <c r="M93" s="101"/>
      <c r="N93" s="101"/>
      <c r="O93" s="101"/>
      <c r="P93" s="100"/>
    </row>
    <row r="94" spans="1:30" ht="14.4" x14ac:dyDescent="0.3">
      <c r="A94" s="166" t="s">
        <v>116</v>
      </c>
      <c r="B94" s="169"/>
      <c r="C94" s="50"/>
      <c r="D94" s="78"/>
      <c r="E94" s="78"/>
      <c r="F94" s="101"/>
      <c r="G94" s="114"/>
      <c r="H94" s="101">
        <f>54570</f>
        <v>54570</v>
      </c>
      <c r="I94" s="101">
        <f>1200+53400+53520+780+36867+17733+7523+51287+47633+25012+28280+11056+85566+112887+63203+40701+54600</f>
        <v>691248</v>
      </c>
      <c r="J94" s="101"/>
      <c r="K94" s="101">
        <f>23529+27871+10303+44365</f>
        <v>106068</v>
      </c>
      <c r="L94" s="101">
        <f>59950+23037+29065+29828+22672+31844+20656+58957+47161+28536+57458+22946</f>
        <v>432110</v>
      </c>
      <c r="M94" s="101">
        <f>52718+41485+12315+54610+52320+29271+25009+25847+15953+10803+4830+27528</f>
        <v>352689</v>
      </c>
      <c r="N94" s="101">
        <f>52775+54560+21280+6038+44677</f>
        <v>179330</v>
      </c>
      <c r="O94" s="101"/>
      <c r="P94" s="100">
        <f>41445+12675+22946+32054</f>
        <v>109120</v>
      </c>
    </row>
    <row r="95" spans="1:30" ht="14.4" x14ac:dyDescent="0.3">
      <c r="A95" s="166" t="s">
        <v>117</v>
      </c>
      <c r="B95" s="169"/>
      <c r="C95" s="50"/>
      <c r="D95" s="78"/>
      <c r="E95" s="78"/>
      <c r="F95" s="101">
        <f>897</f>
        <v>897</v>
      </c>
      <c r="G95" s="114"/>
      <c r="H95" s="101"/>
      <c r="I95" s="101"/>
      <c r="J95" s="101"/>
      <c r="K95" s="101"/>
      <c r="L95" s="101"/>
      <c r="M95" s="101"/>
      <c r="N95" s="101"/>
      <c r="O95" s="101"/>
      <c r="P95" s="100"/>
    </row>
    <row r="96" spans="1:30" ht="14.4" x14ac:dyDescent="0.3">
      <c r="A96" s="35" t="s">
        <v>118</v>
      </c>
      <c r="B96" s="70">
        <f>SUM(B57:B95)</f>
        <v>711250</v>
      </c>
      <c r="C96" s="77">
        <f>SUM(C57:C77)</f>
        <v>392095</v>
      </c>
      <c r="D96" s="83">
        <f t="shared" ref="D96:O96" si="3">SUM(D57:D95)</f>
        <v>1123009</v>
      </c>
      <c r="E96" s="83">
        <f t="shared" si="3"/>
        <v>1403269</v>
      </c>
      <c r="F96" s="101">
        <f t="shared" si="3"/>
        <v>210799</v>
      </c>
      <c r="G96" s="114">
        <f t="shared" si="3"/>
        <v>289140</v>
      </c>
      <c r="H96" s="101">
        <f t="shared" si="3"/>
        <v>1476701</v>
      </c>
      <c r="I96" s="101">
        <f t="shared" si="3"/>
        <v>1474333</v>
      </c>
      <c r="J96" s="101">
        <f t="shared" si="3"/>
        <v>402373</v>
      </c>
      <c r="K96" s="101">
        <f t="shared" si="3"/>
        <v>1424093</v>
      </c>
      <c r="L96" s="101">
        <f t="shared" si="3"/>
        <v>2878743</v>
      </c>
      <c r="M96" s="101">
        <f t="shared" si="3"/>
        <v>2152746</v>
      </c>
      <c r="N96" s="101">
        <f t="shared" si="3"/>
        <v>2167128</v>
      </c>
      <c r="O96" s="101">
        <f t="shared" si="3"/>
        <v>770377</v>
      </c>
      <c r="P96" s="100">
        <f t="shared" ref="P96" si="4">SUM(P57:P95)</f>
        <v>345679</v>
      </c>
      <c r="R96" s="17"/>
      <c r="Z96" s="162"/>
      <c r="AA96" s="162"/>
      <c r="AB96" s="162"/>
      <c r="AC96" s="162"/>
      <c r="AD96" s="162"/>
    </row>
    <row r="97" spans="1:16" ht="14.4" x14ac:dyDescent="0.3">
      <c r="A97" s="35" t="s">
        <v>119</v>
      </c>
      <c r="B97" s="70">
        <f t="shared" ref="B97:K97" si="5">B53+B96</f>
        <v>2442493</v>
      </c>
      <c r="C97" s="77">
        <f t="shared" si="5"/>
        <v>1787248</v>
      </c>
      <c r="D97" s="83">
        <f t="shared" si="5"/>
        <v>2024236</v>
      </c>
      <c r="E97" s="83">
        <f t="shared" si="5"/>
        <v>1939283</v>
      </c>
      <c r="F97" s="83">
        <f t="shared" si="5"/>
        <v>667445</v>
      </c>
      <c r="G97" s="116">
        <f t="shared" si="5"/>
        <v>814219</v>
      </c>
      <c r="H97" s="116">
        <f t="shared" si="5"/>
        <v>2246674</v>
      </c>
      <c r="I97" s="116">
        <f t="shared" si="5"/>
        <v>1942990</v>
      </c>
      <c r="J97" s="116">
        <f t="shared" si="5"/>
        <v>1420564</v>
      </c>
      <c r="K97" s="116">
        <f t="shared" si="5"/>
        <v>2541166</v>
      </c>
      <c r="L97" s="101"/>
      <c r="M97" s="99"/>
      <c r="N97" s="99"/>
      <c r="O97" s="99"/>
      <c r="P97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93" t="s">
        <v>257</v>
      </c>
      <c r="B1" s="94"/>
      <c r="C1" s="94"/>
      <c r="D1" s="94"/>
      <c r="E1" s="94"/>
    </row>
    <row r="2" spans="1:7" ht="14.4" x14ac:dyDescent="0.3">
      <c r="A2" s="94"/>
      <c r="B2" s="94"/>
      <c r="C2" s="94"/>
      <c r="D2" s="94"/>
      <c r="E2" s="94"/>
    </row>
    <row r="3" spans="1:7" ht="14.4" x14ac:dyDescent="0.3">
      <c r="A3" s="95" t="s">
        <v>173</v>
      </c>
      <c r="B3" s="96" t="e">
        <f>#REF!</f>
        <v>#REF!</v>
      </c>
      <c r="C3" s="94"/>
      <c r="D3" s="94"/>
      <c r="E3" s="94"/>
    </row>
    <row r="4" spans="1:7" ht="14.4" x14ac:dyDescent="0.3">
      <c r="A4" s="95" t="s">
        <v>174</v>
      </c>
      <c r="B4" s="97" t="e">
        <f>B3</f>
        <v>#REF!</v>
      </c>
      <c r="C4" s="94"/>
      <c r="D4" s="94"/>
      <c r="E4" s="94"/>
    </row>
    <row r="5" spans="1:7" ht="14.4" x14ac:dyDescent="0.3">
      <c r="A5" s="94"/>
      <c r="B5" s="94"/>
      <c r="C5" s="94"/>
      <c r="D5" s="94"/>
      <c r="E5" s="94"/>
    </row>
    <row r="6" spans="1:7" ht="15.6" x14ac:dyDescent="0.3">
      <c r="A6" s="206" t="s">
        <v>258</v>
      </c>
      <c r="B6" s="207"/>
      <c r="C6" s="207"/>
      <c r="D6" s="207"/>
      <c r="E6" s="207"/>
      <c r="F6" s="207"/>
      <c r="G6" s="208"/>
    </row>
    <row r="7" spans="1:7" ht="15.6" x14ac:dyDescent="0.3">
      <c r="A7" s="206" t="s">
        <v>259</v>
      </c>
      <c r="B7" s="207"/>
      <c r="C7" s="207"/>
      <c r="D7" s="207"/>
      <c r="E7" s="207"/>
      <c r="F7" s="207"/>
      <c r="G7" s="208"/>
    </row>
    <row r="8" spans="1:7" x14ac:dyDescent="0.25">
      <c r="A8" s="209" t="s">
        <v>178</v>
      </c>
      <c r="B8" s="210"/>
      <c r="C8" s="210"/>
      <c r="D8" s="210"/>
      <c r="E8" s="210"/>
      <c r="F8" s="210"/>
      <c r="G8" s="211"/>
    </row>
    <row r="9" spans="1:7" x14ac:dyDescent="0.25">
      <c r="A9" s="107"/>
      <c r="B9" s="107" t="s">
        <v>179</v>
      </c>
      <c r="C9" s="107" t="s">
        <v>260</v>
      </c>
      <c r="D9" s="107" t="s">
        <v>261</v>
      </c>
      <c r="E9" s="107" t="s">
        <v>262</v>
      </c>
      <c r="F9" s="107" t="s">
        <v>263</v>
      </c>
      <c r="G9" s="107" t="s">
        <v>263</v>
      </c>
    </row>
    <row r="10" spans="1:7" x14ac:dyDescent="0.25">
      <c r="A10" s="106">
        <v>1</v>
      </c>
      <c r="B10" s="106" t="s">
        <v>185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5">
      <c r="A11" s="106">
        <v>2</v>
      </c>
      <c r="B11" s="106" t="s">
        <v>186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5">
      <c r="A12" s="106">
        <v>3</v>
      </c>
      <c r="B12" s="106" t="s">
        <v>187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5">
      <c r="A13" s="106">
        <v>4</v>
      </c>
      <c r="B13" s="106" t="s">
        <v>188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5">
      <c r="A14" s="106">
        <v>5</v>
      </c>
      <c r="B14" s="106" t="s">
        <v>189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5">
      <c r="A15" s="106">
        <v>6</v>
      </c>
      <c r="B15" s="106" t="s">
        <v>190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5">
      <c r="A16" s="106">
        <v>7</v>
      </c>
      <c r="B16" s="106" t="s">
        <v>191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5">
      <c r="A17" s="106">
        <v>8</v>
      </c>
      <c r="B17" s="106" t="s">
        <v>192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5">
      <c r="A18" s="106">
        <v>9</v>
      </c>
      <c r="B18" s="106" t="s">
        <v>193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5">
      <c r="A19" s="106">
        <v>10</v>
      </c>
      <c r="B19" s="106" t="s">
        <v>194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5">
      <c r="A20" s="106">
        <v>11</v>
      </c>
      <c r="B20" s="106" t="s">
        <v>195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5">
      <c r="A21" s="106">
        <v>12</v>
      </c>
      <c r="B21" s="106" t="s">
        <v>196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5">
      <c r="A22" s="106">
        <v>13</v>
      </c>
      <c r="B22" s="106" t="s">
        <v>197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5">
      <c r="A23" s="106">
        <v>14</v>
      </c>
      <c r="B23" s="106" t="s">
        <v>198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5">
      <c r="A24" s="106">
        <v>15</v>
      </c>
      <c r="B24" s="106" t="s">
        <v>199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5">
      <c r="A25" s="106">
        <v>16</v>
      </c>
      <c r="B25" s="106" t="s">
        <v>200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5">
      <c r="A26" s="106">
        <v>17</v>
      </c>
      <c r="B26" s="106" t="s">
        <v>201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5">
      <c r="A27" s="106">
        <v>18</v>
      </c>
      <c r="B27" s="106" t="s">
        <v>202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5">
      <c r="A28" s="106">
        <v>19</v>
      </c>
      <c r="B28" s="106" t="s">
        <v>203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5">
      <c r="A29" s="106">
        <v>20</v>
      </c>
      <c r="B29" s="106" t="s">
        <v>204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5">
      <c r="A30" s="106">
        <v>21</v>
      </c>
      <c r="B30" s="106" t="s">
        <v>205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5">
      <c r="A31" s="106">
        <v>22</v>
      </c>
      <c r="B31" s="106" t="s">
        <v>206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5">
      <c r="A32" s="106">
        <v>23</v>
      </c>
      <c r="B32" s="106" t="s">
        <v>207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5">
      <c r="A33" s="106">
        <v>24</v>
      </c>
      <c r="B33" s="106" t="s">
        <v>208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5">
      <c r="A34" s="106">
        <v>25</v>
      </c>
      <c r="B34" s="106" t="s">
        <v>209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5">
      <c r="A35" s="106">
        <v>26</v>
      </c>
      <c r="B35" s="106" t="s">
        <v>210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5">
      <c r="A36" s="106">
        <v>27</v>
      </c>
      <c r="B36" s="106" t="s">
        <v>211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5">
      <c r="A37" s="106">
        <v>28</v>
      </c>
      <c r="B37" s="106" t="s">
        <v>212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5">
      <c r="A38" s="106">
        <v>29</v>
      </c>
      <c r="B38" s="106" t="s">
        <v>213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5">
      <c r="A39" s="106">
        <v>30</v>
      </c>
      <c r="B39" s="106" t="s">
        <v>214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5">
      <c r="A40" s="106">
        <v>31</v>
      </c>
      <c r="B40" s="106" t="s">
        <v>215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5">
      <c r="A41" s="106">
        <v>32</v>
      </c>
      <c r="B41" s="106" t="s">
        <v>216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5">
      <c r="A42" s="106">
        <v>33</v>
      </c>
      <c r="B42" s="106" t="s">
        <v>217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5">
      <c r="A43" s="106">
        <v>34</v>
      </c>
      <c r="B43" s="106" t="s">
        <v>218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5">
      <c r="A44" s="106">
        <v>35</v>
      </c>
      <c r="B44" s="106" t="s">
        <v>220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5">
      <c r="A45" s="106">
        <v>36</v>
      </c>
      <c r="B45" s="106" t="s">
        <v>221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5">
      <c r="A46" s="106">
        <v>37</v>
      </c>
      <c r="B46" s="106" t="s">
        <v>222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5">
      <c r="A47" s="106">
        <v>38</v>
      </c>
      <c r="B47" s="106" t="s">
        <v>223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5">
      <c r="A48" s="106">
        <v>39</v>
      </c>
      <c r="B48" s="106" t="s">
        <v>224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5">
      <c r="A49" s="106">
        <v>40</v>
      </c>
      <c r="B49" s="106" t="s">
        <v>225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5">
      <c r="A50" s="106">
        <v>41</v>
      </c>
      <c r="B50" s="106" t="s">
        <v>226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5">
      <c r="A51" s="106">
        <v>42</v>
      </c>
      <c r="B51" s="106" t="s">
        <v>227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5">
      <c r="A52" s="106">
        <v>43</v>
      </c>
      <c r="B52" s="106" t="s">
        <v>228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5">
      <c r="A53" s="106">
        <v>44</v>
      </c>
      <c r="B53" s="106" t="s">
        <v>229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5">
      <c r="A54" s="106">
        <v>45</v>
      </c>
      <c r="B54" s="106" t="s">
        <v>230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5">
      <c r="A55" s="106">
        <v>46</v>
      </c>
      <c r="B55" s="106" t="s">
        <v>231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5">
      <c r="A56" s="106">
        <v>47</v>
      </c>
      <c r="B56" s="106" t="s">
        <v>232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5">
      <c r="A57" s="106">
        <v>48</v>
      </c>
      <c r="B57" s="106" t="s">
        <v>233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5">
      <c r="A58" s="106">
        <v>49</v>
      </c>
      <c r="B58" s="106" t="s">
        <v>234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5">
      <c r="A59" s="106">
        <v>50</v>
      </c>
      <c r="B59" s="106" t="s">
        <v>235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5">
      <c r="A60" s="106">
        <v>51</v>
      </c>
      <c r="B60" s="106" t="s">
        <v>236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5">
      <c r="A61" s="106">
        <v>52</v>
      </c>
      <c r="B61" s="106" t="s">
        <v>237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5">
      <c r="A62" s="106" t="s">
        <v>178</v>
      </c>
      <c r="B62" s="106" t="s">
        <v>238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4.4" x14ac:dyDescent="0.3">
      <c r="A64" s="104" t="s">
        <v>264</v>
      </c>
      <c r="B64" s="104"/>
    </row>
    <row r="65" spans="1:2" ht="14.4" x14ac:dyDescent="0.3">
      <c r="A65" s="104" t="s">
        <v>265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93" t="s">
        <v>266</v>
      </c>
      <c r="B1" s="94"/>
      <c r="C1" s="94"/>
      <c r="D1" s="94"/>
      <c r="E1" s="94"/>
      <c r="F1" s="94"/>
    </row>
    <row r="2" spans="1:8" ht="14.4" x14ac:dyDescent="0.3">
      <c r="A2" s="94"/>
      <c r="B2" s="94"/>
      <c r="C2" s="94"/>
      <c r="D2" s="94"/>
      <c r="E2" s="94"/>
      <c r="F2" s="94"/>
    </row>
    <row r="3" spans="1:8" ht="14.4" x14ac:dyDescent="0.3">
      <c r="A3" s="95" t="s">
        <v>173</v>
      </c>
      <c r="B3" s="96" t="e">
        <f>#REF!</f>
        <v>#REF!</v>
      </c>
      <c r="C3" s="94"/>
      <c r="D3" s="94"/>
      <c r="E3" s="94"/>
      <c r="F3" s="94"/>
    </row>
    <row r="4" spans="1:8" ht="14.4" x14ac:dyDescent="0.3">
      <c r="A4" s="95" t="s">
        <v>174</v>
      </c>
      <c r="B4" s="97" t="e">
        <f>B3</f>
        <v>#REF!</v>
      </c>
      <c r="C4" s="94"/>
      <c r="D4" s="94"/>
      <c r="E4" s="94"/>
      <c r="F4" s="94"/>
    </row>
    <row r="5" spans="1:8" ht="14.4" x14ac:dyDescent="0.3">
      <c r="A5" s="94"/>
      <c r="B5" s="94"/>
      <c r="C5" s="94"/>
      <c r="D5" s="94"/>
      <c r="E5" s="94"/>
      <c r="F5" s="94"/>
    </row>
    <row r="6" spans="1:8" ht="15.6" x14ac:dyDescent="0.3">
      <c r="A6" s="206" t="s">
        <v>267</v>
      </c>
      <c r="B6" s="207"/>
      <c r="C6" s="207"/>
      <c r="D6" s="207"/>
      <c r="E6" s="207"/>
      <c r="F6" s="207"/>
      <c r="G6" s="207"/>
      <c r="H6" s="208"/>
    </row>
    <row r="7" spans="1:8" ht="15.6" x14ac:dyDescent="0.3">
      <c r="A7" s="206" t="s">
        <v>268</v>
      </c>
      <c r="B7" s="207"/>
      <c r="C7" s="207"/>
      <c r="D7" s="207"/>
      <c r="E7" s="207"/>
      <c r="F7" s="207"/>
      <c r="G7" s="207"/>
      <c r="H7" s="208"/>
    </row>
    <row r="8" spans="1:8" x14ac:dyDescent="0.25">
      <c r="A8" s="209" t="s">
        <v>178</v>
      </c>
      <c r="B8" s="210"/>
      <c r="C8" s="210"/>
      <c r="D8" s="210"/>
      <c r="E8" s="210"/>
      <c r="F8" s="210"/>
      <c r="G8" s="210"/>
      <c r="H8" s="211"/>
    </row>
    <row r="9" spans="1:8" x14ac:dyDescent="0.25">
      <c r="A9" s="107"/>
      <c r="B9" s="107" t="s">
        <v>179</v>
      </c>
      <c r="C9" s="107" t="s">
        <v>269</v>
      </c>
      <c r="D9" s="107" t="s">
        <v>260</v>
      </c>
      <c r="E9" s="107" t="s">
        <v>261</v>
      </c>
      <c r="F9" s="107" t="s">
        <v>270</v>
      </c>
      <c r="G9" s="107" t="s">
        <v>263</v>
      </c>
      <c r="H9" s="107" t="s">
        <v>263</v>
      </c>
    </row>
    <row r="10" spans="1:8" x14ac:dyDescent="0.25">
      <c r="A10" s="106">
        <v>1</v>
      </c>
      <c r="B10" s="106" t="s">
        <v>185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5">
      <c r="A11" s="106">
        <v>2</v>
      </c>
      <c r="B11" s="106" t="s">
        <v>186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5">
      <c r="A12" s="106">
        <v>3</v>
      </c>
      <c r="B12" s="106" t="s">
        <v>187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5">
      <c r="A13" s="106">
        <v>4</v>
      </c>
      <c r="B13" s="106" t="s">
        <v>188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5">
      <c r="A14" s="106">
        <v>5</v>
      </c>
      <c r="B14" s="106" t="s">
        <v>189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5">
      <c r="A15" s="106">
        <v>6</v>
      </c>
      <c r="B15" s="106" t="s">
        <v>190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5">
      <c r="A16" s="106">
        <v>7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5">
      <c r="A17" s="106">
        <v>8</v>
      </c>
      <c r="B17" s="106" t="s">
        <v>192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5">
      <c r="A18" s="106">
        <v>9</v>
      </c>
      <c r="B18" s="106" t="s">
        <v>193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5">
      <c r="A19" s="106">
        <v>10</v>
      </c>
      <c r="B19" s="106" t="s">
        <v>194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5">
      <c r="A20" s="106">
        <v>11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5">
      <c r="A21" s="106">
        <v>12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5">
      <c r="A22" s="106">
        <v>13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5">
      <c r="A23" s="106">
        <v>14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5">
      <c r="A24" s="106">
        <v>15</v>
      </c>
      <c r="B24" s="106" t="s">
        <v>199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5">
      <c r="A25" s="106">
        <v>16</v>
      </c>
      <c r="B25" s="106" t="s">
        <v>200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5">
      <c r="A26" s="106">
        <v>17</v>
      </c>
      <c r="B26" s="106" t="s">
        <v>201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5">
      <c r="A27" s="106">
        <v>18</v>
      </c>
      <c r="B27" s="106" t="s">
        <v>202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5">
      <c r="A28" s="106">
        <v>19</v>
      </c>
      <c r="B28" s="106" t="s">
        <v>203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5">
      <c r="A29" s="106">
        <v>20</v>
      </c>
      <c r="B29" s="106" t="s">
        <v>204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5">
      <c r="A30" s="106">
        <v>21</v>
      </c>
      <c r="B30" s="106" t="s">
        <v>205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5">
      <c r="A31" s="106">
        <v>22</v>
      </c>
      <c r="B31" s="106" t="s">
        <v>206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5">
      <c r="A32" s="106">
        <v>23</v>
      </c>
      <c r="B32" s="106" t="s">
        <v>207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5">
      <c r="A33" s="106">
        <v>24</v>
      </c>
      <c r="B33" s="106" t="s">
        <v>208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5">
      <c r="A34" s="106">
        <v>25</v>
      </c>
      <c r="B34" s="106" t="s">
        <v>209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5">
      <c r="A35" s="106">
        <v>26</v>
      </c>
      <c r="B35" s="106" t="s">
        <v>210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5">
      <c r="A36" s="106">
        <v>27</v>
      </c>
      <c r="B36" s="106" t="s">
        <v>211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5">
      <c r="A37" s="106">
        <v>28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5">
      <c r="A38" s="106">
        <v>29</v>
      </c>
      <c r="B38" s="106" t="s">
        <v>213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5">
      <c r="A39" s="106">
        <v>30</v>
      </c>
      <c r="B39" s="106" t="s">
        <v>214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5">
      <c r="A40" s="106">
        <v>31</v>
      </c>
      <c r="B40" s="106" t="s">
        <v>215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5">
      <c r="A41" s="106">
        <v>32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5">
      <c r="A42" s="106">
        <v>33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5">
      <c r="A43" s="106">
        <v>34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5">
      <c r="A44" s="106">
        <v>35</v>
      </c>
      <c r="B44" s="106" t="s">
        <v>220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5">
      <c r="A45" s="106">
        <v>36</v>
      </c>
      <c r="B45" s="106" t="s">
        <v>221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5">
      <c r="A46" s="106">
        <v>37</v>
      </c>
      <c r="B46" s="106" t="s">
        <v>222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5">
      <c r="A47" s="106">
        <v>38</v>
      </c>
      <c r="B47" s="106" t="s">
        <v>223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5">
      <c r="A48" s="106">
        <v>39</v>
      </c>
      <c r="B48" s="106" t="s">
        <v>224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5">
      <c r="A49" s="106">
        <v>40</v>
      </c>
      <c r="B49" s="106" t="s">
        <v>225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5">
      <c r="A50" s="106">
        <v>41</v>
      </c>
      <c r="B50" s="106" t="s">
        <v>226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5">
      <c r="A51" s="106">
        <v>42</v>
      </c>
      <c r="B51" s="106" t="s">
        <v>227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5">
      <c r="A52" s="106">
        <v>43</v>
      </c>
      <c r="B52" s="106" t="s">
        <v>228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5">
      <c r="A53" s="106">
        <v>44</v>
      </c>
      <c r="B53" s="106" t="s">
        <v>229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5">
      <c r="A54" s="106">
        <v>45</v>
      </c>
      <c r="B54" s="106" t="s">
        <v>230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5">
      <c r="A55" s="106">
        <v>46</v>
      </c>
      <c r="B55" s="106" t="s">
        <v>231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5">
      <c r="A56" s="106">
        <v>47</v>
      </c>
      <c r="B56" s="106" t="s">
        <v>232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5">
      <c r="A57" s="106">
        <v>48</v>
      </c>
      <c r="B57" s="106" t="s">
        <v>233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5">
      <c r="A58" s="106">
        <v>49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5">
      <c r="A59" s="106">
        <v>50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5">
      <c r="A60" s="106">
        <v>51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5">
      <c r="A61" s="106">
        <v>52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5">
      <c r="A62" s="106" t="s">
        <v>178</v>
      </c>
      <c r="B62" s="106" t="s">
        <v>238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4.4" x14ac:dyDescent="0.3">
      <c r="A64" s="104" t="s">
        <v>264</v>
      </c>
      <c r="B64" s="104"/>
    </row>
    <row r="65" spans="1:2" ht="14.4" x14ac:dyDescent="0.3">
      <c r="A65" s="104" t="s">
        <v>265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zoomScale="126" zoomScaleNormal="126" workbookViewId="0">
      <selection activeCell="D4" sqref="D4"/>
    </sheetView>
  </sheetViews>
  <sheetFormatPr defaultColWidth="9.109375" defaultRowHeight="15" x14ac:dyDescent="0.25"/>
  <cols>
    <col min="1" max="1" width="33.6640625" style="54" customWidth="1"/>
    <col min="2" max="2" width="14.88671875" style="54" customWidth="1"/>
    <col min="3" max="3" width="9.109375" style="54"/>
    <col min="4" max="4" width="24.109375" style="54" customWidth="1"/>
    <col min="5" max="5" width="13.88671875" style="54" customWidth="1"/>
    <col min="6" max="6" width="10.33203125" style="54" bestFit="1" customWidth="1"/>
    <col min="7" max="16384" width="9.109375" style="54"/>
  </cols>
  <sheetData>
    <row r="1" spans="1:22" ht="15.6" x14ac:dyDescent="0.3">
      <c r="A1" s="53" t="s">
        <v>120</v>
      </c>
      <c r="V1" s="54">
        <v>4</v>
      </c>
    </row>
    <row r="2" spans="1:22" ht="15.6" x14ac:dyDescent="0.3">
      <c r="A2" s="53" t="s">
        <v>121</v>
      </c>
    </row>
    <row r="4" spans="1:22" x14ac:dyDescent="0.25">
      <c r="A4" s="98" t="s">
        <v>122</v>
      </c>
      <c r="B4" s="75">
        <f>'Weekliks-Weekly'!B25</f>
        <v>45891</v>
      </c>
    </row>
    <row r="5" spans="1:22" ht="15.6" x14ac:dyDescent="0.3">
      <c r="D5" s="53"/>
    </row>
    <row r="6" spans="1:22" ht="15.6" x14ac:dyDescent="0.3">
      <c r="A6" s="53" t="s">
        <v>5</v>
      </c>
      <c r="B6" s="53" t="s">
        <v>95</v>
      </c>
      <c r="E6" s="56"/>
    </row>
    <row r="7" spans="1:22" ht="15.6" x14ac:dyDescent="0.3">
      <c r="A7" s="60" t="s">
        <v>123</v>
      </c>
      <c r="B7" s="72">
        <v>0</v>
      </c>
      <c r="D7" s="58" t="s">
        <v>124</v>
      </c>
      <c r="E7" s="59">
        <f>B12/(52-'Export destin -Uitvoer bestem.'!$P$5)</f>
        <v>0</v>
      </c>
      <c r="F7" s="57"/>
    </row>
    <row r="8" spans="1:22" ht="15.6" x14ac:dyDescent="0.3">
      <c r="A8" s="60" t="s">
        <v>125</v>
      </c>
      <c r="B8" s="72">
        <f>0</f>
        <v>0</v>
      </c>
      <c r="D8" s="60" t="s">
        <v>126</v>
      </c>
      <c r="E8" s="61">
        <f>'Export destin -Uitvoer bestem.'!$P$5</f>
        <v>36</v>
      </c>
      <c r="F8" s="57"/>
    </row>
    <row r="9" spans="1:22" ht="15.6" x14ac:dyDescent="0.3">
      <c r="A9" s="60" t="s">
        <v>58</v>
      </c>
      <c r="B9" s="72">
        <f>0</f>
        <v>0</v>
      </c>
      <c r="D9" s="60" t="s">
        <v>127</v>
      </c>
      <c r="E9" s="61">
        <f>(E7*E8)+B12</f>
        <v>0</v>
      </c>
      <c r="F9" s="57"/>
    </row>
    <row r="10" spans="1:22" ht="15.6" x14ac:dyDescent="0.3">
      <c r="A10" s="60" t="s">
        <v>128</v>
      </c>
      <c r="B10" s="72">
        <f>0</f>
        <v>0</v>
      </c>
      <c r="E10" s="57"/>
      <c r="F10" s="57"/>
    </row>
    <row r="11" spans="1:22" ht="15.6" x14ac:dyDescent="0.3">
      <c r="A11" s="60" t="s">
        <v>129</v>
      </c>
      <c r="B11" s="72">
        <v>0</v>
      </c>
      <c r="E11" s="57"/>
      <c r="F11" s="57"/>
    </row>
    <row r="12" spans="1:22" ht="15.6" x14ac:dyDescent="0.3">
      <c r="A12" s="58" t="s">
        <v>118</v>
      </c>
      <c r="B12" s="66">
        <f>SUM(B7:B11)</f>
        <v>0</v>
      </c>
      <c r="F12" s="57"/>
    </row>
    <row r="13" spans="1:22" x14ac:dyDescent="0.25">
      <c r="B13" s="56"/>
      <c r="F13" s="57"/>
    </row>
    <row r="14" spans="1:22" ht="15.6" x14ac:dyDescent="0.3">
      <c r="A14" s="53" t="s">
        <v>94</v>
      </c>
      <c r="B14" s="54" t="s">
        <v>95</v>
      </c>
      <c r="F14" s="57"/>
    </row>
    <row r="15" spans="1:22" ht="15.6" x14ac:dyDescent="0.3">
      <c r="A15" s="60" t="s">
        <v>130</v>
      </c>
      <c r="B15" s="72">
        <v>0</v>
      </c>
      <c r="D15" s="58" t="s">
        <v>124</v>
      </c>
      <c r="E15" s="59">
        <f>B22/(52-'Export destin -Uitvoer bestem.'!$P$5)</f>
        <v>0</v>
      </c>
      <c r="F15" s="57"/>
    </row>
    <row r="16" spans="1:22" ht="15.6" x14ac:dyDescent="0.3">
      <c r="A16" s="60" t="s">
        <v>38</v>
      </c>
      <c r="B16" s="72">
        <v>0</v>
      </c>
      <c r="D16" s="60" t="s">
        <v>126</v>
      </c>
      <c r="E16" s="61">
        <f>'Export destin -Uitvoer bestem.'!$P$5</f>
        <v>36</v>
      </c>
      <c r="F16" s="57"/>
    </row>
    <row r="17" spans="1:12" ht="15.6" x14ac:dyDescent="0.3">
      <c r="A17" s="60" t="s">
        <v>131</v>
      </c>
      <c r="B17" s="72">
        <f>0</f>
        <v>0</v>
      </c>
      <c r="D17" s="60" t="s">
        <v>127</v>
      </c>
      <c r="E17" s="61">
        <f>(E15*E16)+B22</f>
        <v>0</v>
      </c>
      <c r="F17" s="57"/>
      <c r="L17" s="105"/>
    </row>
    <row r="18" spans="1:12" ht="15.6" x14ac:dyDescent="0.3">
      <c r="A18" s="60" t="s">
        <v>132</v>
      </c>
      <c r="B18" s="72">
        <f>0</f>
        <v>0</v>
      </c>
      <c r="E18" s="57"/>
      <c r="F18" s="57"/>
      <c r="L18" s="105"/>
    </row>
    <row r="19" spans="1:12" ht="15.6" x14ac:dyDescent="0.3">
      <c r="A19" s="60" t="s">
        <v>133</v>
      </c>
      <c r="B19" s="72">
        <v>0</v>
      </c>
      <c r="E19" s="57"/>
      <c r="F19" s="57"/>
      <c r="L19" s="105"/>
    </row>
    <row r="20" spans="1:12" ht="15.6" x14ac:dyDescent="0.3">
      <c r="A20" s="60" t="s">
        <v>134</v>
      </c>
      <c r="B20" s="72">
        <f>0</f>
        <v>0</v>
      </c>
      <c r="E20" s="57"/>
      <c r="F20" s="57"/>
    </row>
    <row r="21" spans="1:12" ht="15.6" x14ac:dyDescent="0.3">
      <c r="A21" s="60" t="s">
        <v>135</v>
      </c>
      <c r="B21" s="72">
        <f>0</f>
        <v>0</v>
      </c>
      <c r="E21" s="57"/>
      <c r="F21" s="57"/>
    </row>
    <row r="22" spans="1:12" ht="15.6" x14ac:dyDescent="0.3">
      <c r="A22" s="58" t="s">
        <v>118</v>
      </c>
      <c r="B22" s="66">
        <f>SUM(B15:B21)</f>
        <v>0</v>
      </c>
      <c r="E22" s="57"/>
      <c r="F22" s="57"/>
    </row>
    <row r="23" spans="1:12" x14ac:dyDescent="0.25">
      <c r="B23" s="56"/>
      <c r="E23" s="57"/>
      <c r="F23" s="57"/>
    </row>
    <row r="24" spans="1:12" ht="15.6" x14ac:dyDescent="0.3">
      <c r="A24" s="58" t="s">
        <v>119</v>
      </c>
      <c r="B24" s="66">
        <f>B12+B22</f>
        <v>0</v>
      </c>
      <c r="D24" s="56"/>
      <c r="E24" s="57"/>
      <c r="F24" s="57"/>
    </row>
    <row r="25" spans="1:12" x14ac:dyDescent="0.25">
      <c r="E25" s="57"/>
      <c r="F25" s="57"/>
    </row>
    <row r="26" spans="1:12" x14ac:dyDescent="0.25">
      <c r="E26" s="57"/>
      <c r="F26" s="57"/>
    </row>
    <row r="27" spans="1:12" x14ac:dyDescent="0.25">
      <c r="E27" s="57"/>
      <c r="F27" s="57"/>
    </row>
    <row r="28" spans="1:12" x14ac:dyDescent="0.25">
      <c r="E28" s="57"/>
      <c r="F28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opLeftCell="A9"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136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137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138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139</v>
      </c>
      <c r="D4" s="197"/>
      <c r="E4" s="198" t="s">
        <v>139</v>
      </c>
      <c r="F4" s="199"/>
      <c r="G4" s="196" t="s">
        <v>140</v>
      </c>
      <c r="H4" s="197"/>
      <c r="I4" s="198" t="s">
        <v>140</v>
      </c>
      <c r="J4" s="199"/>
      <c r="K4" s="202" t="s">
        <v>141</v>
      </c>
      <c r="L4" s="203"/>
      <c r="M4" s="204" t="s">
        <v>141</v>
      </c>
      <c r="N4" s="205"/>
      <c r="O4" s="196" t="s">
        <v>142</v>
      </c>
      <c r="P4" s="197"/>
      <c r="Q4" s="198" t="s">
        <v>142</v>
      </c>
      <c r="R4" s="199"/>
      <c r="S4" s="5" t="s">
        <v>143</v>
      </c>
      <c r="T4" s="6" t="s">
        <v>144</v>
      </c>
      <c r="U4" s="5" t="s">
        <v>143</v>
      </c>
      <c r="V4" s="6" t="s">
        <v>144</v>
      </c>
    </row>
    <row r="5" spans="1:23" s="1" customFormat="1" ht="13.8" thickBot="1" x14ac:dyDescent="0.3">
      <c r="B5" s="117"/>
      <c r="C5" s="196" t="s">
        <v>145</v>
      </c>
      <c r="D5" s="197"/>
      <c r="E5" s="198" t="s">
        <v>145</v>
      </c>
      <c r="F5" s="199"/>
      <c r="G5" s="196" t="s">
        <v>146</v>
      </c>
      <c r="H5" s="200"/>
      <c r="I5" s="198" t="s">
        <v>146</v>
      </c>
      <c r="J5" s="201"/>
      <c r="K5" s="202" t="s">
        <v>147</v>
      </c>
      <c r="L5" s="203"/>
      <c r="M5" s="204" t="s">
        <v>147</v>
      </c>
      <c r="N5" s="205"/>
      <c r="O5" s="196" t="s">
        <v>148</v>
      </c>
      <c r="P5" s="200"/>
      <c r="Q5" s="198" t="s">
        <v>148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149</v>
      </c>
      <c r="C6" s="171" t="s">
        <v>150</v>
      </c>
      <c r="D6" s="172" t="s">
        <v>151</v>
      </c>
      <c r="E6" s="8" t="s">
        <v>150</v>
      </c>
      <c r="F6" s="9" t="s">
        <v>151</v>
      </c>
      <c r="G6" s="171" t="s">
        <v>150</v>
      </c>
      <c r="H6" s="172" t="s">
        <v>151</v>
      </c>
      <c r="I6" s="118" t="s">
        <v>150</v>
      </c>
      <c r="J6" s="119" t="s">
        <v>151</v>
      </c>
      <c r="K6" s="173" t="s">
        <v>150</v>
      </c>
      <c r="L6" s="174" t="s">
        <v>151</v>
      </c>
      <c r="M6" s="151" t="s">
        <v>150</v>
      </c>
      <c r="N6" s="152" t="s">
        <v>151</v>
      </c>
      <c r="O6" s="175" t="s">
        <v>150</v>
      </c>
      <c r="P6" s="172" t="s">
        <v>151</v>
      </c>
      <c r="Q6" s="118" t="s">
        <v>150</v>
      </c>
      <c r="R6" s="119" t="s">
        <v>151</v>
      </c>
      <c r="S6" s="8" t="s">
        <v>152</v>
      </c>
      <c r="T6" s="9" t="s">
        <v>153</v>
      </c>
      <c r="U6" s="8" t="s">
        <v>152</v>
      </c>
      <c r="V6" s="9" t="s">
        <v>153</v>
      </c>
      <c r="W6" s="162"/>
    </row>
    <row r="7" spans="1:23" ht="13.8" thickBot="1" x14ac:dyDescent="0.3">
      <c r="A7" s="162"/>
      <c r="B7" s="7" t="s">
        <v>154</v>
      </c>
      <c r="C7" s="176"/>
      <c r="D7" s="177"/>
      <c r="E7" s="71" t="s">
        <v>155</v>
      </c>
      <c r="F7" s="92" t="s">
        <v>156</v>
      </c>
      <c r="G7" s="176"/>
      <c r="H7" s="177"/>
      <c r="I7" s="120" t="s">
        <v>155</v>
      </c>
      <c r="J7" s="121" t="s">
        <v>156</v>
      </c>
      <c r="K7" s="178"/>
      <c r="L7" s="179"/>
      <c r="M7" s="151" t="s">
        <v>155</v>
      </c>
      <c r="N7" s="151" t="s">
        <v>156</v>
      </c>
      <c r="O7" s="180"/>
      <c r="P7" s="177"/>
      <c r="Q7" s="120" t="s">
        <v>155</v>
      </c>
      <c r="R7" s="121" t="s">
        <v>156</v>
      </c>
      <c r="S7" s="10" t="s">
        <v>157</v>
      </c>
      <c r="T7" s="11" t="s">
        <v>157</v>
      </c>
      <c r="U7" s="8" t="s">
        <v>155</v>
      </c>
      <c r="V7" s="9" t="s">
        <v>156</v>
      </c>
      <c r="W7" s="162"/>
    </row>
    <row r="8" spans="1:23" ht="13.8" thickBot="1" x14ac:dyDescent="0.3">
      <c r="A8" s="162"/>
      <c r="B8" s="181"/>
      <c r="C8" s="182" t="s">
        <v>158</v>
      </c>
      <c r="D8" s="183" t="s">
        <v>158</v>
      </c>
      <c r="E8" s="8" t="s">
        <v>158</v>
      </c>
      <c r="F8" s="9" t="s">
        <v>158</v>
      </c>
      <c r="G8" s="182" t="s">
        <v>158</v>
      </c>
      <c r="H8" s="183" t="s">
        <v>158</v>
      </c>
      <c r="I8" s="122" t="s">
        <v>158</v>
      </c>
      <c r="J8" s="123" t="s">
        <v>158</v>
      </c>
      <c r="K8" s="184" t="s">
        <v>158</v>
      </c>
      <c r="L8" s="185" t="s">
        <v>158</v>
      </c>
      <c r="M8" s="153" t="s">
        <v>158</v>
      </c>
      <c r="N8" s="153" t="s">
        <v>158</v>
      </c>
      <c r="O8" s="182" t="s">
        <v>158</v>
      </c>
      <c r="P8" s="183" t="s">
        <v>158</v>
      </c>
      <c r="Q8" s="122" t="s">
        <v>158</v>
      </c>
      <c r="R8" s="123" t="s">
        <v>158</v>
      </c>
      <c r="S8" s="13" t="s">
        <v>158</v>
      </c>
      <c r="T8" s="13" t="s">
        <v>158</v>
      </c>
      <c r="U8" s="13" t="s">
        <v>158</v>
      </c>
      <c r="V8" s="12" t="s">
        <v>158</v>
      </c>
      <c r="W8" s="162"/>
    </row>
    <row r="9" spans="1:23" ht="14.4" x14ac:dyDescent="0.3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4.4" x14ac:dyDescent="0.3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4.4" x14ac:dyDescent="0.3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4.4" x14ac:dyDescent="0.3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4.4" x14ac:dyDescent="0.3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4.4" x14ac:dyDescent="0.3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4.4" x14ac:dyDescent="0.3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4.4" x14ac:dyDescent="0.3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159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160</v>
      </c>
    </row>
    <row r="32" spans="1:24" ht="14.4" x14ac:dyDescent="0.3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4.4" x14ac:dyDescent="0.3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4.4" x14ac:dyDescent="0.3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4.4" x14ac:dyDescent="0.3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4.4" x14ac:dyDescent="0.3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4.4" x14ac:dyDescent="0.3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4.4" x14ac:dyDescent="0.3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4.4" x14ac:dyDescent="0.3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4.4" x14ac:dyDescent="0.3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4.4" x14ac:dyDescent="0.3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4.4" x14ac:dyDescent="0.3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4.4" x14ac:dyDescent="0.3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4.4" x14ac:dyDescent="0.3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4.4" x14ac:dyDescent="0.3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4.4" x14ac:dyDescent="0.3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4.4" x14ac:dyDescent="0.3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4.4" x14ac:dyDescent="0.3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4.4" x14ac:dyDescent="0.3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4.4" x14ac:dyDescent="0.3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4.4" x14ac:dyDescent="0.3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4.4" x14ac:dyDescent="0.3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4.4" x14ac:dyDescent="0.3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4.4" x14ac:dyDescent="0.3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4.4" x14ac:dyDescent="0.3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4.4" x14ac:dyDescent="0.3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4.4" x14ac:dyDescent="0.3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4.4" x14ac:dyDescent="0.3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4.4" x14ac:dyDescent="0.3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topLeftCell="A6" zoomScale="117" zoomScaleNormal="117" workbookViewId="0">
      <selection activeCell="L27" sqref="L27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161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162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138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139</v>
      </c>
      <c r="D4" s="197"/>
      <c r="E4" s="198" t="s">
        <v>139</v>
      </c>
      <c r="F4" s="199"/>
      <c r="G4" s="196" t="s">
        <v>140</v>
      </c>
      <c r="H4" s="197"/>
      <c r="I4" s="198" t="s">
        <v>140</v>
      </c>
      <c r="J4" s="199"/>
      <c r="K4" s="202" t="s">
        <v>141</v>
      </c>
      <c r="L4" s="203"/>
      <c r="M4" s="204" t="s">
        <v>141</v>
      </c>
      <c r="N4" s="205"/>
      <c r="O4" s="196" t="s">
        <v>142</v>
      </c>
      <c r="P4" s="197"/>
      <c r="Q4" s="198" t="s">
        <v>142</v>
      </c>
      <c r="R4" s="199"/>
      <c r="S4" s="5" t="s">
        <v>143</v>
      </c>
      <c r="T4" s="6" t="s">
        <v>144</v>
      </c>
      <c r="U4" s="5" t="s">
        <v>143</v>
      </c>
      <c r="V4" s="6" t="s">
        <v>144</v>
      </c>
    </row>
    <row r="5" spans="1:23" s="1" customFormat="1" ht="13.8" thickBot="1" x14ac:dyDescent="0.3">
      <c r="B5" s="117"/>
      <c r="C5" s="196" t="s">
        <v>145</v>
      </c>
      <c r="D5" s="197"/>
      <c r="E5" s="198" t="s">
        <v>145</v>
      </c>
      <c r="F5" s="199"/>
      <c r="G5" s="196" t="s">
        <v>146</v>
      </c>
      <c r="H5" s="200"/>
      <c r="I5" s="198" t="s">
        <v>146</v>
      </c>
      <c r="J5" s="201"/>
      <c r="K5" s="202" t="s">
        <v>147</v>
      </c>
      <c r="L5" s="203"/>
      <c r="M5" s="204" t="s">
        <v>147</v>
      </c>
      <c r="N5" s="205"/>
      <c r="O5" s="196" t="s">
        <v>148</v>
      </c>
      <c r="P5" s="200"/>
      <c r="Q5" s="198" t="s">
        <v>148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149</v>
      </c>
      <c r="C6" s="171" t="s">
        <v>150</v>
      </c>
      <c r="D6" s="172" t="s">
        <v>151</v>
      </c>
      <c r="E6" s="8" t="s">
        <v>150</v>
      </c>
      <c r="F6" s="9" t="s">
        <v>151</v>
      </c>
      <c r="G6" s="171" t="s">
        <v>150</v>
      </c>
      <c r="H6" s="172" t="s">
        <v>151</v>
      </c>
      <c r="I6" s="118" t="s">
        <v>150</v>
      </c>
      <c r="J6" s="119" t="s">
        <v>151</v>
      </c>
      <c r="K6" s="173" t="s">
        <v>150</v>
      </c>
      <c r="L6" s="174" t="s">
        <v>151</v>
      </c>
      <c r="M6" s="151" t="s">
        <v>150</v>
      </c>
      <c r="N6" s="152" t="s">
        <v>151</v>
      </c>
      <c r="O6" s="175" t="s">
        <v>150</v>
      </c>
      <c r="P6" s="172" t="s">
        <v>151</v>
      </c>
      <c r="Q6" s="118" t="s">
        <v>150</v>
      </c>
      <c r="R6" s="119" t="s">
        <v>151</v>
      </c>
      <c r="S6" s="8" t="s">
        <v>152</v>
      </c>
      <c r="T6" s="9" t="s">
        <v>153</v>
      </c>
      <c r="U6" s="8" t="s">
        <v>152</v>
      </c>
      <c r="V6" s="9" t="s">
        <v>153</v>
      </c>
      <c r="W6" s="162"/>
    </row>
    <row r="7" spans="1:23" ht="13.8" thickBot="1" x14ac:dyDescent="0.3">
      <c r="A7" s="162"/>
      <c r="B7" s="7" t="s">
        <v>154</v>
      </c>
      <c r="C7" s="176"/>
      <c r="D7" s="177"/>
      <c r="E7" s="71" t="s">
        <v>155</v>
      </c>
      <c r="F7" s="92" t="s">
        <v>156</v>
      </c>
      <c r="G7" s="176"/>
      <c r="H7" s="177"/>
      <c r="I7" s="120" t="s">
        <v>155</v>
      </c>
      <c r="J7" s="121" t="s">
        <v>156</v>
      </c>
      <c r="K7" s="178"/>
      <c r="L7" s="179"/>
      <c r="M7" s="151" t="s">
        <v>155</v>
      </c>
      <c r="N7" s="151" t="s">
        <v>156</v>
      </c>
      <c r="O7" s="180"/>
      <c r="P7" s="177"/>
      <c r="Q7" s="120" t="s">
        <v>155</v>
      </c>
      <c r="R7" s="121" t="s">
        <v>156</v>
      </c>
      <c r="S7" s="10" t="s">
        <v>157</v>
      </c>
      <c r="T7" s="11" t="s">
        <v>157</v>
      </c>
      <c r="U7" s="8" t="s">
        <v>155</v>
      </c>
      <c r="V7" s="9" t="s">
        <v>156</v>
      </c>
      <c r="W7" s="162"/>
    </row>
    <row r="8" spans="1:23" ht="13.8" thickBot="1" x14ac:dyDescent="0.3">
      <c r="A8" s="162"/>
      <c r="B8" s="181"/>
      <c r="C8" s="182" t="s">
        <v>158</v>
      </c>
      <c r="D8" s="183" t="s">
        <v>158</v>
      </c>
      <c r="E8" s="8" t="s">
        <v>158</v>
      </c>
      <c r="F8" s="9" t="s">
        <v>158</v>
      </c>
      <c r="G8" s="182" t="s">
        <v>158</v>
      </c>
      <c r="H8" s="183" t="s">
        <v>158</v>
      </c>
      <c r="I8" s="122" t="s">
        <v>158</v>
      </c>
      <c r="J8" s="123" t="s">
        <v>158</v>
      </c>
      <c r="K8" s="184" t="s">
        <v>158</v>
      </c>
      <c r="L8" s="185" t="s">
        <v>158</v>
      </c>
      <c r="M8" s="153" t="s">
        <v>158</v>
      </c>
      <c r="N8" s="153" t="s">
        <v>158</v>
      </c>
      <c r="O8" s="182" t="s">
        <v>158</v>
      </c>
      <c r="P8" s="183" t="s">
        <v>158</v>
      </c>
      <c r="Q8" s="122" t="s">
        <v>158</v>
      </c>
      <c r="R8" s="123" t="s">
        <v>158</v>
      </c>
      <c r="S8" s="13" t="s">
        <v>158</v>
      </c>
      <c r="T8" s="13" t="s">
        <v>158</v>
      </c>
      <c r="U8" s="13" t="s">
        <v>158</v>
      </c>
      <c r="V8" s="12" t="s">
        <v>158</v>
      </c>
      <c r="W8" s="162"/>
    </row>
    <row r="9" spans="1:23" ht="14.4" x14ac:dyDescent="0.3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2858</v>
      </c>
      <c r="L9" s="91">
        <v>4741</v>
      </c>
      <c r="M9" s="154">
        <f>K9</f>
        <v>2858</v>
      </c>
      <c r="N9" s="155">
        <f>L9</f>
        <v>4741</v>
      </c>
      <c r="O9" s="146"/>
      <c r="P9" s="14"/>
      <c r="Q9" s="14"/>
      <c r="R9" s="14"/>
      <c r="S9" s="14">
        <f t="shared" ref="S9:S27" si="2">C9+D9</f>
        <v>0</v>
      </c>
      <c r="T9" s="14">
        <f>K9+L9</f>
        <v>7599</v>
      </c>
      <c r="U9" s="14">
        <f t="shared" ref="U9:U60" si="3">E9+F9</f>
        <v>0</v>
      </c>
      <c r="V9" s="14">
        <f>M9+N9</f>
        <v>7599</v>
      </c>
      <c r="W9" s="162"/>
    </row>
    <row r="10" spans="1:23" ht="14.4" x14ac:dyDescent="0.3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6602</v>
      </c>
      <c r="L10" s="91">
        <v>7284</v>
      </c>
      <c r="M10" s="156">
        <f t="shared" ref="M10:N25" si="5">M9+K10</f>
        <v>9460</v>
      </c>
      <c r="N10" s="155">
        <f t="shared" si="5"/>
        <v>12025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13886</v>
      </c>
      <c r="U10" s="15">
        <f t="shared" si="3"/>
        <v>0</v>
      </c>
      <c r="V10" s="15">
        <f t="shared" ref="V10:V60" si="7">M10+N10</f>
        <v>21485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8839</v>
      </c>
      <c r="L11" s="91">
        <v>9892</v>
      </c>
      <c r="M11" s="156">
        <f t="shared" si="5"/>
        <v>18299</v>
      </c>
      <c r="N11" s="155">
        <f t="shared" si="5"/>
        <v>21917</v>
      </c>
      <c r="O11" s="36"/>
      <c r="P11" s="15"/>
      <c r="Q11" s="15"/>
      <c r="R11" s="15"/>
      <c r="S11" s="15">
        <f t="shared" si="2"/>
        <v>0</v>
      </c>
      <c r="T11" s="15">
        <f t="shared" si="6"/>
        <v>18731</v>
      </c>
      <c r="U11" s="15">
        <f t="shared" si="3"/>
        <v>0</v>
      </c>
      <c r="V11" s="15">
        <f t="shared" si="7"/>
        <v>40216</v>
      </c>
      <c r="W11" s="162"/>
    </row>
    <row r="12" spans="1:23" ht="14.4" x14ac:dyDescent="0.3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11174</v>
      </c>
      <c r="L12" s="91">
        <v>12432</v>
      </c>
      <c r="M12" s="156">
        <f t="shared" si="5"/>
        <v>29473</v>
      </c>
      <c r="N12" s="155">
        <f t="shared" si="5"/>
        <v>34349</v>
      </c>
      <c r="O12" s="36"/>
      <c r="P12" s="15"/>
      <c r="Q12" s="15"/>
      <c r="R12" s="15"/>
      <c r="S12" s="15">
        <f t="shared" si="2"/>
        <v>0</v>
      </c>
      <c r="T12" s="15">
        <f t="shared" si="6"/>
        <v>23606</v>
      </c>
      <c r="U12" s="15">
        <f t="shared" si="3"/>
        <v>0</v>
      </c>
      <c r="V12" s="15">
        <f t="shared" si="7"/>
        <v>63822</v>
      </c>
      <c r="W12" s="162"/>
    </row>
    <row r="13" spans="1:23" ht="14.4" x14ac:dyDescent="0.3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91">
        <v>14737</v>
      </c>
      <c r="L13" s="91">
        <v>18716</v>
      </c>
      <c r="M13" s="156">
        <f t="shared" si="5"/>
        <v>44210</v>
      </c>
      <c r="N13" s="155">
        <f t="shared" si="5"/>
        <v>53065</v>
      </c>
      <c r="O13" s="36"/>
      <c r="P13" s="15"/>
      <c r="Q13" s="15"/>
      <c r="R13" s="15"/>
      <c r="S13" s="15">
        <f t="shared" si="2"/>
        <v>0</v>
      </c>
      <c r="T13" s="15">
        <f t="shared" si="6"/>
        <v>33453</v>
      </c>
      <c r="U13" s="15">
        <f t="shared" si="3"/>
        <v>0</v>
      </c>
      <c r="V13" s="15">
        <f t="shared" si="7"/>
        <v>97275</v>
      </c>
      <c r="W13" s="162"/>
    </row>
    <row r="14" spans="1:23" ht="14.4" x14ac:dyDescent="0.3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91">
        <v>8082</v>
      </c>
      <c r="L14" s="91">
        <v>5596</v>
      </c>
      <c r="M14" s="156">
        <f t="shared" si="5"/>
        <v>52292</v>
      </c>
      <c r="N14" s="155">
        <f t="shared" si="5"/>
        <v>58661</v>
      </c>
      <c r="O14" s="36"/>
      <c r="P14" s="15"/>
      <c r="Q14" s="15"/>
      <c r="R14" s="15"/>
      <c r="S14" s="15">
        <f t="shared" si="2"/>
        <v>0</v>
      </c>
      <c r="T14" s="15">
        <f t="shared" si="6"/>
        <v>13678</v>
      </c>
      <c r="U14" s="15">
        <f t="shared" si="3"/>
        <v>0</v>
      </c>
      <c r="V14" s="15">
        <f t="shared" si="7"/>
        <v>110953</v>
      </c>
      <c r="W14" s="162"/>
    </row>
    <row r="15" spans="1:23" ht="14.4" x14ac:dyDescent="0.3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91">
        <v>11636</v>
      </c>
      <c r="L15" s="91">
        <v>39503</v>
      </c>
      <c r="M15" s="156">
        <f t="shared" si="5"/>
        <v>63928</v>
      </c>
      <c r="N15" s="155">
        <f t="shared" si="5"/>
        <v>98164</v>
      </c>
      <c r="O15" s="36"/>
      <c r="P15" s="15"/>
      <c r="Q15" s="15"/>
      <c r="R15" s="15"/>
      <c r="S15" s="15">
        <f t="shared" si="2"/>
        <v>0</v>
      </c>
      <c r="T15" s="15">
        <f t="shared" si="6"/>
        <v>51139</v>
      </c>
      <c r="U15" s="15">
        <f t="shared" si="3"/>
        <v>0</v>
      </c>
      <c r="V15" s="15">
        <f t="shared" si="7"/>
        <v>162092</v>
      </c>
      <c r="W15" s="162"/>
    </row>
    <row r="16" spans="1:23" ht="14.4" x14ac:dyDescent="0.3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91">
        <v>8749</v>
      </c>
      <c r="L16" s="91">
        <v>46331</v>
      </c>
      <c r="M16" s="156">
        <f t="shared" si="5"/>
        <v>72677</v>
      </c>
      <c r="N16" s="155">
        <f t="shared" si="5"/>
        <v>144495</v>
      </c>
      <c r="O16" s="36"/>
      <c r="P16" s="15"/>
      <c r="Q16" s="15"/>
      <c r="R16" s="15"/>
      <c r="S16" s="15">
        <f t="shared" si="2"/>
        <v>0</v>
      </c>
      <c r="T16" s="15">
        <f t="shared" si="6"/>
        <v>55080</v>
      </c>
      <c r="U16" s="15">
        <f t="shared" si="3"/>
        <v>0</v>
      </c>
      <c r="V16" s="15">
        <f t="shared" si="7"/>
        <v>217172</v>
      </c>
      <c r="W16" s="162"/>
    </row>
    <row r="17" spans="1:24" ht="14.4" x14ac:dyDescent="0.3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91">
        <v>15580</v>
      </c>
      <c r="L17" s="91">
        <v>51056</v>
      </c>
      <c r="M17" s="156">
        <f t="shared" si="5"/>
        <v>88257</v>
      </c>
      <c r="N17" s="155">
        <f t="shared" si="5"/>
        <v>195551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66636</v>
      </c>
      <c r="U17" s="15">
        <f t="shared" si="3"/>
        <v>0</v>
      </c>
      <c r="V17" s="15">
        <f t="shared" si="7"/>
        <v>283808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91">
        <v>5063</v>
      </c>
      <c r="L18" s="91">
        <v>47492</v>
      </c>
      <c r="M18" s="156">
        <f t="shared" si="5"/>
        <v>93320</v>
      </c>
      <c r="N18" s="155">
        <f t="shared" si="5"/>
        <v>243043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52555</v>
      </c>
      <c r="U18" s="15">
        <f t="shared" si="3"/>
        <v>0</v>
      </c>
      <c r="V18" s="15">
        <f t="shared" si="7"/>
        <v>336363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91">
        <v>4474</v>
      </c>
      <c r="L19" s="91">
        <v>8746</v>
      </c>
      <c r="M19" s="156">
        <f t="shared" si="5"/>
        <v>97794</v>
      </c>
      <c r="N19" s="155">
        <f t="shared" si="5"/>
        <v>251789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13220</v>
      </c>
      <c r="U19" s="15">
        <f t="shared" si="3"/>
        <v>0</v>
      </c>
      <c r="V19" s="15">
        <f t="shared" si="7"/>
        <v>349583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91">
        <v>6128</v>
      </c>
      <c r="L20" s="91">
        <v>7863</v>
      </c>
      <c r="M20" s="156">
        <f t="shared" si="5"/>
        <v>103922</v>
      </c>
      <c r="N20" s="155">
        <f t="shared" si="5"/>
        <v>259652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13991</v>
      </c>
      <c r="U20" s="15">
        <f t="shared" si="3"/>
        <v>0</v>
      </c>
      <c r="V20" s="15">
        <f t="shared" si="7"/>
        <v>363574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91">
        <v>10588</v>
      </c>
      <c r="L21" s="91">
        <v>56974</v>
      </c>
      <c r="M21" s="156">
        <f t="shared" si="5"/>
        <v>114510</v>
      </c>
      <c r="N21" s="155">
        <f t="shared" si="5"/>
        <v>316626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67562</v>
      </c>
      <c r="U21" s="15">
        <f t="shared" si="3"/>
        <v>0</v>
      </c>
      <c r="V21" s="15">
        <f t="shared" si="7"/>
        <v>431136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91">
        <v>24206</v>
      </c>
      <c r="L22" s="91">
        <v>8587</v>
      </c>
      <c r="M22" s="156">
        <f t="shared" si="5"/>
        <v>138716</v>
      </c>
      <c r="N22" s="155">
        <f t="shared" si="5"/>
        <v>325213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32793</v>
      </c>
      <c r="U22" s="15">
        <f t="shared" si="3"/>
        <v>0</v>
      </c>
      <c r="V22" s="15">
        <f t="shared" si="7"/>
        <v>463929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91">
        <v>20524</v>
      </c>
      <c r="L23" s="91">
        <v>9888</v>
      </c>
      <c r="M23" s="156">
        <f t="shared" si="5"/>
        <v>159240</v>
      </c>
      <c r="N23" s="155">
        <f t="shared" si="5"/>
        <v>335101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30412</v>
      </c>
      <c r="U23" s="15">
        <f t="shared" si="3"/>
        <v>0</v>
      </c>
      <c r="V23" s="15">
        <f t="shared" si="7"/>
        <v>494341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91">
        <v>39397</v>
      </c>
      <c r="L24" s="91">
        <v>5642</v>
      </c>
      <c r="M24" s="156">
        <f t="shared" si="5"/>
        <v>198637</v>
      </c>
      <c r="N24" s="155">
        <f t="shared" si="5"/>
        <v>340743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45039</v>
      </c>
      <c r="U24" s="15">
        <f t="shared" si="3"/>
        <v>0</v>
      </c>
      <c r="V24" s="15">
        <f t="shared" si="7"/>
        <v>539380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91">
        <v>9492</v>
      </c>
      <c r="L25" s="91">
        <v>4936</v>
      </c>
      <c r="M25" s="156">
        <f t="shared" si="5"/>
        <v>208129</v>
      </c>
      <c r="N25" s="155">
        <f t="shared" si="5"/>
        <v>345679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14428</v>
      </c>
      <c r="U25" s="15">
        <f t="shared" si="3"/>
        <v>0</v>
      </c>
      <c r="V25" s="15">
        <f t="shared" si="7"/>
        <v>553808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91"/>
      <c r="L26" s="91"/>
      <c r="M26" s="156">
        <f t="shared" ref="M26:N41" si="12">M25+K26</f>
        <v>208129</v>
      </c>
      <c r="N26" s="155">
        <f t="shared" si="12"/>
        <v>345679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0</v>
      </c>
      <c r="U26" s="15">
        <f t="shared" si="3"/>
        <v>0</v>
      </c>
      <c r="V26" s="15">
        <f t="shared" si="7"/>
        <v>553808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91"/>
      <c r="L27" s="91"/>
      <c r="M27" s="156">
        <f t="shared" si="12"/>
        <v>208129</v>
      </c>
      <c r="N27" s="155">
        <f t="shared" si="12"/>
        <v>345679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0</v>
      </c>
      <c r="U27" s="15">
        <f t="shared" si="3"/>
        <v>0</v>
      </c>
      <c r="V27" s="15">
        <f t="shared" si="7"/>
        <v>553808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91"/>
      <c r="M28" s="156">
        <f t="shared" si="12"/>
        <v>208129</v>
      </c>
      <c r="N28" s="155">
        <f t="shared" si="12"/>
        <v>345679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159</v>
      </c>
      <c r="T28" s="15">
        <f t="shared" si="6"/>
        <v>0</v>
      </c>
      <c r="U28" s="15">
        <f t="shared" si="3"/>
        <v>0</v>
      </c>
      <c r="V28" s="15">
        <f t="shared" si="7"/>
        <v>553808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91"/>
      <c r="M29" s="156">
        <f t="shared" si="12"/>
        <v>208129</v>
      </c>
      <c r="N29" s="155">
        <f t="shared" si="12"/>
        <v>345679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553808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208129</v>
      </c>
      <c r="N30" s="155">
        <f t="shared" si="12"/>
        <v>345679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553808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208129</v>
      </c>
      <c r="N31" s="155">
        <f t="shared" si="12"/>
        <v>345679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553808</v>
      </c>
      <c r="W31" s="162"/>
      <c r="X31" s="162" t="s">
        <v>160</v>
      </c>
    </row>
    <row r="32" spans="1:24" ht="14.4" x14ac:dyDescent="0.3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208129</v>
      </c>
      <c r="N32" s="155">
        <f t="shared" si="12"/>
        <v>345679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553808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208129</v>
      </c>
      <c r="N33" s="155">
        <f t="shared" si="12"/>
        <v>345679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553808</v>
      </c>
    </row>
    <row r="34" spans="1:22" ht="14.4" x14ac:dyDescent="0.3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208129</v>
      </c>
      <c r="N34" s="155">
        <f t="shared" si="12"/>
        <v>345679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553808</v>
      </c>
    </row>
    <row r="35" spans="1:22" ht="14.4" x14ac:dyDescent="0.3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208129</v>
      </c>
      <c r="N35" s="155">
        <f t="shared" si="12"/>
        <v>345679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553808</v>
      </c>
    </row>
    <row r="36" spans="1:22" ht="14.4" x14ac:dyDescent="0.3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208129</v>
      </c>
      <c r="N36" s="155">
        <f t="shared" si="12"/>
        <v>345679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553808</v>
      </c>
    </row>
    <row r="37" spans="1:22" ht="14.4" x14ac:dyDescent="0.3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208129</v>
      </c>
      <c r="N37" s="155">
        <f t="shared" si="12"/>
        <v>345679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553808</v>
      </c>
    </row>
    <row r="38" spans="1:22" ht="14.4" x14ac:dyDescent="0.3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208129</v>
      </c>
      <c r="N38" s="155">
        <f t="shared" si="12"/>
        <v>345679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553808</v>
      </c>
    </row>
    <row r="39" spans="1:22" ht="14.4" x14ac:dyDescent="0.3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208129</v>
      </c>
      <c r="N39" s="155">
        <f t="shared" si="12"/>
        <v>345679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553808</v>
      </c>
    </row>
    <row r="40" spans="1:22" ht="14.4" x14ac:dyDescent="0.3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208129</v>
      </c>
      <c r="N40" s="155">
        <f t="shared" si="12"/>
        <v>345679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553808</v>
      </c>
    </row>
    <row r="41" spans="1:22" ht="14.4" x14ac:dyDescent="0.3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208129</v>
      </c>
      <c r="N41" s="155">
        <f t="shared" si="12"/>
        <v>345679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553808</v>
      </c>
    </row>
    <row r="42" spans="1:22" ht="14.4" x14ac:dyDescent="0.3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208129</v>
      </c>
      <c r="N42" s="155">
        <f t="shared" si="16"/>
        <v>345679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553808</v>
      </c>
    </row>
    <row r="43" spans="1:22" ht="14.4" x14ac:dyDescent="0.3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208129</v>
      </c>
      <c r="N43" s="155">
        <f t="shared" si="16"/>
        <v>345679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553808</v>
      </c>
    </row>
    <row r="44" spans="1:22" ht="14.4" x14ac:dyDescent="0.3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208129</v>
      </c>
      <c r="N44" s="155">
        <f t="shared" si="16"/>
        <v>345679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553808</v>
      </c>
    </row>
    <row r="45" spans="1:22" ht="14.4" x14ac:dyDescent="0.3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208129</v>
      </c>
      <c r="N45" s="155">
        <f t="shared" si="16"/>
        <v>345679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553808</v>
      </c>
    </row>
    <row r="46" spans="1:22" ht="14.4" x14ac:dyDescent="0.3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208129</v>
      </c>
      <c r="N46" s="155">
        <f t="shared" si="16"/>
        <v>345679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553808</v>
      </c>
    </row>
    <row r="47" spans="1:22" ht="14.4" x14ac:dyDescent="0.3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208129</v>
      </c>
      <c r="N47" s="155">
        <f t="shared" si="16"/>
        <v>345679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553808</v>
      </c>
    </row>
    <row r="48" spans="1:22" ht="14.4" x14ac:dyDescent="0.3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208129</v>
      </c>
      <c r="N48" s="155">
        <f t="shared" si="16"/>
        <v>345679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553808</v>
      </c>
    </row>
    <row r="49" spans="1:22" ht="14.4" x14ac:dyDescent="0.3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208129</v>
      </c>
      <c r="N49" s="155">
        <f t="shared" si="16"/>
        <v>345679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553808</v>
      </c>
    </row>
    <row r="50" spans="1:22" ht="14.4" x14ac:dyDescent="0.3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208129</v>
      </c>
      <c r="N50" s="155">
        <f t="shared" si="16"/>
        <v>345679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553808</v>
      </c>
    </row>
    <row r="51" spans="1:22" ht="14.4" x14ac:dyDescent="0.3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208129</v>
      </c>
      <c r="N51" s="155">
        <f t="shared" si="16"/>
        <v>345679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553808</v>
      </c>
    </row>
    <row r="52" spans="1:22" ht="14.4" x14ac:dyDescent="0.3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208129</v>
      </c>
      <c r="N52" s="155">
        <f t="shared" si="16"/>
        <v>345679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553808</v>
      </c>
    </row>
    <row r="53" spans="1:22" ht="14.4" x14ac:dyDescent="0.3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208129</v>
      </c>
      <c r="N53" s="155">
        <f t="shared" si="16"/>
        <v>345679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553808</v>
      </c>
    </row>
    <row r="54" spans="1:22" ht="14.4" x14ac:dyDescent="0.3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208129</v>
      </c>
      <c r="N54" s="155">
        <f t="shared" si="16"/>
        <v>345679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553808</v>
      </c>
    </row>
    <row r="55" spans="1:22" ht="14.4" x14ac:dyDescent="0.3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208129</v>
      </c>
      <c r="N55" s="155">
        <f t="shared" si="16"/>
        <v>345679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553808</v>
      </c>
    </row>
    <row r="56" spans="1:22" ht="14.4" x14ac:dyDescent="0.3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208129</v>
      </c>
      <c r="N56" s="155">
        <f t="shared" si="16"/>
        <v>345679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553808</v>
      </c>
    </row>
    <row r="57" spans="1:22" ht="14.4" x14ac:dyDescent="0.3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208129</v>
      </c>
      <c r="N57" s="155">
        <f t="shared" si="16"/>
        <v>345679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553808</v>
      </c>
    </row>
    <row r="58" spans="1:22" ht="14.4" x14ac:dyDescent="0.3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208129</v>
      </c>
      <c r="N58" s="155">
        <f t="shared" si="19"/>
        <v>345679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553808</v>
      </c>
    </row>
    <row r="59" spans="1:22" ht="14.4" x14ac:dyDescent="0.3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208129</v>
      </c>
      <c r="N59" s="155">
        <f t="shared" si="19"/>
        <v>345679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553808</v>
      </c>
    </row>
    <row r="60" spans="1:22" ht="14.4" x14ac:dyDescent="0.3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208129</v>
      </c>
      <c r="N60" s="155">
        <f t="shared" si="19"/>
        <v>345679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553808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208129</v>
      </c>
      <c r="N61" s="158">
        <f>N60+L61</f>
        <v>345679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553808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t="s">
        <v>169</v>
      </c>
      <c r="H1" t="s">
        <v>164</v>
      </c>
      <c r="I1" t="s">
        <v>165</v>
      </c>
      <c r="J1" t="s">
        <v>166</v>
      </c>
      <c r="K1" t="s">
        <v>167</v>
      </c>
      <c r="L1" t="s">
        <v>168</v>
      </c>
      <c r="M1" t="s">
        <v>169</v>
      </c>
      <c r="N1" t="s">
        <v>170</v>
      </c>
      <c r="P1" t="s">
        <v>164</v>
      </c>
      <c r="Q1" t="s">
        <v>165</v>
      </c>
      <c r="R1" t="s">
        <v>166</v>
      </c>
      <c r="S1" t="s">
        <v>167</v>
      </c>
      <c r="T1" t="s">
        <v>168</v>
      </c>
      <c r="U1" t="s">
        <v>169</v>
      </c>
      <c r="V1" t="s">
        <v>170</v>
      </c>
    </row>
    <row r="2" spans="1:22" x14ac:dyDescent="0.25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5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5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5" customHeight="1" x14ac:dyDescent="0.25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5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5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5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5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5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5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5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5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5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5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5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5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5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5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5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5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5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5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5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5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5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5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5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5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5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5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5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5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5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5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5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5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5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5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5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5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5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5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5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5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5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5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5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5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5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5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5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5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5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5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54" customFormat="1" ht="15.6" x14ac:dyDescent="0.3">
      <c r="A1" s="53" t="s">
        <v>171</v>
      </c>
    </row>
    <row r="2" spans="1:2" s="54" customFormat="1" ht="15.6" x14ac:dyDescent="0.3">
      <c r="A2" s="53" t="s">
        <v>172</v>
      </c>
    </row>
    <row r="3" spans="1:2" s="54" customFormat="1" ht="15" x14ac:dyDescent="0.25"/>
    <row r="4" spans="1:2" s="54" customFormat="1" ht="15" x14ac:dyDescent="0.25">
      <c r="A4" s="98" t="s">
        <v>173</v>
      </c>
      <c r="B4" s="75" t="e">
        <f>#REF!</f>
        <v>#REF!</v>
      </c>
    </row>
    <row r="5" spans="1:2" s="54" customFormat="1" ht="15" x14ac:dyDescent="0.25">
      <c r="A5" s="98" t="s">
        <v>174</v>
      </c>
      <c r="B5" s="55" t="e">
        <f>B4</f>
        <v>#REF!</v>
      </c>
    </row>
    <row r="6" spans="1:2" s="54" customFormat="1" ht="15" x14ac:dyDescent="0.25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54" customFormat="1" ht="15.6" x14ac:dyDescent="0.3">
      <c r="A1" s="53" t="s">
        <v>175</v>
      </c>
    </row>
    <row r="2" spans="1:8" s="54" customFormat="1" ht="15.6" x14ac:dyDescent="0.3">
      <c r="A2" s="53" t="s">
        <v>172</v>
      </c>
    </row>
    <row r="3" spans="1:8" s="54" customFormat="1" ht="15" x14ac:dyDescent="0.25"/>
    <row r="4" spans="1:8" s="54" customFormat="1" ht="15" x14ac:dyDescent="0.25">
      <c r="A4" s="98" t="s">
        <v>173</v>
      </c>
      <c r="B4" s="75" t="e">
        <f>#REF!</f>
        <v>#REF!</v>
      </c>
    </row>
    <row r="5" spans="1:8" s="54" customFormat="1" ht="15" x14ac:dyDescent="0.25">
      <c r="A5" s="98" t="s">
        <v>174</v>
      </c>
      <c r="B5" s="55" t="e">
        <f>B4</f>
        <v>#REF!</v>
      </c>
    </row>
    <row r="7" spans="1:8" ht="15.6" x14ac:dyDescent="0.3">
      <c r="A7" s="206" t="s">
        <v>176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177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178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179</v>
      </c>
      <c r="C10" s="107" t="s">
        <v>180</v>
      </c>
      <c r="D10" s="107" t="s">
        <v>181</v>
      </c>
      <c r="E10" s="107" t="s">
        <v>182</v>
      </c>
      <c r="F10" s="107" t="s">
        <v>183</v>
      </c>
      <c r="G10" s="107" t="s">
        <v>184</v>
      </c>
      <c r="H10" s="107" t="s">
        <v>184</v>
      </c>
    </row>
    <row r="11" spans="1:8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186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188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5">
      <c r="A18" s="106">
        <v>8</v>
      </c>
      <c r="B18" s="106" t="s">
        <v>192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5">
      <c r="A21" s="106">
        <v>11</v>
      </c>
      <c r="B21" s="106" t="s">
        <v>195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5">
      <c r="A23" s="106">
        <v>13</v>
      </c>
      <c r="B23" s="106" t="s">
        <v>197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5">
      <c r="A24" s="106">
        <v>14</v>
      </c>
      <c r="B24" s="106" t="s">
        <v>198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5">
      <c r="A25" s="106">
        <v>15</v>
      </c>
      <c r="B25" s="106" t="s">
        <v>199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5">
      <c r="A27" s="106">
        <v>17</v>
      </c>
      <c r="B27" s="106" t="s">
        <v>201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5">
      <c r="A29" s="106">
        <v>19</v>
      </c>
      <c r="B29" s="106" t="s">
        <v>203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5">
      <c r="A32" s="106">
        <v>22</v>
      </c>
      <c r="B32" s="106" t="s">
        <v>206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5">
      <c r="A33" s="106">
        <v>23</v>
      </c>
      <c r="B33" s="106" t="s">
        <v>207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5">
      <c r="A35" s="106">
        <v>25</v>
      </c>
      <c r="B35" s="106" t="s">
        <v>209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5">
      <c r="A36" s="106">
        <v>26</v>
      </c>
      <c r="B36" s="106" t="s">
        <v>210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5">
      <c r="A40" s="106">
        <v>30</v>
      </c>
      <c r="B40" s="106" t="s">
        <v>214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5">
      <c r="A41" s="106">
        <v>31</v>
      </c>
      <c r="B41" s="106" t="s">
        <v>215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5">
      <c r="A45" s="106" t="s">
        <v>219</v>
      </c>
      <c r="B45" s="106" t="s">
        <v>220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5">
      <c r="A48" s="106">
        <v>38</v>
      </c>
      <c r="B48" s="106" t="s">
        <v>223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5">
      <c r="A49" s="106">
        <v>39</v>
      </c>
      <c r="B49" s="106" t="s">
        <v>224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5">
      <c r="A50" s="106">
        <v>40</v>
      </c>
      <c r="B50" s="106" t="s">
        <v>225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5">
      <c r="A52" s="106">
        <v>42</v>
      </c>
      <c r="B52" s="106" t="s">
        <v>227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5">
      <c r="A53" s="106">
        <v>43</v>
      </c>
      <c r="B53" s="106" t="s">
        <v>228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5">
      <c r="A54" s="106">
        <v>44</v>
      </c>
      <c r="B54" s="10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5">
      <c r="A55" s="106">
        <v>45</v>
      </c>
      <c r="B55" s="106" t="s">
        <v>230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5">
      <c r="A56" s="106">
        <v>46</v>
      </c>
      <c r="B56" s="106" t="s">
        <v>231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5">
      <c r="A57" s="106">
        <v>47</v>
      </c>
      <c r="B57" s="106" t="s">
        <v>232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5">
      <c r="A58" s="106">
        <v>48</v>
      </c>
      <c r="B58" s="106" t="s">
        <v>233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5">
      <c r="A59" s="106">
        <v>49</v>
      </c>
      <c r="B59" s="106" t="s">
        <v>234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5">
      <c r="A60" s="106">
        <v>50</v>
      </c>
      <c r="B60" s="106" t="s">
        <v>235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5">
      <c r="A61" s="106">
        <v>51</v>
      </c>
      <c r="B61" s="106" t="s">
        <v>236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5">
      <c r="A62" s="106">
        <v>52</v>
      </c>
      <c r="B62" s="106" t="s">
        <v>237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5">
      <c r="A63" s="106" t="s">
        <v>178</v>
      </c>
      <c r="B63" s="106" t="s">
        <v>238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5">
      <c r="A65" t="s">
        <v>239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54" customFormat="1" ht="15.6" x14ac:dyDescent="0.3">
      <c r="A1" s="53" t="s">
        <v>240</v>
      </c>
    </row>
    <row r="2" spans="1:11" s="54" customFormat="1" ht="15.6" x14ac:dyDescent="0.3">
      <c r="A2" s="53" t="s">
        <v>241</v>
      </c>
    </row>
    <row r="3" spans="1:11" s="54" customFormat="1" ht="15" x14ac:dyDescent="0.25"/>
    <row r="4" spans="1:11" s="54" customFormat="1" ht="15" x14ac:dyDescent="0.25">
      <c r="A4" s="98" t="s">
        <v>173</v>
      </c>
      <c r="B4" s="75" t="e">
        <f>#REF!</f>
        <v>#REF!</v>
      </c>
    </row>
    <row r="5" spans="1:11" s="54" customFormat="1" ht="15" x14ac:dyDescent="0.25">
      <c r="A5" s="98" t="s">
        <v>174</v>
      </c>
      <c r="B5" s="55" t="e">
        <f>B4</f>
        <v>#REF!</v>
      </c>
    </row>
    <row r="7" spans="1:11" ht="15.6" x14ac:dyDescent="0.3">
      <c r="A7" s="206" t="s">
        <v>242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6" x14ac:dyDescent="0.3">
      <c r="A8" s="206" t="s">
        <v>243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5">
      <c r="A9" s="209" t="s">
        <v>178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5">
      <c r="A10" s="107"/>
      <c r="B10" s="107" t="s">
        <v>179</v>
      </c>
      <c r="C10" s="107" t="s">
        <v>244</v>
      </c>
      <c r="D10" s="107" t="s">
        <v>245</v>
      </c>
      <c r="E10" s="107" t="s">
        <v>246</v>
      </c>
      <c r="F10" s="107" t="s">
        <v>247</v>
      </c>
      <c r="G10" s="107" t="s">
        <v>248</v>
      </c>
      <c r="H10" s="107" t="s">
        <v>249</v>
      </c>
      <c r="I10" s="107" t="s">
        <v>250</v>
      </c>
      <c r="J10" s="107" t="s">
        <v>184</v>
      </c>
      <c r="K10" s="107" t="s">
        <v>184</v>
      </c>
    </row>
    <row r="11" spans="1:11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5">
      <c r="A12" s="106">
        <v>2</v>
      </c>
      <c r="B12" s="106" t="s">
        <v>186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5">
      <c r="A14" s="106">
        <v>4</v>
      </c>
      <c r="B14" s="106" t="s">
        <v>188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5">
      <c r="A18" s="106">
        <v>8</v>
      </c>
      <c r="B18" s="106" t="s">
        <v>192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5">
      <c r="A21" s="106">
        <v>11</v>
      </c>
      <c r="B21" s="106" t="s">
        <v>195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5">
      <c r="A23" s="106">
        <v>13</v>
      </c>
      <c r="B23" s="106" t="s">
        <v>197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5">
      <c r="A24" s="106">
        <v>14</v>
      </c>
      <c r="B24" s="106" t="s">
        <v>198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5">
      <c r="A25" s="106">
        <v>15</v>
      </c>
      <c r="B25" s="106" t="s">
        <v>199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5">
      <c r="A27" s="106">
        <v>17</v>
      </c>
      <c r="B27" s="106" t="s">
        <v>201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5">
      <c r="A29" s="106">
        <v>19</v>
      </c>
      <c r="B29" s="106" t="s">
        <v>203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5">
      <c r="A32" s="106">
        <v>22</v>
      </c>
      <c r="B32" s="106" t="s">
        <v>206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5">
      <c r="A33" s="106">
        <v>23</v>
      </c>
      <c r="B33" s="106" t="s">
        <v>207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5">
      <c r="A35" s="106">
        <v>25</v>
      </c>
      <c r="B35" s="106" t="s">
        <v>209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5">
      <c r="A36" s="106">
        <v>26</v>
      </c>
      <c r="B36" s="106" t="s">
        <v>210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5">
      <c r="A40" s="106">
        <v>30</v>
      </c>
      <c r="B40" s="106" t="s">
        <v>214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5">
      <c r="A41" s="106">
        <v>31</v>
      </c>
      <c r="B41" s="106" t="s">
        <v>215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5">
      <c r="A45" s="106" t="s">
        <v>219</v>
      </c>
      <c r="B45" s="106" t="s">
        <v>220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5">
      <c r="A48" s="106">
        <v>38</v>
      </c>
      <c r="B48" s="106" t="s">
        <v>223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5">
      <c r="A49" s="106">
        <v>39</v>
      </c>
      <c r="B49" s="106" t="s">
        <v>224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5">
      <c r="A50" s="106">
        <v>40</v>
      </c>
      <c r="B50" s="106" t="s">
        <v>225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5">
      <c r="A52" s="106">
        <v>42</v>
      </c>
      <c r="B52" s="106" t="s">
        <v>227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5">
      <c r="A53" s="106">
        <v>43</v>
      </c>
      <c r="B53" s="106" t="s">
        <v>228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5">
      <c r="A54" s="106">
        <v>44</v>
      </c>
      <c r="B54" s="106" t="s">
        <v>229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5">
      <c r="A55" s="106">
        <v>45</v>
      </c>
      <c r="B55" s="106" t="s">
        <v>230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5">
      <c r="A56" s="106">
        <v>46</v>
      </c>
      <c r="B56" s="106" t="s">
        <v>231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5">
      <c r="A57" s="106">
        <v>47</v>
      </c>
      <c r="B57" s="106" t="s">
        <v>232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5">
      <c r="A58" s="106">
        <v>48</v>
      </c>
      <c r="B58" s="106" t="s">
        <v>233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5">
      <c r="A59" s="106">
        <v>49</v>
      </c>
      <c r="B59" s="106" t="s">
        <v>234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5">
      <c r="A60" s="106">
        <v>50</v>
      </c>
      <c r="B60" s="106" t="s">
        <v>235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5">
      <c r="A61" s="106">
        <v>51</v>
      </c>
      <c r="B61" s="106" t="s">
        <v>236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5">
      <c r="A62" s="106">
        <v>52</v>
      </c>
      <c r="B62" s="106" t="s">
        <v>237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5">
      <c r="A63" s="106" t="s">
        <v>178</v>
      </c>
      <c r="B63" s="106" t="s">
        <v>238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5">
      <c r="A65" t="s">
        <v>251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54" customFormat="1" ht="15.6" x14ac:dyDescent="0.3">
      <c r="A1" s="53" t="s">
        <v>252</v>
      </c>
    </row>
    <row r="2" spans="1:8" s="54" customFormat="1" ht="15.6" x14ac:dyDescent="0.3">
      <c r="A2" s="53" t="s">
        <v>253</v>
      </c>
    </row>
    <row r="3" spans="1:8" s="54" customFormat="1" ht="15" x14ac:dyDescent="0.25"/>
    <row r="4" spans="1:8" s="54" customFormat="1" ht="15" x14ac:dyDescent="0.25">
      <c r="A4" s="98" t="s">
        <v>173</v>
      </c>
      <c r="B4" s="75" t="e">
        <f>#REF!</f>
        <v>#REF!</v>
      </c>
    </row>
    <row r="5" spans="1:8" s="54" customFormat="1" ht="15" x14ac:dyDescent="0.25">
      <c r="A5" s="98" t="s">
        <v>174</v>
      </c>
      <c r="B5" s="55" t="e">
        <f>B4</f>
        <v>#REF!</v>
      </c>
    </row>
    <row r="7" spans="1:8" ht="15.6" x14ac:dyDescent="0.3">
      <c r="A7" s="206" t="s">
        <v>254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255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178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179</v>
      </c>
      <c r="C10" s="107" t="s">
        <v>256</v>
      </c>
      <c r="D10" s="107" t="s">
        <v>247</v>
      </c>
      <c r="E10" s="107" t="s">
        <v>248</v>
      </c>
      <c r="F10" s="107" t="s">
        <v>250</v>
      </c>
      <c r="G10" s="107" t="s">
        <v>184</v>
      </c>
      <c r="H10" s="107" t="s">
        <v>184</v>
      </c>
    </row>
    <row r="11" spans="1:8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186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188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5">
      <c r="A18" s="106">
        <v>8</v>
      </c>
      <c r="B18" s="106" t="s">
        <v>192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5">
      <c r="A21" s="106">
        <v>11</v>
      </c>
      <c r="B21" s="106" t="s">
        <v>195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5">
      <c r="A23" s="106">
        <v>13</v>
      </c>
      <c r="B23" s="106" t="s">
        <v>197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5">
      <c r="A24" s="106">
        <v>14</v>
      </c>
      <c r="B24" s="106" t="s">
        <v>198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5">
      <c r="A25" s="106">
        <v>15</v>
      </c>
      <c r="B25" s="106" t="s">
        <v>199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5">
      <c r="A27" s="106">
        <v>17</v>
      </c>
      <c r="B27" s="106" t="s">
        <v>201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5">
      <c r="A29" s="106">
        <v>19</v>
      </c>
      <c r="B29" s="106" t="s">
        <v>203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5">
      <c r="A32" s="106">
        <v>22</v>
      </c>
      <c r="B32" s="106" t="s">
        <v>206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5">
      <c r="A33" s="106">
        <v>23</v>
      </c>
      <c r="B33" s="106" t="s">
        <v>207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5">
      <c r="A35" s="106">
        <v>25</v>
      </c>
      <c r="B35" s="106" t="s">
        <v>209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5">
      <c r="A36" s="106">
        <v>26</v>
      </c>
      <c r="B36" s="106" t="s">
        <v>210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5">
      <c r="A40" s="106">
        <v>30</v>
      </c>
      <c r="B40" s="106" t="s">
        <v>214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5">
      <c r="A41" s="106">
        <v>31</v>
      </c>
      <c r="B41" s="106" t="s">
        <v>215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5">
      <c r="A45" s="106" t="s">
        <v>219</v>
      </c>
      <c r="B45" s="106" t="s">
        <v>220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5">
      <c r="A48" s="106">
        <v>38</v>
      </c>
      <c r="B48" s="106" t="s">
        <v>223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5">
      <c r="A49" s="106">
        <v>39</v>
      </c>
      <c r="B49" s="106" t="s">
        <v>224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5">
      <c r="A50" s="106">
        <v>40</v>
      </c>
      <c r="B50" s="106" t="s">
        <v>225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5">
      <c r="A52" s="106">
        <v>42</v>
      </c>
      <c r="B52" s="106" t="s">
        <v>227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5">
      <c r="A53" s="106">
        <v>43</v>
      </c>
      <c r="B53" s="106" t="s">
        <v>228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5">
      <c r="A54" s="106">
        <v>44</v>
      </c>
      <c r="B54" s="10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5">
      <c r="A55" s="106">
        <v>45</v>
      </c>
      <c r="B55" s="106" t="s">
        <v>230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5">
      <c r="A56" s="106">
        <v>46</v>
      </c>
      <c r="B56" s="106" t="s">
        <v>231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5">
      <c r="A57" s="106">
        <v>47</v>
      </c>
      <c r="B57" s="106" t="s">
        <v>232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5">
      <c r="A58" s="106">
        <v>48</v>
      </c>
      <c r="B58" s="106" t="s">
        <v>233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5">
      <c r="A59" s="106">
        <v>49</v>
      </c>
      <c r="B59" s="106" t="s">
        <v>234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5">
      <c r="A60" s="106">
        <v>50</v>
      </c>
      <c r="B60" s="106" t="s">
        <v>235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5">
      <c r="A61" s="106">
        <v>51</v>
      </c>
      <c r="B61" s="106" t="s">
        <v>236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5">
      <c r="A62" s="106">
        <v>52</v>
      </c>
      <c r="B62" s="106" t="s">
        <v>237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5">
      <c r="A63" s="106" t="s">
        <v>178</v>
      </c>
      <c r="B63" s="106" t="s">
        <v>238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5">
      <c r="A65" t="s">
        <v>251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2025-08-29T05:45:51Z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