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7E10CA2C-3CFE-4739-A7AC-E3ADD0DBE0E9}" xr6:coauthVersionLast="47" xr6:coauthVersionMax="47" xr10:uidLastSave="{00000000-0000-0000-0000-000000000000}"/>
  <bookViews>
    <workbookView xWindow="-108" yWindow="-108" windowWidth="23256" windowHeight="12456" tabRatio="836" firstSheet="2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Lewerings tot datum " sheetId="13" state="hidden" r:id="rId5"/>
    <sheet name="Lewerings tot datum (WM)" sheetId="24" state="hidden" r:id="rId6"/>
    <sheet name="Lewerings tot datum (YM)" sheetId="25" state="hidden" r:id="rId7"/>
    <sheet name="Chart1" sheetId="27" state="hidden" r:id="rId8"/>
    <sheet name="Lewerings tot datum (TM)" sheetId="26" state="hidden" r:id="rId9"/>
    <sheet name="Weeklikse kumulatiewe lewerings" sheetId="15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  <sheet name="Lewerings tot datum (TM)1" sheetId="29" r:id="rId18"/>
  </sheets>
  <externalReferences>
    <externalReference r:id="rId19"/>
    <externalReference r:id="rId20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S18" i="21"/>
  <c r="S11" i="21"/>
  <c r="S22" i="21"/>
  <c r="S21" i="21"/>
  <c r="S20" i="21"/>
  <c r="S19" i="21"/>
  <c r="S15" i="21"/>
  <c r="S14" i="21"/>
  <c r="S13" i="21"/>
  <c r="S12" i="21"/>
  <c r="S8" i="21"/>
  <c r="S7" i="21"/>
  <c r="S6" i="21"/>
  <c r="S5" i="21"/>
  <c r="V20" i="6"/>
  <c r="U20" i="6"/>
  <c r="V19" i="6"/>
  <c r="U77" i="6"/>
  <c r="U17" i="6"/>
  <c r="U74" i="6"/>
  <c r="U73" i="6"/>
  <c r="U75" i="6" s="1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19" i="6"/>
  <c r="U15" i="6"/>
  <c r="U14" i="6"/>
  <c r="U16" i="6" s="1"/>
  <c r="U18" i="6" s="1"/>
  <c r="U78" i="6" s="1"/>
  <c r="V20" i="17"/>
  <c r="V19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U19" i="17"/>
  <c r="U77" i="17"/>
  <c r="U17" i="17"/>
  <c r="U78" i="17"/>
  <c r="U75" i="17"/>
  <c r="U20" i="17"/>
  <c r="U79" i="17"/>
  <c r="U16" i="17"/>
  <c r="U19" i="16"/>
  <c r="U18" i="16"/>
  <c r="U79" i="6" l="1"/>
  <c r="U80" i="6" s="1"/>
  <c r="U82" i="6" s="1"/>
  <c r="U80" i="17"/>
  <c r="U82" i="17" s="1"/>
  <c r="T78" i="16" l="1"/>
  <c r="T77" i="16"/>
  <c r="T76" i="16"/>
  <c r="T74" i="16"/>
  <c r="T19" i="16"/>
  <c r="T18" i="16"/>
  <c r="T17" i="16"/>
  <c r="T16" i="16"/>
  <c r="T15" i="16"/>
  <c r="L17" i="1"/>
  <c r="M17" i="1"/>
  <c r="M16" i="1"/>
  <c r="L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S79" i="17"/>
  <c r="R78" i="16"/>
  <c r="K78" i="16"/>
  <c r="L78" i="16"/>
  <c r="M78" i="16"/>
  <c r="N78" i="16"/>
  <c r="O78" i="16"/>
  <c r="P78" i="16"/>
  <c r="Q78" i="16"/>
  <c r="V74" i="17"/>
  <c r="V73" i="17"/>
  <c r="T79" i="16" l="1"/>
  <c r="T81" i="16" s="1"/>
  <c r="G79" i="6"/>
  <c r="E20" i="21" s="1"/>
  <c r="H79" i="6"/>
  <c r="I79" i="6"/>
  <c r="J79" i="6"/>
  <c r="K79" i="6"/>
  <c r="I20" i="21" s="1"/>
  <c r="L79" i="6"/>
  <c r="M79" i="6"/>
  <c r="K20" i="21" s="1"/>
  <c r="N79" i="6"/>
  <c r="O79" i="6"/>
  <c r="M20" i="21" s="1"/>
  <c r="P79" i="6"/>
  <c r="Q79" i="6"/>
  <c r="G79" i="17"/>
  <c r="E13" i="21" s="1"/>
  <c r="H79" i="17"/>
  <c r="F13" i="21" s="1"/>
  <c r="I79" i="17"/>
  <c r="G13" i="21" s="1"/>
  <c r="J79" i="17"/>
  <c r="K79" i="17"/>
  <c r="L79" i="17"/>
  <c r="M79" i="17"/>
  <c r="N79" i="17"/>
  <c r="L13" i="21" s="1"/>
  <c r="O79" i="17"/>
  <c r="O80" i="17" s="1"/>
  <c r="P79" i="17"/>
  <c r="Q79" i="17"/>
  <c r="R79" i="17"/>
  <c r="S74" i="16"/>
  <c r="F78" i="16"/>
  <c r="E6" i="21" s="1"/>
  <c r="G78" i="16"/>
  <c r="H78" i="16"/>
  <c r="I78" i="16"/>
  <c r="J78" i="16"/>
  <c r="I6" i="21" s="1"/>
  <c r="K6" i="21"/>
  <c r="M6" i="21"/>
  <c r="O6" i="21"/>
  <c r="Q6" i="21"/>
  <c r="F16" i="1"/>
  <c r="J16" i="1"/>
  <c r="F17" i="1"/>
  <c r="J17" i="1"/>
  <c r="F18" i="1"/>
  <c r="J18" i="1"/>
  <c r="F19" i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F30" i="1"/>
  <c r="J30" i="1"/>
  <c r="F31" i="1"/>
  <c r="J31" i="1"/>
  <c r="F32" i="1"/>
  <c r="J32" i="1"/>
  <c r="F33" i="1"/>
  <c r="J33" i="1"/>
  <c r="F34" i="1"/>
  <c r="J34" i="1"/>
  <c r="F35" i="1"/>
  <c r="J35" i="1"/>
  <c r="F36" i="1"/>
  <c r="J36" i="1"/>
  <c r="F37" i="1"/>
  <c r="J37" i="1"/>
  <c r="F38" i="1"/>
  <c r="J38" i="1"/>
  <c r="F39" i="1"/>
  <c r="J39" i="1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F54" i="1"/>
  <c r="J54" i="1"/>
  <c r="F55" i="1"/>
  <c r="J55" i="1"/>
  <c r="F56" i="1"/>
  <c r="J56" i="1"/>
  <c r="F57" i="1"/>
  <c r="J57" i="1"/>
  <c r="F58" i="1"/>
  <c r="J58" i="1"/>
  <c r="U72" i="16"/>
  <c r="U73" i="16"/>
  <c r="F59" i="1"/>
  <c r="D79" i="6"/>
  <c r="E79" i="6"/>
  <c r="F79" i="6"/>
  <c r="D20" i="21" s="1"/>
  <c r="O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C10" i="4"/>
  <c r="R74" i="16"/>
  <c r="S73" i="6"/>
  <c r="T74" i="6"/>
  <c r="D79" i="17"/>
  <c r="E79" i="17"/>
  <c r="C13" i="21" s="1"/>
  <c r="F79" i="17"/>
  <c r="N74" i="16"/>
  <c r="P75" i="17"/>
  <c r="S16" i="17"/>
  <c r="P16" i="17"/>
  <c r="Q16" i="17"/>
  <c r="Q78" i="17"/>
  <c r="O12" i="21" s="1"/>
  <c r="O74" i="16"/>
  <c r="U74" i="16" s="1"/>
  <c r="P74" i="16"/>
  <c r="Q74" i="16"/>
  <c r="M74" i="16"/>
  <c r="N6" i="21"/>
  <c r="P6" i="21"/>
  <c r="N5" i="21"/>
  <c r="O5" i="21"/>
  <c r="M17" i="16"/>
  <c r="N17" i="16"/>
  <c r="O17" i="16"/>
  <c r="P17" i="16"/>
  <c r="L17" i="16"/>
  <c r="L80" i="16" s="1"/>
  <c r="N77" i="16"/>
  <c r="M5" i="21" s="1"/>
  <c r="D10" i="4"/>
  <c r="S15" i="6"/>
  <c r="S16" i="6" s="1"/>
  <c r="S18" i="6" s="1"/>
  <c r="S78" i="6" s="1"/>
  <c r="T15" i="6"/>
  <c r="S14" i="6"/>
  <c r="T14" i="6"/>
  <c r="T16" i="17"/>
  <c r="T78" i="17" s="1"/>
  <c r="R12" i="21" s="1"/>
  <c r="Q15" i="16"/>
  <c r="Q17" i="16" s="1"/>
  <c r="Q77" i="16" s="1"/>
  <c r="R15" i="16"/>
  <c r="R17" i="16" s="1"/>
  <c r="R77" i="16" s="1"/>
  <c r="S15" i="16"/>
  <c r="C20" i="6"/>
  <c r="S78" i="17"/>
  <c r="T75" i="17"/>
  <c r="P15" i="16"/>
  <c r="Q14" i="6"/>
  <c r="R77" i="6"/>
  <c r="V11" i="17"/>
  <c r="U5" i="16"/>
  <c r="U6" i="16"/>
  <c r="U7" i="16"/>
  <c r="U8" i="16"/>
  <c r="U9" i="16"/>
  <c r="U10" i="16"/>
  <c r="U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N67" i="1"/>
  <c r="J67" i="1"/>
  <c r="F67" i="1"/>
  <c r="J66" i="1"/>
  <c r="F66" i="1"/>
  <c r="J65" i="1"/>
  <c r="F65" i="1"/>
  <c r="J64" i="1"/>
  <c r="F64" i="1"/>
  <c r="J63" i="1"/>
  <c r="N63" i="1"/>
  <c r="F63" i="1"/>
  <c r="J62" i="1"/>
  <c r="F62" i="1"/>
  <c r="N59" i="1"/>
  <c r="J61" i="1"/>
  <c r="J60" i="1"/>
  <c r="F61" i="1"/>
  <c r="F60" i="1"/>
  <c r="J59" i="1"/>
  <c r="N56" i="1"/>
  <c r="S71" i="6"/>
  <c r="V70" i="6" s="1"/>
  <c r="S72" i="6"/>
  <c r="S77" i="6"/>
  <c r="Q12" i="21"/>
  <c r="S77" i="17"/>
  <c r="S75" i="17"/>
  <c r="R76" i="16"/>
  <c r="J17" i="16"/>
  <c r="J80" i="16" s="1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N54" i="1"/>
  <c r="S17" i="17"/>
  <c r="V4" i="17"/>
  <c r="V5" i="17"/>
  <c r="V6" i="17"/>
  <c r="V7" i="17"/>
  <c r="V8" i="17"/>
  <c r="V9" i="17"/>
  <c r="V10" i="17"/>
  <c r="F13" i="16"/>
  <c r="G13" i="16"/>
  <c r="H13" i="16"/>
  <c r="I13" i="16"/>
  <c r="J13" i="16"/>
  <c r="K14" i="6" s="1"/>
  <c r="U13" i="16"/>
  <c r="U15" i="16" s="1"/>
  <c r="U17" i="16" s="1"/>
  <c r="U77" i="16" s="1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E14" i="1"/>
  <c r="H14" i="1"/>
  <c r="I14" i="1"/>
  <c r="D14" i="1"/>
  <c r="E8" i="4"/>
  <c r="T73" i="6"/>
  <c r="T75" i="6" s="1"/>
  <c r="E9" i="4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F75" i="6" s="1"/>
  <c r="D78" i="16"/>
  <c r="E78" i="16"/>
  <c r="C6" i="21" s="1"/>
  <c r="R75" i="6"/>
  <c r="Q74" i="6"/>
  <c r="Q75" i="6" s="1"/>
  <c r="P73" i="6"/>
  <c r="V73" i="6" s="1"/>
  <c r="O17" i="17"/>
  <c r="P17" i="17"/>
  <c r="Q17" i="17"/>
  <c r="R17" i="17"/>
  <c r="N17" i="17"/>
  <c r="P17" i="6"/>
  <c r="Q17" i="6"/>
  <c r="R17" i="6"/>
  <c r="O17" i="6"/>
  <c r="V15" i="17"/>
  <c r="V14" i="17"/>
  <c r="U14" i="16"/>
  <c r="O16" i="16"/>
  <c r="P16" i="16"/>
  <c r="Q16" i="16"/>
  <c r="N16" i="16"/>
  <c r="R14" i="6"/>
  <c r="R15" i="6"/>
  <c r="V11" i="6"/>
  <c r="V10" i="6"/>
  <c r="V9" i="6"/>
  <c r="V8" i="6"/>
  <c r="V7" i="6"/>
  <c r="V6" i="6"/>
  <c r="V5" i="6"/>
  <c r="V4" i="6"/>
  <c r="R77" i="17"/>
  <c r="R16" i="17"/>
  <c r="V16" i="17" s="1"/>
  <c r="V18" i="17" s="1"/>
  <c r="V78" i="17" s="1"/>
  <c r="R78" i="17"/>
  <c r="P12" i="21" s="1"/>
  <c r="P77" i="16"/>
  <c r="S21" i="6"/>
  <c r="R20" i="6"/>
  <c r="R19" i="6"/>
  <c r="S22" i="6"/>
  <c r="S23" i="6"/>
  <c r="Q76" i="16"/>
  <c r="S24" i="6"/>
  <c r="S25" i="6"/>
  <c r="G20" i="21"/>
  <c r="H20" i="21"/>
  <c r="L20" i="21"/>
  <c r="N20" i="21"/>
  <c r="D13" i="21"/>
  <c r="I13" i="21"/>
  <c r="J13" i="21"/>
  <c r="O76" i="16"/>
  <c r="P76" i="16"/>
  <c r="M14" i="6"/>
  <c r="L14" i="6"/>
  <c r="N14" i="6"/>
  <c r="O14" i="6"/>
  <c r="P14" i="6"/>
  <c r="P16" i="6" s="1"/>
  <c r="L15" i="6"/>
  <c r="N15" i="6"/>
  <c r="O15" i="6"/>
  <c r="P15" i="6"/>
  <c r="P78" i="6"/>
  <c r="N19" i="21" s="1"/>
  <c r="P80" i="6"/>
  <c r="N21" i="21" s="1"/>
  <c r="O78" i="6"/>
  <c r="M15" i="6"/>
  <c r="M16" i="6" s="1"/>
  <c r="M18" i="6" s="1"/>
  <c r="M78" i="6" s="1"/>
  <c r="B20" i="21"/>
  <c r="C20" i="21"/>
  <c r="P74" i="6"/>
  <c r="L75" i="17"/>
  <c r="Q15" i="6"/>
  <c r="K15" i="16"/>
  <c r="K17" i="16"/>
  <c r="J20" i="21"/>
  <c r="F20" i="21"/>
  <c r="O78" i="17"/>
  <c r="M12" i="21" s="1"/>
  <c r="H73" i="6"/>
  <c r="N75" i="6"/>
  <c r="K18" i="6"/>
  <c r="F15" i="6"/>
  <c r="G15" i="6"/>
  <c r="G16" i="6"/>
  <c r="G78" i="6" s="1"/>
  <c r="G14" i="17"/>
  <c r="H14" i="17"/>
  <c r="H14" i="6" s="1"/>
  <c r="I14" i="17"/>
  <c r="I16" i="17" s="1"/>
  <c r="I18" i="17" s="1"/>
  <c r="J14" i="17"/>
  <c r="J16" i="17" s="1"/>
  <c r="J78" i="17" s="1"/>
  <c r="L16" i="17"/>
  <c r="L18" i="17"/>
  <c r="L78" i="17" s="1"/>
  <c r="G15" i="17"/>
  <c r="H15" i="17"/>
  <c r="I15" i="17"/>
  <c r="J15" i="17"/>
  <c r="J15" i="6" s="1"/>
  <c r="K16" i="17"/>
  <c r="K18" i="17" s="1"/>
  <c r="M16" i="17"/>
  <c r="M18" i="17"/>
  <c r="M78" i="17" s="1"/>
  <c r="K12" i="21" s="1"/>
  <c r="F15" i="17"/>
  <c r="F14" i="17"/>
  <c r="F14" i="16"/>
  <c r="F15" i="16" s="1"/>
  <c r="G14" i="16"/>
  <c r="G15" i="16" s="1"/>
  <c r="H14" i="16"/>
  <c r="I14" i="16"/>
  <c r="J14" i="16"/>
  <c r="K15" i="6"/>
  <c r="L73" i="16"/>
  <c r="O77" i="16"/>
  <c r="B6" i="21"/>
  <c r="D15" i="16"/>
  <c r="D77" i="16"/>
  <c r="B5" i="21" s="1"/>
  <c r="D79" i="16"/>
  <c r="M74" i="17"/>
  <c r="M75" i="17"/>
  <c r="M76" i="16"/>
  <c r="M77" i="16"/>
  <c r="L5" i="21" s="1"/>
  <c r="R32" i="6"/>
  <c r="R36" i="6"/>
  <c r="R30" i="6"/>
  <c r="K75" i="17"/>
  <c r="K78" i="6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I74" i="6"/>
  <c r="I75" i="6"/>
  <c r="I87" i="6" s="1"/>
  <c r="G18" i="21"/>
  <c r="G11" i="21"/>
  <c r="G12" i="21"/>
  <c r="H16" i="16"/>
  <c r="I17" i="6"/>
  <c r="I17" i="17"/>
  <c r="G73" i="6"/>
  <c r="G75" i="6" s="1"/>
  <c r="G87" i="6" s="1"/>
  <c r="D16" i="6"/>
  <c r="D78" i="6"/>
  <c r="B19" i="21" s="1"/>
  <c r="E16" i="6"/>
  <c r="E18" i="6" s="1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E17" i="16"/>
  <c r="E80" i="16" s="1"/>
  <c r="E81" i="16" s="1"/>
  <c r="C8" i="21" s="1"/>
  <c r="K78" i="17"/>
  <c r="K80" i="17" s="1"/>
  <c r="D18" i="6"/>
  <c r="H16" i="17"/>
  <c r="M19" i="21"/>
  <c r="S26" i="6"/>
  <c r="F16" i="6"/>
  <c r="F78" i="6" s="1"/>
  <c r="M74" i="6"/>
  <c r="M75" i="6"/>
  <c r="D17" i="16"/>
  <c r="D80" i="16" s="1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I15" i="16"/>
  <c r="Q75" i="17"/>
  <c r="F16" i="17"/>
  <c r="F78" i="17" s="1"/>
  <c r="G16" i="17"/>
  <c r="G78" i="17" s="1"/>
  <c r="F18" i="6"/>
  <c r="I19" i="21"/>
  <c r="I15" i="6"/>
  <c r="L12" i="21"/>
  <c r="H78" i="17"/>
  <c r="F12" i="21" s="1"/>
  <c r="H18" i="17"/>
  <c r="E78" i="17"/>
  <c r="C12" i="21"/>
  <c r="I80" i="17"/>
  <c r="I82" i="17" s="1"/>
  <c r="G15" i="21" s="1"/>
  <c r="D78" i="17"/>
  <c r="D80" i="17" s="1"/>
  <c r="M79" i="16"/>
  <c r="L7" i="21" s="1"/>
  <c r="L16" i="6"/>
  <c r="L18" i="6" s="1"/>
  <c r="L78" i="6" s="1"/>
  <c r="H15" i="16"/>
  <c r="H77" i="16" s="1"/>
  <c r="G5" i="21" s="1"/>
  <c r="O79" i="16"/>
  <c r="P78" i="17"/>
  <c r="F18" i="17"/>
  <c r="I77" i="16"/>
  <c r="H5" i="21"/>
  <c r="I17" i="16"/>
  <c r="I80" i="16" s="1"/>
  <c r="S80" i="17"/>
  <c r="Q14" i="21" s="1"/>
  <c r="Q13" i="21"/>
  <c r="S27" i="6"/>
  <c r="R63" i="6"/>
  <c r="Q80" i="17"/>
  <c r="O14" i="21" s="1"/>
  <c r="Q82" i="17"/>
  <c r="O15" i="21" s="1"/>
  <c r="R22" i="6"/>
  <c r="R24" i="6"/>
  <c r="R25" i="6"/>
  <c r="K79" i="16"/>
  <c r="J7" i="21" s="1"/>
  <c r="J5" i="21"/>
  <c r="N14" i="1"/>
  <c r="L77" i="16"/>
  <c r="K5" i="21" s="1"/>
  <c r="R75" i="17"/>
  <c r="R94" i="6"/>
  <c r="E80" i="17"/>
  <c r="E82" i="17" s="1"/>
  <c r="C15" i="21" s="1"/>
  <c r="G14" i="21"/>
  <c r="B12" i="21"/>
  <c r="I79" i="16"/>
  <c r="I81" i="16" s="1"/>
  <c r="H8" i="21" s="1"/>
  <c r="H7" i="21"/>
  <c r="N12" i="21"/>
  <c r="O20" i="21"/>
  <c r="S28" i="6"/>
  <c r="O13" i="21"/>
  <c r="S29" i="6"/>
  <c r="K14" i="1"/>
  <c r="G14" i="1"/>
  <c r="S30" i="6"/>
  <c r="S31" i="6"/>
  <c r="S32" i="6"/>
  <c r="S33" i="6"/>
  <c r="S34" i="6"/>
  <c r="S35" i="6"/>
  <c r="O14" i="1"/>
  <c r="S36" i="6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E10" i="4"/>
  <c r="S74" i="6"/>
  <c r="N58" i="1"/>
  <c r="N57" i="1"/>
  <c r="N55" i="1"/>
  <c r="F80" i="6" l="1"/>
  <c r="D21" i="21" s="1"/>
  <c r="D19" i="21"/>
  <c r="E19" i="21"/>
  <c r="G80" i="6"/>
  <c r="E21" i="21" s="1"/>
  <c r="G18" i="6"/>
  <c r="E78" i="6"/>
  <c r="K80" i="6"/>
  <c r="I21" i="21" s="1"/>
  <c r="C21" i="6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D80" i="6"/>
  <c r="B21" i="21" s="1"/>
  <c r="N16" i="6"/>
  <c r="N18" i="6" s="1"/>
  <c r="N78" i="6" s="1"/>
  <c r="P75" i="6"/>
  <c r="H75" i="6"/>
  <c r="H87" i="6" s="1"/>
  <c r="K19" i="21"/>
  <c r="M80" i="6"/>
  <c r="K21" i="21" s="1"/>
  <c r="T12" i="21"/>
  <c r="K82" i="17"/>
  <c r="I15" i="21" s="1"/>
  <c r="I14" i="21"/>
  <c r="E12" i="21"/>
  <c r="G80" i="17"/>
  <c r="G82" i="17" s="1"/>
  <c r="E15" i="21" s="1"/>
  <c r="J12" i="21"/>
  <c r="L80" i="17"/>
  <c r="L82" i="17" s="1"/>
  <c r="J15" i="21" s="1"/>
  <c r="H12" i="21"/>
  <c r="J18" i="17"/>
  <c r="D82" i="17"/>
  <c r="B15" i="21" s="1"/>
  <c r="B14" i="21"/>
  <c r="F80" i="17"/>
  <c r="D12" i="21"/>
  <c r="G82" i="6"/>
  <c r="E22" i="21" s="1"/>
  <c r="N80" i="17"/>
  <c r="G18" i="17"/>
  <c r="V74" i="6"/>
  <c r="D5" i="4"/>
  <c r="M80" i="17"/>
  <c r="K14" i="21" s="1"/>
  <c r="R79" i="6"/>
  <c r="P20" i="21" s="1"/>
  <c r="Q16" i="6"/>
  <c r="Q18" i="6" s="1"/>
  <c r="Q78" i="6" s="1"/>
  <c r="Q80" i="6" s="1"/>
  <c r="J14" i="6"/>
  <c r="J16" i="6" s="1"/>
  <c r="J18" i="6" s="1"/>
  <c r="M13" i="21"/>
  <c r="O16" i="6"/>
  <c r="R16" i="6"/>
  <c r="R18" i="6" s="1"/>
  <c r="R78" i="6" s="1"/>
  <c r="P19" i="21" s="1"/>
  <c r="S79" i="6"/>
  <c r="Q20" i="21" s="1"/>
  <c r="S75" i="6"/>
  <c r="I12" i="21"/>
  <c r="V15" i="6"/>
  <c r="I14" i="6"/>
  <c r="I16" i="6" s="1"/>
  <c r="I78" i="6" s="1"/>
  <c r="T16" i="6"/>
  <c r="T18" i="6" s="1"/>
  <c r="T78" i="6" s="1"/>
  <c r="R19" i="21" s="1"/>
  <c r="V75" i="17"/>
  <c r="R80" i="17"/>
  <c r="R82" i="17" s="1"/>
  <c r="P15" i="21" s="1"/>
  <c r="J80" i="17"/>
  <c r="C14" i="21"/>
  <c r="V79" i="17"/>
  <c r="V80" i="17" s="1"/>
  <c r="P80" i="17"/>
  <c r="F82" i="6"/>
  <c r="D22" i="21" s="1"/>
  <c r="F87" i="6"/>
  <c r="O19" i="21"/>
  <c r="Q5" i="21"/>
  <c r="T5" i="21" s="1"/>
  <c r="R79" i="16"/>
  <c r="Q7" i="21" s="1"/>
  <c r="Q19" i="21"/>
  <c r="P5" i="21"/>
  <c r="Q79" i="16"/>
  <c r="P7" i="21" s="1"/>
  <c r="J78" i="6"/>
  <c r="H19" i="21" s="1"/>
  <c r="D81" i="16"/>
  <c r="B8" i="21" s="1"/>
  <c r="V75" i="6"/>
  <c r="I18" i="6"/>
  <c r="F77" i="16"/>
  <c r="F17" i="16"/>
  <c r="F80" i="16" s="1"/>
  <c r="D87" i="6"/>
  <c r="G77" i="16"/>
  <c r="F5" i="21" s="1"/>
  <c r="G17" i="16"/>
  <c r="G80" i="16" s="1"/>
  <c r="L80" i="6"/>
  <c r="J19" i="21"/>
  <c r="J80" i="6"/>
  <c r="J82" i="6" s="1"/>
  <c r="H22" i="21" s="1"/>
  <c r="O81" i="16"/>
  <c r="N8" i="21" s="1"/>
  <c r="C5" i="4"/>
  <c r="S17" i="16"/>
  <c r="S77" i="16" s="1"/>
  <c r="R5" i="21" s="1"/>
  <c r="H17" i="16"/>
  <c r="H80" i="16" s="1"/>
  <c r="E87" i="6"/>
  <c r="B7" i="21"/>
  <c r="H15" i="6"/>
  <c r="H16" i="6" s="1"/>
  <c r="J77" i="16"/>
  <c r="I5" i="21" s="1"/>
  <c r="V14" i="6"/>
  <c r="N79" i="16"/>
  <c r="H79" i="16"/>
  <c r="G79" i="16"/>
  <c r="F7" i="21" s="1"/>
  <c r="O17" i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T70" i="6"/>
  <c r="S78" i="16"/>
  <c r="R6" i="21" s="1"/>
  <c r="T6" i="21" s="1"/>
  <c r="N66" i="1"/>
  <c r="T79" i="17"/>
  <c r="T68" i="6"/>
  <c r="T69" i="6"/>
  <c r="M81" i="16"/>
  <c r="L8" i="21" s="1"/>
  <c r="N7" i="21"/>
  <c r="Q81" i="16"/>
  <c r="P8" i="21" s="1"/>
  <c r="T67" i="6"/>
  <c r="N65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T66" i="6"/>
  <c r="N64" i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T65" i="6"/>
  <c r="T64" i="6"/>
  <c r="N62" i="1"/>
  <c r="T34" i="6"/>
  <c r="T63" i="6"/>
  <c r="T38" i="6"/>
  <c r="N61" i="1"/>
  <c r="T57" i="6"/>
  <c r="T48" i="6"/>
  <c r="T55" i="6"/>
  <c r="T40" i="6"/>
  <c r="T33" i="6"/>
  <c r="T23" i="6"/>
  <c r="T31" i="6"/>
  <c r="T49" i="6"/>
  <c r="T47" i="6"/>
  <c r="T39" i="6"/>
  <c r="T37" i="6"/>
  <c r="T58" i="6"/>
  <c r="T30" i="6"/>
  <c r="T61" i="6"/>
  <c r="T41" i="6"/>
  <c r="T22" i="6"/>
  <c r="T46" i="6"/>
  <c r="T24" i="6"/>
  <c r="T29" i="6"/>
  <c r="T26" i="6"/>
  <c r="T21" i="6"/>
  <c r="T54" i="6"/>
  <c r="T45" i="6"/>
  <c r="T56" i="6"/>
  <c r="T42" i="6"/>
  <c r="T53" i="6"/>
  <c r="T50" i="6"/>
  <c r="T60" i="6"/>
  <c r="T28" i="6"/>
  <c r="T32" i="6"/>
  <c r="T44" i="6"/>
  <c r="T62" i="6"/>
  <c r="T35" i="6"/>
  <c r="T52" i="6"/>
  <c r="T43" i="6"/>
  <c r="T19" i="6"/>
  <c r="T36" i="6"/>
  <c r="T51" i="6"/>
  <c r="T25" i="6"/>
  <c r="T59" i="6"/>
  <c r="T27" i="6"/>
  <c r="T20" i="6"/>
  <c r="N60" i="1"/>
  <c r="M82" i="6"/>
  <c r="K22" i="21" s="1"/>
  <c r="O80" i="6"/>
  <c r="P82" i="6"/>
  <c r="N22" i="21" s="1"/>
  <c r="P82" i="17"/>
  <c r="N15" i="21" s="1"/>
  <c r="N14" i="21"/>
  <c r="M14" i="21"/>
  <c r="O82" i="17"/>
  <c r="M15" i="21" s="1"/>
  <c r="H14" i="21"/>
  <c r="J82" i="17"/>
  <c r="H15" i="21" s="1"/>
  <c r="J14" i="21"/>
  <c r="H80" i="17"/>
  <c r="N13" i="21"/>
  <c r="S82" i="17"/>
  <c r="Q15" i="21" s="1"/>
  <c r="H13" i="21"/>
  <c r="P13" i="21"/>
  <c r="G81" i="16"/>
  <c r="F8" i="21" s="1"/>
  <c r="H81" i="16"/>
  <c r="G8" i="21" s="1"/>
  <c r="G7" i="21"/>
  <c r="P79" i="16"/>
  <c r="G6" i="21"/>
  <c r="F6" i="21"/>
  <c r="K81" i="16"/>
  <c r="J8" i="21" s="1"/>
  <c r="L79" i="16"/>
  <c r="J79" i="16"/>
  <c r="C19" i="21" l="1"/>
  <c r="E80" i="6"/>
  <c r="R80" i="6"/>
  <c r="R82" i="6" s="1"/>
  <c r="P22" i="21" s="1"/>
  <c r="K82" i="6"/>
  <c r="I22" i="21" s="1"/>
  <c r="D82" i="6"/>
  <c r="B22" i="21" s="1"/>
  <c r="C79" i="6"/>
  <c r="S80" i="6"/>
  <c r="S82" i="6" s="1"/>
  <c r="Q22" i="21" s="1"/>
  <c r="V82" i="17"/>
  <c r="T19" i="21"/>
  <c r="F82" i="17"/>
  <c r="D15" i="21" s="1"/>
  <c r="D14" i="21"/>
  <c r="E14" i="21"/>
  <c r="P14" i="21"/>
  <c r="T14" i="21" s="1"/>
  <c r="M82" i="17"/>
  <c r="K15" i="21" s="1"/>
  <c r="E5" i="4"/>
  <c r="V16" i="6"/>
  <c r="V18" i="6" s="1"/>
  <c r="V78" i="6" s="1"/>
  <c r="L14" i="21"/>
  <c r="N82" i="17"/>
  <c r="L15" i="21" s="1"/>
  <c r="V79" i="6"/>
  <c r="L82" i="6"/>
  <c r="J22" i="21" s="1"/>
  <c r="J21" i="21"/>
  <c r="H21" i="21"/>
  <c r="J89" i="6"/>
  <c r="Q82" i="6"/>
  <c r="O22" i="21" s="1"/>
  <c r="O21" i="21"/>
  <c r="H78" i="6"/>
  <c r="H18" i="6"/>
  <c r="F79" i="16"/>
  <c r="E5" i="21"/>
  <c r="I80" i="6"/>
  <c r="G19" i="21"/>
  <c r="R81" i="16"/>
  <c r="Q8" i="21" s="1"/>
  <c r="N81" i="16"/>
  <c r="M8" i="21" s="1"/>
  <c r="M7" i="21"/>
  <c r="L19" i="21"/>
  <c r="N80" i="6"/>
  <c r="O60" i="1"/>
  <c r="O61" i="1" s="1"/>
  <c r="O62" i="1" s="1"/>
  <c r="O63" i="1" s="1"/>
  <c r="O64" i="1" s="1"/>
  <c r="O65" i="1" s="1"/>
  <c r="O66" i="1" s="1"/>
  <c r="O67" i="1" s="1"/>
  <c r="T79" i="6"/>
  <c r="C6" i="4"/>
  <c r="C7" i="4" s="1"/>
  <c r="C11" i="4" s="1"/>
  <c r="S79" i="16"/>
  <c r="U78" i="16"/>
  <c r="U79" i="16" s="1"/>
  <c r="U81" i="16" s="1"/>
  <c r="R13" i="21"/>
  <c r="T13" i="21" s="1"/>
  <c r="T80" i="17"/>
  <c r="D6" i="4"/>
  <c r="D7" i="4" s="1"/>
  <c r="O82" i="6"/>
  <c r="M22" i="21" s="1"/>
  <c r="M21" i="21"/>
  <c r="K87" i="6"/>
  <c r="H82" i="17"/>
  <c r="F15" i="21" s="1"/>
  <c r="F14" i="21"/>
  <c r="P81" i="16"/>
  <c r="O8" i="21" s="1"/>
  <c r="O7" i="21"/>
  <c r="I7" i="21"/>
  <c r="J81" i="16"/>
  <c r="I8" i="21" s="1"/>
  <c r="K7" i="21"/>
  <c r="L81" i="16"/>
  <c r="K8" i="21" s="1"/>
  <c r="V80" i="6" l="1"/>
  <c r="V82" i="6" s="1"/>
  <c r="Q21" i="21"/>
  <c r="C21" i="21"/>
  <c r="E82" i="6"/>
  <c r="C22" i="21" s="1"/>
  <c r="P21" i="21"/>
  <c r="H80" i="6"/>
  <c r="F19" i="21"/>
  <c r="I82" i="6"/>
  <c r="G22" i="21" s="1"/>
  <c r="G21" i="21"/>
  <c r="N82" i="6"/>
  <c r="L22" i="21" s="1"/>
  <c r="L21" i="21"/>
  <c r="F81" i="16"/>
  <c r="E8" i="21" s="1"/>
  <c r="E7" i="21"/>
  <c r="E6" i="4"/>
  <c r="E7" i="4" s="1"/>
  <c r="E11" i="4" s="1"/>
  <c r="D12" i="4"/>
  <c r="D14" i="4" s="1"/>
  <c r="D11" i="4"/>
  <c r="R14" i="21"/>
  <c r="T82" i="17"/>
  <c r="R15" i="21" s="1"/>
  <c r="T15" i="21" s="1"/>
  <c r="R20" i="21"/>
  <c r="T20" i="21" s="1"/>
  <c r="T80" i="6"/>
  <c r="R7" i="21"/>
  <c r="T7" i="21" s="1"/>
  <c r="S81" i="16"/>
  <c r="R8" i="21" s="1"/>
  <c r="T8" i="21" s="1"/>
  <c r="C12" i="4"/>
  <c r="C14" i="4" s="1"/>
  <c r="T21" i="21" l="1"/>
  <c r="H82" i="6"/>
  <c r="F22" i="21" s="1"/>
  <c r="F21" i="21"/>
  <c r="E12" i="4"/>
  <c r="E14" i="4" s="1"/>
  <c r="T82" i="6"/>
  <c r="R22" i="21" s="1"/>
  <c r="T22" i="21" s="1"/>
  <c r="R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<sst xmlns="http://schemas.openxmlformats.org/spreadsheetml/2006/main" count="342" uniqueCount="131">
  <si>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</si>
  <si>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</si>
  <si>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</si>
  <si>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</si>
  <si>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</si>
  <si>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</si>
  <si>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</si>
  <si>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</si>
  <si>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</si>
  <si>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</si>
  <si>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</si>
  <si>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</si>
  <si>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</si>
  <si>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</si>
  <si>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</si>
  <si>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</si>
  <si>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</si>
  <si>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</si>
  <si>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</si>
  <si>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</si>
  <si>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</si>
  <si>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</si>
  <si>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</si>
  <si>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</si>
  <si>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</si>
  <si>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</si>
  <si>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</si>
  <si>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</si>
  <si>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</si>
  <si>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</si>
  <si>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</si>
  <si>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</si>
  <si>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</si>
  <si>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</si>
  <si>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</si>
  <si>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</si>
  <si>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</si>
  <si>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</si>
  <si>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</si>
  <si>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</si>
  <si>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</si>
  <si>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</si>
  <si>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</si>
  <si>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</si>
  <si>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</si>
  <si>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</si>
  <si>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</si>
  <si>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</si>
  <si>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</si>
  <si>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</si>
  <si>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</si>
  <si>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</si>
  <si>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</si>
  <si>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</si>
  <si>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</si>
  <si>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</si>
  <si>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</si>
  <si>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</si>
  <si>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</si>
  <si>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</si>
  <si>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</si>
  <si>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</si>
  <si>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</si>
  <si>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</si>
  <si>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</si>
  <si>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</si>
  <si>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</si>
  <si>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</si>
  <si>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</si>
  <si>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</si>
  <si>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</si>
  <si>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</si>
  <si>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</si>
  <si>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</si>
  <si>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</si>
  <si>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</si>
  <si>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</si>
  <si>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</si>
  <si>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</si>
  <si>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</si>
  <si>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</si>
  <si>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</si>
  <si>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</si>
  <si>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</si>
  <si>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</si>
  <si>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</si>
  <si>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</si>
  <si>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</si>
  <si>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</si>
  <si>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</si>
  <si>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</si>
  <si>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</si>
  <si>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</si>
  <si>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</si>
  <si>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</si>
  <si>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</si>
  <si>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</si>
  <si>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</si>
  <si>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</si>
  <si>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</si>
  <si>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</si>
  <si>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</si>
  <si>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</si>
  <si>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</si>
  <si>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</si>
  <si>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</si>
  <si>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</si>
  <si>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</si>
  <si>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</si>
  <si>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</si>
  <si>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</si>
  <si>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</si>
  <si>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</si>
  <si>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</si>
  <si>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</si>
  <si>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</si>
  <si>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</si>
  <si>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</si>
  <si>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</si>
  <si>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</si>
  <si>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</si>
  <si>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</si>
  <si>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</si>
  <si>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</si>
  <si>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</si>
  <si>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</si>
  <si>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</si>
  <si>
    <t>2024/25 Marketing year</t>
  </si>
  <si>
    <t>Beraamde Lewering vs NOK Skatting / Delivery Estimate vs CEC Estimate</t>
  </si>
  <si>
    <t>2025/26*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</si>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</sst>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  <xf numFmtId="0" fontId="61" fillId="0" borderId="0"/>
  </cellStyleXfs>
  <cellXfs count="48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  <xf numFmtId="165" fontId="30" fillId="0" borderId="95" xfId="2" applyNumberFormat="1" applyFont="1" applyFill="1" applyBorder="1"/>
    <xf numFmtId="0" fontId="30" fillId="0" borderId="0" xfId="23" applyFill="1" applyBorder="1"/>
  </cellXfs>
  <cellStyles count="53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16" xfId="52" xr:uid="{B61702BB-1DC5-4C57-8513-776A0AB1C440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chartsheet" Target="chartsheets/sheet11.xml"/><Relationship Id="rId26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microsoft.com/office/2017/10/relationships/person" Target="persons/person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maize'!$T$3</c:f>
              <c:strCache>
                <c:ptCount val="1"/>
                <c:pt idx="0">
                  <c:v>2025/26*</c:v>
                </c:pt>
              </c:strCache>
            </c:strRef>
          </c:tx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maize'!$T$18:$T$69</c:f>
              <c:numCache>
                <c:formatCode>_ * #\ ##0_ ;_ * \-#\ ##0_ ;_ * "-"??_ ;_ @_ </c:formatCode>
                <c:ptCount val="52"/>
                <c:pt idx="0">
                  <c:v>19685</c:v>
                </c:pt>
                <c:pt idx="1">
                  <c:v>62403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maize'!$U$3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maize'!$U$17:$U$70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84720.2</c:v>
                </c:pt>
                <c:pt idx="2">
                  <c:v>172819.20000000001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layout>
        <c:manualLayout>
          <c:xMode val="edge"/>
          <c:yMode val="edge"/>
          <c:x val="0.25139091426521326"/>
          <c:y val="1.68509741969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'Mielies-Maize'!$G$16:$G$17</c:f>
              <c:numCache>
                <c:formatCode>_ * #\ ##0_ ;_ * \-#\ ##0_ ;_ * "-"??_ ;_ @_ </c:formatCode>
                <c:ptCount val="2"/>
                <c:pt idx="0">
                  <c:v>19685</c:v>
                </c:pt>
                <c:pt idx="1">
                  <c:v>62403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'Mielies-Maize'!$K$16:$K$17</c:f>
              <c:numCache>
                <c:formatCode>_ * #\ ##0_ ;_ * \-#\ ##0_ ;_ * "-"??_ ;_ @_ </c:formatCode>
                <c:ptCount val="2"/>
                <c:pt idx="0">
                  <c:v>52835</c:v>
                </c:pt>
                <c:pt idx="1">
                  <c:v>161515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maize'!$B$16:$B$72</c:f>
              <c:strCache>
                <c:ptCount val="57"/>
                <c:pt idx="0">
                  <c:v>Totale vroee lewerings</c:v>
                </c:pt>
                <c:pt idx="1">
                  <c:v>Bemarkingseisoen week</c:v>
                </c:pt>
                <c:pt idx="2">
                  <c:v>Early Deliveries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</c:strCache>
            </c:strRef>
          </c:cat>
          <c:val>
            <c:numRef>
              <c:f>'Mielies-Maize'!$O$16:$O$17</c:f>
              <c:numCache>
                <c:formatCode>_ * #\ ##0_ ;_ * \-#\ ##0_ ;_ * "-"??_ ;_ @_ </c:formatCode>
                <c:ptCount val="2"/>
                <c:pt idx="0">
                  <c:v>72520</c:v>
                </c:pt>
                <c:pt idx="1">
                  <c:v>223918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6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  <c:spPr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deliveries'!$M$8:$T$8</c:f>
              <c:numCache>
                <c:formatCode>0.0%</c:formatCode>
                <c:ptCount val="8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0.9920249787595582</c:v>
                </c:pt>
                <c:pt idx="6">
                  <c:v>8.1627867459643164E-2</c:v>
                </c:pt>
                <c:pt idx="7">
                  <c:v>0.99667310412335919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deliveries'!$M$15:$T$15</c:f>
              <c:numCache>
                <c:formatCode>0.0%</c:formatCode>
                <c:ptCount val="8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0.98682996078431373</c:v>
                </c:pt>
                <c:pt idx="6">
                  <c:v>0.14489662745098039</c:v>
                </c:pt>
                <c:pt idx="7">
                  <c:v>1.0031809399023683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deliveries'!$M$4:$T$4</c:f>
              <c:strCache>
                <c:ptCount val="8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2025/26</c:v>
                </c:pt>
                <c:pt idx="7">
                  <c:v>5 YA</c:v>
                </c:pt>
              </c:strCache>
            </c:strRef>
          </c:cat>
          <c:val>
            <c:numRef>
              <c:f>'Summary- Producer deliveries'!$M$22:$T$22</c:f>
              <c:numCache>
                <c:formatCode>0.0%</c:formatCode>
                <c:ptCount val="8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1.0034681597251387</c:v>
                </c:pt>
                <c:pt idx="5">
                  <c:v>1.0094882258064517</c:v>
                </c:pt>
                <c:pt idx="6">
                  <c:v>0</c:v>
                </c:pt>
                <c:pt idx="7">
                  <c:v>1.0031931413319104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maize'!$G$3:$V$6</c:f>
              <c:strCache>
                <c:ptCount val="1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2025/26*</c:v>
                </c:pt>
                <c:pt idx="15">
                  <c:v>5 Yr. AVG</c:v>
                </c:pt>
              </c:strCache>
            </c:strRef>
          </c:cat>
          <c:val>
            <c:numRef>
              <c:f>'Summary -Total maize'!$G$79:$V$79</c:f>
              <c:numCache>
                <c:formatCode>_ * #\ ##0_ ;_ * \-#\ ##0_ ;_ * "-"??_ ;_ @_ </c:formatCode>
                <c:ptCount val="16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11409996</c:v>
                </c:pt>
                <c:pt idx="14">
                  <c:v>296438</c:v>
                </c:pt>
                <c:pt idx="15">
                  <c:v>1114212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maize'!$G$3:$V$6</c:f>
              <c:strCache>
                <c:ptCount val="16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2025/26*</c:v>
                </c:pt>
                <c:pt idx="15">
                  <c:v>5 Yr. AVG</c:v>
                </c:pt>
              </c:strCache>
            </c:strRef>
          </c:cat>
          <c:val>
            <c:numRef>
              <c:f>'Summary -Total maize'!$G$80:$V$80</c:f>
              <c:numCache>
                <c:formatCode>_ * #\ ##0_ ;_ * \-#\ ##0_ ;_ * "-"??_ ;_ @_ </c:formatCode>
                <c:ptCount val="16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12517654</c:v>
                </c:pt>
                <c:pt idx="14">
                  <c:v>1404096</c:v>
                </c:pt>
                <c:pt idx="15">
                  <c:v>1602453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maize'!$G$82:$V$82</c:f>
              <c:numCache>
                <c:formatCode>0%</c:formatCode>
                <c:ptCount val="16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1.0034681597251387</c:v>
                </c:pt>
                <c:pt idx="13" formatCode="0.0%">
                  <c:v>1.0094882258064517</c:v>
                </c:pt>
                <c:pt idx="14" formatCode="0.0%">
                  <c:v>0</c:v>
                </c:pt>
                <c:pt idx="15">
                  <c:v>0.11144082645410899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maize'!$U$17</c:f>
              <c:strCache>
                <c:ptCount val="1"/>
                <c:pt idx="0">
                  <c:v>2025/26*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maize'!$U$19:$U$70</c:f>
              <c:numCache>
                <c:formatCode>_ * #\ ##0_ ;_ * \-#\ ##0_ ;_ * "-"??_ ;_ @_ </c:formatCode>
                <c:ptCount val="52"/>
                <c:pt idx="0">
                  <c:v>52835</c:v>
                </c:pt>
                <c:pt idx="1">
                  <c:v>161515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maize'!$V$3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maize'!$V$18:$V$71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164231.25</c:v>
                </c:pt>
                <c:pt idx="2">
                  <c:v>275702.25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2025 tot April 2026)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19685</c:v>
                </c:pt>
                <c:pt idx="1">
                  <c:v>42718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52835</c:v>
                </c:pt>
                <c:pt idx="1">
                  <c:v>108680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2025 to April 2026)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maize'!$U$17</c:f>
              <c:strCache>
                <c:ptCount val="1"/>
                <c:pt idx="0">
                  <c:v>2025/26*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72520</c:v>
                </c:pt>
                <c:pt idx="1">
                  <c:v>223918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maize'!$V$17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maize'!$V$19:$V$70</c:f>
              <c:numCache>
                <c:formatCode>_ * #\ ##0_ ;_ * \-#\ ##0_ ;_ * "-"??_ ;_ @_ </c:formatCode>
                <c:ptCount val="52"/>
                <c:pt idx="0">
                  <c:v>476125.5</c:v>
                </c:pt>
                <c:pt idx="1">
                  <c:v>638086.5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maize'!$H$79:$V$79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11409996</c:v>
                </c:pt>
                <c:pt idx="13">
                  <c:v>296438</c:v>
                </c:pt>
                <c:pt idx="14">
                  <c:v>1114212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maize'!$H$80:$V$80</c:f>
              <c:numCache>
                <c:formatCode>_ * #\ ##0_ ;_ * \-#\ ##0_ ;_ * "-"??_ ;_ @_ </c:formatCode>
                <c:ptCount val="15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12517654</c:v>
                </c:pt>
                <c:pt idx="13">
                  <c:v>1404096</c:v>
                </c:pt>
                <c:pt idx="14">
                  <c:v>1602453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maize'!$H$77:$V$78</c:f>
              <c:multiLvlStrCache>
                <c:ptCount val="15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1 107 658 </c:v>
                  </c:pt>
                  <c:pt idx="14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2025/26*</c:v>
                  </c:pt>
                  <c:pt idx="14">
                    <c:v>5 Yr. AVG</c:v>
                  </c:pt>
                </c:lvl>
              </c:multiLvlStrCache>
            </c:multiLvlStrRef>
          </c:cat>
          <c:val>
            <c:numRef>
              <c:f>'Summary -Total maize'!$H$82:$V$82</c:f>
              <c:numCache>
                <c:formatCode>0%</c:formatCode>
                <c:ptCount val="15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1.0094882258064517</c:v>
                </c:pt>
                <c:pt idx="13" formatCode="0.0%">
                  <c:v>0</c:v>
                </c:pt>
                <c:pt idx="14">
                  <c:v>0.11144082645410899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maize'!$G$78:$U$78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5439775</c:v>
                </c:pt>
                <c:pt idx="13">
                  <c:v>82088</c:v>
                </c:pt>
                <c:pt idx="14">
                  <c:v>257539.40000000002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maize'!$G$79:$U$79</c:f>
              <c:numCache>
                <c:formatCode>_ * #\ ##0_ ;_ * \-#\ ##0_ ;_ * "-"??_ ;_ @_ </c:formatCode>
                <c:ptCount val="15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5838067</c:v>
                </c:pt>
                <c:pt idx="13">
                  <c:v>480380</c:v>
                </c:pt>
                <c:pt idx="14">
                  <c:v>440085.80000000005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maize'!$G$76:$U$76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-White maize'!$G$81:$U$81</c:f>
              <c:numCache>
                <c:formatCode>0%</c:formatCode>
                <c:ptCount val="15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0.9920249787595582</c:v>
                </c:pt>
                <c:pt idx="13" formatCode="0.0%">
                  <c:v>8.1627867459643164E-2</c:v>
                </c:pt>
                <c:pt idx="14">
                  <c:v>5.6928835366094242E-2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maize'!$H$79:$V$79</c:f>
              <c:numCache>
                <c:formatCode>_ * #\ ##0_ ;_ * \-#\ ##0_ ;_ * "-"??_ ;_ @_ </c:formatCode>
                <c:ptCount val="15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5581675</c:v>
                </c:pt>
                <c:pt idx="13">
                  <c:v>214350</c:v>
                </c:pt>
                <c:pt idx="14">
                  <c:v>439933.5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maize'!$H$80:$V$80</c:f>
              <c:numCache>
                <c:formatCode>_ * #\ ##0_ ;_ * \-#\ ##0_ ;_ * "-"??_ ;_ @_ </c:formatCode>
                <c:ptCount val="15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6291041</c:v>
                </c:pt>
                <c:pt idx="13">
                  <c:v>923716</c:v>
                </c:pt>
                <c:pt idx="14">
                  <c:v>885589.9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-Yellow maize'!$H$82:$V$82</c:f>
              <c:numCache>
                <c:formatCode>0.0%</c:formatCode>
                <c:ptCount val="15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0.98682996078431373</c:v>
                </c:pt>
                <c:pt idx="13">
                  <c:v>0.14489662745098039</c:v>
                </c:pt>
                <c:pt idx="14">
                  <c:v>0.12755235813239096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maize'!$H$79:$V$79</c:f>
              <c:numCache>
                <c:formatCode>_ * #\ ##0_ ;_ * \-#\ ##0_ ;_ * "-"??_ ;_ @_ </c:formatCode>
                <c:ptCount val="15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11409996</c:v>
                </c:pt>
                <c:pt idx="13">
                  <c:v>296438</c:v>
                </c:pt>
                <c:pt idx="14">
                  <c:v>1114212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maize'!$H$80:$V$80</c:f>
              <c:numCache>
                <c:formatCode>_ * #\ ##0_ ;_ * \-#\ ##0_ ;_ * "-"??_ ;_ @_ </c:formatCode>
                <c:ptCount val="15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12517654</c:v>
                </c:pt>
                <c:pt idx="13">
                  <c:v>1404096</c:v>
                </c:pt>
                <c:pt idx="14">
                  <c:v>1602453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maize'!$H$77:$V$77</c:f>
              <c:strCache>
                <c:ptCount val="1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2025/26*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maize'!$H$82:$V$82</c:f>
              <c:numCache>
                <c:formatCode>0%</c:formatCode>
                <c:ptCount val="15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1.0094882258064517</c:v>
                </c:pt>
                <c:pt idx="13" formatCode="0.0%">
                  <c:v>0</c:v>
                </c:pt>
                <c:pt idx="14">
                  <c:v>0.11144082645410899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29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SAGIS%20-%20Mielies%20Week%20prod%20deliveries%20-%20lewerings%202024-2025.xlsx" TargetMode="External"/><Relationship Id="rId1" Type="http://schemas.openxmlformats.org/officeDocument/2006/relationships/externalLinkPath" Target="https://grainsa2019.sharepoint.com/sites/Bedryfsbediening/Shared%20Documents/Mark/GSA%20Market%20Data/Data%20SAGIS/SAGIS%20-%20Mielies%20Week%20prod%20deliveries%20-%20lewerings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Lewerings tot datum "/>
      <sheetName val="Lewerings tot datum (WM)"/>
      <sheetName val="Lewerings tot datum (YM)"/>
      <sheetName val="Chart1"/>
      <sheetName val="Lewerings tot datum (TM)"/>
      <sheetName val="Weeklikse kumulatiewe lewerings"/>
      <sheetName val="Table-SAGIS deliver vs CEC est"/>
      <sheetName val="Mielies-Maize"/>
      <sheetName val="Summary -White maize"/>
      <sheetName val="Summary -Yellow maize"/>
      <sheetName val="Summary -Total maize"/>
      <sheetName val="Summary- Producer deliveries"/>
      <sheetName val="Producer deliveries"/>
      <sheetName val="Lewerings tot datum (TM)1"/>
    </sheetNames>
    <sheetDataSet>
      <sheetData sheetId="10"/>
      <sheetData sheetId="11">
        <row r="16">
          <cell r="J16">
            <v>204611</v>
          </cell>
        </row>
        <row r="17">
          <cell r="J17">
            <v>484445</v>
          </cell>
        </row>
        <row r="18">
          <cell r="J18">
            <v>629217</v>
          </cell>
        </row>
        <row r="19">
          <cell r="J19">
            <v>697419</v>
          </cell>
        </row>
        <row r="20">
          <cell r="J20">
            <v>572880</v>
          </cell>
        </row>
        <row r="21">
          <cell r="J21">
            <v>499581</v>
          </cell>
        </row>
        <row r="22">
          <cell r="J22">
            <v>482801</v>
          </cell>
        </row>
        <row r="23">
          <cell r="J23">
            <v>328700</v>
          </cell>
        </row>
        <row r="24">
          <cell r="J24">
            <v>352335</v>
          </cell>
        </row>
        <row r="25">
          <cell r="J25">
            <v>176627</v>
          </cell>
        </row>
        <row r="26">
          <cell r="J26">
            <v>140353</v>
          </cell>
        </row>
        <row r="27">
          <cell r="J27">
            <v>105751</v>
          </cell>
        </row>
        <row r="28">
          <cell r="J28">
            <v>104823</v>
          </cell>
        </row>
        <row r="29">
          <cell r="J29">
            <v>58177</v>
          </cell>
        </row>
        <row r="30">
          <cell r="J30">
            <v>41572</v>
          </cell>
        </row>
        <row r="31">
          <cell r="J31">
            <v>46143</v>
          </cell>
        </row>
        <row r="32">
          <cell r="J32">
            <v>32363</v>
          </cell>
        </row>
        <row r="33">
          <cell r="J33">
            <v>47979</v>
          </cell>
        </row>
        <row r="34">
          <cell r="J34">
            <v>29781</v>
          </cell>
        </row>
        <row r="35">
          <cell r="J35">
            <v>29436</v>
          </cell>
        </row>
        <row r="36">
          <cell r="J36">
            <v>25813</v>
          </cell>
        </row>
        <row r="37">
          <cell r="J37">
            <v>36305</v>
          </cell>
        </row>
        <row r="38">
          <cell r="J38">
            <v>25307</v>
          </cell>
        </row>
        <row r="39">
          <cell r="J39">
            <v>28878</v>
          </cell>
        </row>
        <row r="40">
          <cell r="J40">
            <v>23000</v>
          </cell>
        </row>
        <row r="41">
          <cell r="J41">
            <v>32799</v>
          </cell>
        </row>
        <row r="42">
          <cell r="J42">
            <v>19662</v>
          </cell>
        </row>
        <row r="43">
          <cell r="J43">
            <v>16769</v>
          </cell>
        </row>
        <row r="44">
          <cell r="J44">
            <v>17328</v>
          </cell>
        </row>
        <row r="45">
          <cell r="J45">
            <v>17442</v>
          </cell>
        </row>
        <row r="46">
          <cell r="J46">
            <v>33021</v>
          </cell>
        </row>
        <row r="47">
          <cell r="J47">
            <v>18784</v>
          </cell>
        </row>
        <row r="48">
          <cell r="J48">
            <v>21053</v>
          </cell>
        </row>
        <row r="49">
          <cell r="J49">
            <v>14830</v>
          </cell>
        </row>
        <row r="50">
          <cell r="J50">
            <v>10646</v>
          </cell>
        </row>
        <row r="51">
          <cell r="J51">
            <v>5682</v>
          </cell>
        </row>
        <row r="52">
          <cell r="J52">
            <v>9668</v>
          </cell>
        </row>
        <row r="53">
          <cell r="J53">
            <v>13742</v>
          </cell>
        </row>
        <row r="54">
          <cell r="J54">
            <v>13035</v>
          </cell>
        </row>
        <row r="55">
          <cell r="J55">
            <v>36373</v>
          </cell>
        </row>
        <row r="56">
          <cell r="J56">
            <v>31762</v>
          </cell>
        </row>
        <row r="57">
          <cell r="J57">
            <v>28394</v>
          </cell>
        </row>
        <row r="58">
          <cell r="J58">
            <v>12746</v>
          </cell>
        </row>
        <row r="59">
          <cell r="J59">
            <v>23642</v>
          </cell>
        </row>
        <row r="60">
          <cell r="J60">
            <v>19237</v>
          </cell>
        </row>
        <row r="61">
          <cell r="J61">
            <v>32952</v>
          </cell>
        </row>
        <row r="62">
          <cell r="J62">
            <v>35745</v>
          </cell>
        </row>
        <row r="63">
          <cell r="J63">
            <v>58125</v>
          </cell>
        </row>
        <row r="64">
          <cell r="J64">
            <v>37771</v>
          </cell>
        </row>
        <row r="65">
          <cell r="J65">
            <v>30245</v>
          </cell>
        </row>
        <row r="66">
          <cell r="J66">
            <v>52786</v>
          </cell>
        </row>
        <row r="67">
          <cell r="J67">
            <v>83368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="80" zoomScaleNormal="80" workbookViewId="0">
      <selection activeCell="I16" sqref="I16"/>
    </sheetView>
  </sheetViews>
  <sheetFormatPr defaultRowHeight="13.2" x14ac:dyDescent="0.25"/>
  <cols>
    <col min="2" max="2" width="50.44140625" customWidth="1"/>
    <col min="3" max="5" width="12.88671875" customWidth="1"/>
    <col min="6" max="6" width="56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2" t="s">
        <v>128</v>
      </c>
      <c r="C2" s="453"/>
      <c r="D2" s="453"/>
      <c r="E2" s="453"/>
      <c r="F2" s="454"/>
      <c r="G2" s="362"/>
    </row>
    <row r="3" spans="2:8" ht="20.399999999999999" thickBot="1" x14ac:dyDescent="0.45">
      <c r="B3" s="455" t="s">
        <v>127</v>
      </c>
      <c r="C3" s="456"/>
      <c r="D3" s="456"/>
      <c r="E3" s="456"/>
      <c r="F3" s="457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5439775</v>
      </c>
      <c r="D6" s="426">
        <f>'Summary -Yellow maize'!T79</f>
        <v>5581675</v>
      </c>
      <c r="E6" s="423">
        <f>C6+D6</f>
        <v>11021450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5838067</v>
      </c>
      <c r="D7" s="428">
        <f>D5+D6</f>
        <v>6291041</v>
      </c>
      <c r="E7" s="427">
        <f>E5+E6</f>
        <v>12129108</v>
      </c>
      <c r="F7" s="340" t="s">
        <v>8</v>
      </c>
      <c r="H7" s="8"/>
    </row>
    <row r="8" spans="2:8" ht="15" thickTop="1" x14ac:dyDescent="0.3">
      <c r="B8" s="444" t="s">
        <v>125</v>
      </c>
      <c r="C8" s="429">
        <v>6055000</v>
      </c>
      <c r="D8" s="430">
        <v>6795000</v>
      </c>
      <c r="E8" s="429">
        <f>C8+D8</f>
        <v>12850000</v>
      </c>
      <c r="F8" s="445" t="s">
        <v>126</v>
      </c>
      <c r="G8" s="8"/>
      <c r="H8" s="8"/>
    </row>
    <row r="9" spans="2:8" ht="27.6" x14ac:dyDescent="0.25">
      <c r="B9" s="414" t="s">
        <v>124</v>
      </c>
      <c r="C9" s="431">
        <v>170000</v>
      </c>
      <c r="D9" s="432">
        <v>450000</v>
      </c>
      <c r="E9" s="431">
        <f>C9+D9</f>
        <v>620000</v>
      </c>
      <c r="F9" s="415" t="s">
        <v>123</v>
      </c>
    </row>
    <row r="10" spans="2:8" ht="28.8" x14ac:dyDescent="0.25">
      <c r="B10" s="417" t="s">
        <v>9</v>
      </c>
      <c r="C10" s="433">
        <f>C8-C9</f>
        <v>5885000</v>
      </c>
      <c r="D10" s="434">
        <f>D8-D9</f>
        <v>6345000</v>
      </c>
      <c r="E10" s="433">
        <f>E8-E9</f>
        <v>12230000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0.9920249787595582</v>
      </c>
      <c r="D11" s="441">
        <f>D7/D10</f>
        <v>0.99149582348305754</v>
      </c>
      <c r="E11" s="440">
        <f>E7/E10</f>
        <v>0.99175044971381843</v>
      </c>
      <c r="F11" s="341" t="s">
        <v>11</v>
      </c>
    </row>
    <row r="12" spans="2:8" ht="13.8" x14ac:dyDescent="0.25">
      <c r="B12" s="337" t="s">
        <v>12</v>
      </c>
      <c r="C12" s="423">
        <f>C10-C7</f>
        <v>46933</v>
      </c>
      <c r="D12" s="424">
        <f>D10-D7</f>
        <v>53959</v>
      </c>
      <c r="E12" s="423">
        <f>E10-E7</f>
        <v>100892</v>
      </c>
      <c r="F12" s="342" t="s">
        <v>13</v>
      </c>
    </row>
    <row r="13" spans="2:8" ht="13.8" x14ac:dyDescent="0.25">
      <c r="B13" s="337" t="s">
        <v>14</v>
      </c>
      <c r="C13" s="435">
        <f>52-('Summary -White maize'!B19)</f>
        <v>50</v>
      </c>
      <c r="D13" s="435">
        <f>52-('Summary -Yellow maize'!B20)</f>
        <v>50</v>
      </c>
      <c r="E13" s="435">
        <f>52-('Summary -Total maize'!B20)</f>
        <v>50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938.66</v>
      </c>
      <c r="D14" s="437">
        <f>D12/D13</f>
        <v>1079.18</v>
      </c>
      <c r="E14" s="436">
        <f>E12/E13</f>
        <v>2017.84</v>
      </c>
      <c r="F14" s="422" t="s">
        <v>17</v>
      </c>
    </row>
    <row r="15" spans="2:8" ht="14.4" x14ac:dyDescent="0.3">
      <c r="B15" s="449" t="s">
        <v>18</v>
      </c>
      <c r="C15" s="450"/>
      <c r="D15" s="450"/>
      <c r="E15" s="450"/>
      <c r="F15" s="451"/>
    </row>
    <row r="16" spans="2:8" ht="14.4" x14ac:dyDescent="0.3">
      <c r="B16" s="458" t="s">
        <v>122</v>
      </c>
      <c r="C16" s="459"/>
      <c r="D16" s="459"/>
      <c r="E16" s="459"/>
      <c r="F16" s="460"/>
    </row>
    <row r="17" spans="2:6" ht="14.4" x14ac:dyDescent="0.3">
      <c r="B17" s="458" t="s">
        <v>19</v>
      </c>
      <c r="C17" s="459"/>
      <c r="D17" s="459"/>
      <c r="E17" s="459"/>
      <c r="F17" s="460"/>
    </row>
    <row r="18" spans="2:6" ht="14.4" x14ac:dyDescent="0.3">
      <c r="B18" s="458" t="s">
        <v>20</v>
      </c>
      <c r="C18" s="459"/>
      <c r="D18" s="459"/>
      <c r="E18" s="459"/>
      <c r="F18" s="460"/>
    </row>
    <row r="19" spans="2:6" ht="14.4" x14ac:dyDescent="0.3">
      <c r="B19" s="461" t="s">
        <v>21</v>
      </c>
      <c r="C19" s="462"/>
      <c r="D19" s="462"/>
      <c r="E19" s="462"/>
      <c r="F19" s="463"/>
    </row>
    <row r="20" spans="2:6" ht="15" thickBot="1" x14ac:dyDescent="0.35">
      <c r="B20" s="446" t="s">
        <v>22</v>
      </c>
      <c r="C20" s="447"/>
      <c r="D20" s="447"/>
      <c r="E20" s="447"/>
      <c r="F20" s="448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C16" sqref="C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5" t="s">
        <v>23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3" customFormat="1" ht="18.600000000000001" thickTop="1" thickBot="1" x14ac:dyDescent="0.35">
      <c r="A3" s="32"/>
      <c r="B3" s="33"/>
      <c r="C3" s="255"/>
      <c r="D3" s="464" t="s">
        <v>24</v>
      </c>
      <c r="E3" s="464"/>
      <c r="F3" s="464"/>
      <c r="G3" s="464"/>
      <c r="H3" s="464" t="s">
        <v>25</v>
      </c>
      <c r="I3" s="464"/>
      <c r="J3" s="464"/>
      <c r="K3" s="464"/>
      <c r="L3" s="464" t="s">
        <v>26</v>
      </c>
      <c r="M3" s="464"/>
      <c r="N3" s="464"/>
      <c r="O3" s="464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45779</v>
      </c>
      <c r="D16" s="246">
        <v>15500</v>
      </c>
      <c r="E16" s="246">
        <v>4185</v>
      </c>
      <c r="F16" s="36">
        <f>D16+E16</f>
        <v>19685</v>
      </c>
      <c r="G16" s="40">
        <f>F16</f>
        <v>19685</v>
      </c>
      <c r="H16" s="246">
        <v>50748</v>
      </c>
      <c r="I16" s="246">
        <v>2087</v>
      </c>
      <c r="J16" s="36">
        <f>H16+I16</f>
        <v>52835</v>
      </c>
      <c r="K16" s="40">
        <f>J16</f>
        <v>52835</v>
      </c>
      <c r="L16" s="246">
        <f>D16+H16</f>
        <v>66248</v>
      </c>
      <c r="M16" s="246">
        <f>E16+I16</f>
        <v>6272</v>
      </c>
      <c r="N16" s="36">
        <f>L16+M16</f>
        <v>72520</v>
      </c>
      <c r="O16" s="40">
        <f>L16+M16</f>
        <v>72520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45786</v>
      </c>
      <c r="D17" s="246">
        <v>42718</v>
      </c>
      <c r="E17" s="246">
        <v>0</v>
      </c>
      <c r="F17" s="36">
        <f>D17+E17</f>
        <v>42718</v>
      </c>
      <c r="G17" s="40">
        <f>G16+F17</f>
        <v>62403</v>
      </c>
      <c r="H17" s="246">
        <v>108680</v>
      </c>
      <c r="I17" s="246">
        <v>0</v>
      </c>
      <c r="J17" s="36">
        <f t="shared" ref="J17:J29" si="12">H17+I17</f>
        <v>108680</v>
      </c>
      <c r="K17" s="40">
        <f>K16+J17</f>
        <v>161515</v>
      </c>
      <c r="L17" s="246">
        <f>D17+H17</f>
        <v>151398</v>
      </c>
      <c r="M17" s="246">
        <f>E17+I17</f>
        <v>0</v>
      </c>
      <c r="N17" s="36">
        <f t="shared" ref="N17:N18" si="13">L17+M17</f>
        <v>151398</v>
      </c>
      <c r="O17" s="40">
        <f>O16+N17</f>
        <v>223918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45793</v>
      </c>
      <c r="D18" s="246"/>
      <c r="E18" s="246"/>
      <c r="F18" s="36">
        <f>D18+E18</f>
        <v>0</v>
      </c>
      <c r="G18" s="40">
        <f t="shared" ref="G18:G53" si="15">G17+F18</f>
        <v>62403</v>
      </c>
      <c r="H18" s="246"/>
      <c r="I18" s="246"/>
      <c r="J18" s="36">
        <f t="shared" si="12"/>
        <v>0</v>
      </c>
      <c r="K18" s="40">
        <f t="shared" ref="K18:K19" si="16">K17+J18</f>
        <v>161515</v>
      </c>
      <c r="L18" s="246"/>
      <c r="M18" s="246">
        <f t="shared" ref="M18:M67" si="17">E18+I18</f>
        <v>0</v>
      </c>
      <c r="N18" s="36">
        <f t="shared" si="13"/>
        <v>0</v>
      </c>
      <c r="O18" s="40">
        <f t="shared" ref="O18:O67" si="18">O17+N18</f>
        <v>223918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45800</v>
      </c>
      <c r="D19" s="246"/>
      <c r="E19" s="246"/>
      <c r="F19" s="36">
        <f>D19+E19</f>
        <v>0</v>
      </c>
      <c r="G19" s="40">
        <f t="shared" si="15"/>
        <v>62403</v>
      </c>
      <c r="H19" s="246"/>
      <c r="I19" s="246"/>
      <c r="J19" s="36">
        <f t="shared" si="12"/>
        <v>0</v>
      </c>
      <c r="K19" s="40">
        <f t="shared" si="16"/>
        <v>161515</v>
      </c>
      <c r="L19" s="246"/>
      <c r="M19" s="246">
        <f t="shared" si="17"/>
        <v>0</v>
      </c>
      <c r="N19" s="36">
        <f>L19+M19</f>
        <v>0</v>
      </c>
      <c r="O19" s="40">
        <f t="shared" si="18"/>
        <v>223918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45807</v>
      </c>
      <c r="D20" s="246"/>
      <c r="E20" s="246"/>
      <c r="F20" s="36">
        <f>D20+E20</f>
        <v>0</v>
      </c>
      <c r="G20" s="40">
        <f t="shared" si="15"/>
        <v>62403</v>
      </c>
      <c r="H20" s="246"/>
      <c r="I20" s="246"/>
      <c r="J20" s="36">
        <f t="shared" si="12"/>
        <v>0</v>
      </c>
      <c r="K20" s="40">
        <f>K19+J20</f>
        <v>161515</v>
      </c>
      <c r="L20" s="246"/>
      <c r="M20" s="246">
        <f t="shared" si="17"/>
        <v>0</v>
      </c>
      <c r="N20" s="36">
        <f>L20+M20</f>
        <v>0</v>
      </c>
      <c r="O20" s="40">
        <f t="shared" si="18"/>
        <v>223918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45814</v>
      </c>
      <c r="D21" s="246"/>
      <c r="E21" s="246"/>
      <c r="F21" s="36">
        <f t="shared" ref="F21:F28" si="19">D21+E21</f>
        <v>0</v>
      </c>
      <c r="G21" s="40">
        <f t="shared" si="15"/>
        <v>62403</v>
      </c>
      <c r="H21" s="246"/>
      <c r="I21" s="246"/>
      <c r="J21" s="36">
        <f t="shared" si="12"/>
        <v>0</v>
      </c>
      <c r="K21" s="40">
        <f>K20+J21</f>
        <v>161515</v>
      </c>
      <c r="L21" s="246"/>
      <c r="M21" s="246">
        <f t="shared" si="17"/>
        <v>0</v>
      </c>
      <c r="N21" s="36">
        <f t="shared" ref="N21:N22" si="20">L21+M21</f>
        <v>0</v>
      </c>
      <c r="O21" s="40">
        <f t="shared" si="18"/>
        <v>223918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45821</v>
      </c>
      <c r="D22" s="246"/>
      <c r="E22" s="246"/>
      <c r="F22" s="36">
        <f t="shared" si="19"/>
        <v>0</v>
      </c>
      <c r="G22" s="40">
        <f t="shared" si="15"/>
        <v>62403</v>
      </c>
      <c r="H22" s="246"/>
      <c r="I22" s="246"/>
      <c r="J22" s="36">
        <f t="shared" si="12"/>
        <v>0</v>
      </c>
      <c r="K22" s="40">
        <f t="shared" ref="K22:K26" si="21">K21+J22</f>
        <v>161515</v>
      </c>
      <c r="L22" s="246"/>
      <c r="M22" s="246">
        <f t="shared" si="17"/>
        <v>0</v>
      </c>
      <c r="N22" s="36">
        <f t="shared" si="20"/>
        <v>0</v>
      </c>
      <c r="O22" s="40">
        <f t="shared" si="18"/>
        <v>223918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45828</v>
      </c>
      <c r="D23" s="246"/>
      <c r="E23" s="246"/>
      <c r="F23" s="36">
        <f t="shared" si="19"/>
        <v>0</v>
      </c>
      <c r="G23" s="40">
        <f t="shared" si="15"/>
        <v>62403</v>
      </c>
      <c r="H23" s="246"/>
      <c r="I23" s="246"/>
      <c r="J23" s="36">
        <f t="shared" si="12"/>
        <v>0</v>
      </c>
      <c r="K23" s="40">
        <f t="shared" si="21"/>
        <v>161515</v>
      </c>
      <c r="L23" s="246"/>
      <c r="M23" s="246">
        <f t="shared" si="17"/>
        <v>0</v>
      </c>
      <c r="N23" s="36">
        <f t="shared" ref="N23:N25" si="22">L23+M23</f>
        <v>0</v>
      </c>
      <c r="O23" s="40">
        <f t="shared" si="18"/>
        <v>223918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45835</v>
      </c>
      <c r="D24" s="246"/>
      <c r="E24" s="246"/>
      <c r="F24" s="36">
        <f t="shared" si="19"/>
        <v>0</v>
      </c>
      <c r="G24" s="40">
        <f t="shared" si="15"/>
        <v>62403</v>
      </c>
      <c r="H24" s="246"/>
      <c r="I24" s="246"/>
      <c r="J24" s="36">
        <f t="shared" si="12"/>
        <v>0</v>
      </c>
      <c r="K24" s="40">
        <f t="shared" si="21"/>
        <v>161515</v>
      </c>
      <c r="L24" s="246"/>
      <c r="M24" s="246">
        <f t="shared" si="17"/>
        <v>0</v>
      </c>
      <c r="N24" s="36">
        <f t="shared" si="22"/>
        <v>0</v>
      </c>
      <c r="O24" s="40">
        <f t="shared" si="18"/>
        <v>223918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45842</v>
      </c>
      <c r="D25" s="246"/>
      <c r="E25" s="246"/>
      <c r="F25" s="36">
        <f t="shared" si="19"/>
        <v>0</v>
      </c>
      <c r="G25" s="40">
        <f t="shared" si="15"/>
        <v>62403</v>
      </c>
      <c r="H25" s="246"/>
      <c r="I25" s="246"/>
      <c r="J25" s="36">
        <f t="shared" si="12"/>
        <v>0</v>
      </c>
      <c r="K25" s="40">
        <f t="shared" si="21"/>
        <v>161515</v>
      </c>
      <c r="L25" s="246"/>
      <c r="M25" s="246">
        <f t="shared" si="17"/>
        <v>0</v>
      </c>
      <c r="N25" s="36">
        <f t="shared" si="22"/>
        <v>0</v>
      </c>
      <c r="O25" s="40">
        <f t="shared" si="18"/>
        <v>223918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45849</v>
      </c>
      <c r="D26" s="246"/>
      <c r="E26" s="246"/>
      <c r="F26" s="36">
        <f t="shared" si="19"/>
        <v>0</v>
      </c>
      <c r="G26" s="40">
        <f t="shared" si="15"/>
        <v>62403</v>
      </c>
      <c r="H26" s="246"/>
      <c r="I26" s="246"/>
      <c r="J26" s="36">
        <f t="shared" si="12"/>
        <v>0</v>
      </c>
      <c r="K26" s="40">
        <f t="shared" si="21"/>
        <v>161515</v>
      </c>
      <c r="L26" s="246"/>
      <c r="M26" s="246">
        <f t="shared" si="17"/>
        <v>0</v>
      </c>
      <c r="N26" s="36">
        <f t="shared" ref="N26:N28" si="23">L26+M26</f>
        <v>0</v>
      </c>
      <c r="O26" s="40">
        <f t="shared" si="18"/>
        <v>223918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45856</v>
      </c>
      <c r="D27" s="246"/>
      <c r="E27" s="246"/>
      <c r="F27" s="36">
        <f t="shared" si="19"/>
        <v>0</v>
      </c>
      <c r="G27" s="40">
        <f t="shared" si="15"/>
        <v>62403</v>
      </c>
      <c r="H27" s="246"/>
      <c r="I27" s="246"/>
      <c r="J27" s="36">
        <f t="shared" si="12"/>
        <v>0</v>
      </c>
      <c r="K27" s="40">
        <f t="shared" ref="K27:K53" si="24">K26+J27</f>
        <v>161515</v>
      </c>
      <c r="L27" s="246"/>
      <c r="M27" s="246">
        <f t="shared" si="17"/>
        <v>0</v>
      </c>
      <c r="N27" s="36">
        <f t="shared" si="23"/>
        <v>0</v>
      </c>
      <c r="O27" s="40">
        <f t="shared" si="18"/>
        <v>223918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45863</v>
      </c>
      <c r="D28" s="246"/>
      <c r="E28" s="246"/>
      <c r="F28" s="36">
        <f t="shared" si="19"/>
        <v>0</v>
      </c>
      <c r="G28" s="40">
        <f t="shared" si="15"/>
        <v>62403</v>
      </c>
      <c r="H28" s="246"/>
      <c r="I28" s="246"/>
      <c r="J28" s="36">
        <f t="shared" si="12"/>
        <v>0</v>
      </c>
      <c r="K28" s="40">
        <f t="shared" si="24"/>
        <v>161515</v>
      </c>
      <c r="L28" s="246"/>
      <c r="M28" s="246">
        <f t="shared" si="17"/>
        <v>0</v>
      </c>
      <c r="N28" s="36">
        <f t="shared" si="23"/>
        <v>0</v>
      </c>
      <c r="O28" s="40">
        <f t="shared" si="18"/>
        <v>223918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45870</v>
      </c>
      <c r="D29" s="246"/>
      <c r="E29" s="246"/>
      <c r="F29" s="36">
        <f t="shared" ref="F29" si="25">D29+E29</f>
        <v>0</v>
      </c>
      <c r="G29" s="40">
        <f t="shared" si="15"/>
        <v>62403</v>
      </c>
      <c r="H29" s="246"/>
      <c r="I29" s="246"/>
      <c r="J29" s="36">
        <f t="shared" si="12"/>
        <v>0</v>
      </c>
      <c r="K29" s="40">
        <f t="shared" si="24"/>
        <v>161515</v>
      </c>
      <c r="L29" s="246"/>
      <c r="M29" s="246">
        <f t="shared" si="17"/>
        <v>0</v>
      </c>
      <c r="N29" s="36">
        <f t="shared" ref="N29:N30" si="26">L29+M29</f>
        <v>0</v>
      </c>
      <c r="O29" s="40">
        <f t="shared" si="18"/>
        <v>223918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45877</v>
      </c>
      <c r="D30" s="246"/>
      <c r="E30" s="246"/>
      <c r="F30" s="36">
        <f t="shared" ref="F30" si="27">D30+E30</f>
        <v>0</v>
      </c>
      <c r="G30" s="40">
        <f t="shared" si="15"/>
        <v>62403</v>
      </c>
      <c r="H30" s="246"/>
      <c r="I30" s="246"/>
      <c r="J30" s="36">
        <f t="shared" ref="J30" si="28">H30+I30</f>
        <v>0</v>
      </c>
      <c r="K30" s="40">
        <f t="shared" si="24"/>
        <v>161515</v>
      </c>
      <c r="L30" s="246"/>
      <c r="M30" s="246">
        <f t="shared" si="17"/>
        <v>0</v>
      </c>
      <c r="N30" s="36">
        <f t="shared" si="26"/>
        <v>0</v>
      </c>
      <c r="O30" s="40">
        <f t="shared" si="18"/>
        <v>223918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45884</v>
      </c>
      <c r="D31" s="246"/>
      <c r="E31" s="246"/>
      <c r="F31" s="36">
        <f t="shared" ref="F31" si="29">D31+E31</f>
        <v>0</v>
      </c>
      <c r="G31" s="40">
        <f t="shared" si="15"/>
        <v>62403</v>
      </c>
      <c r="H31" s="246"/>
      <c r="I31" s="246"/>
      <c r="J31" s="36">
        <f t="shared" ref="J31" si="30">H31+I31</f>
        <v>0</v>
      </c>
      <c r="K31" s="40">
        <f t="shared" si="24"/>
        <v>161515</v>
      </c>
      <c r="L31" s="246"/>
      <c r="M31" s="246">
        <f t="shared" si="17"/>
        <v>0</v>
      </c>
      <c r="N31" s="36">
        <f t="shared" ref="N31:N32" si="31">L31+M31</f>
        <v>0</v>
      </c>
      <c r="O31" s="40">
        <f t="shared" si="18"/>
        <v>223918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45891</v>
      </c>
      <c r="D32" s="246"/>
      <c r="E32" s="246"/>
      <c r="F32" s="36">
        <f t="shared" ref="F32:F33" si="32">D32+E32</f>
        <v>0</v>
      </c>
      <c r="G32" s="40">
        <f t="shared" si="15"/>
        <v>62403</v>
      </c>
      <c r="H32" s="246"/>
      <c r="I32" s="246"/>
      <c r="J32" s="36">
        <f t="shared" ref="J32" si="33">H32+I32</f>
        <v>0</v>
      </c>
      <c r="K32" s="40">
        <f t="shared" si="24"/>
        <v>161515</v>
      </c>
      <c r="L32" s="246"/>
      <c r="M32" s="246">
        <f t="shared" si="17"/>
        <v>0</v>
      </c>
      <c r="N32" s="36">
        <f t="shared" si="31"/>
        <v>0</v>
      </c>
      <c r="O32" s="40">
        <f t="shared" si="18"/>
        <v>223918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45898</v>
      </c>
      <c r="D33" s="246"/>
      <c r="E33" s="246"/>
      <c r="F33" s="36">
        <f t="shared" si="32"/>
        <v>0</v>
      </c>
      <c r="G33" s="40">
        <f t="shared" si="15"/>
        <v>62403</v>
      </c>
      <c r="H33" s="246"/>
      <c r="I33" s="246"/>
      <c r="J33" s="36">
        <f t="shared" ref="J33" si="34">H33+I33</f>
        <v>0</v>
      </c>
      <c r="K33" s="40">
        <f t="shared" si="24"/>
        <v>161515</v>
      </c>
      <c r="L33" s="246"/>
      <c r="M33" s="246">
        <f t="shared" si="17"/>
        <v>0</v>
      </c>
      <c r="N33" s="36">
        <f t="shared" ref="N33" si="35">L33+M33</f>
        <v>0</v>
      </c>
      <c r="O33" s="40">
        <f t="shared" si="18"/>
        <v>223918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45905</v>
      </c>
      <c r="D34" s="246"/>
      <c r="E34" s="246"/>
      <c r="F34" s="36">
        <f t="shared" ref="F34:F35" si="36">D34+E34</f>
        <v>0</v>
      </c>
      <c r="G34" s="40">
        <f t="shared" si="15"/>
        <v>62403</v>
      </c>
      <c r="H34" s="246"/>
      <c r="I34" s="246"/>
      <c r="J34" s="36">
        <f t="shared" ref="J34:J35" si="37">H34+I34</f>
        <v>0</v>
      </c>
      <c r="K34" s="40">
        <f t="shared" si="24"/>
        <v>161515</v>
      </c>
      <c r="L34" s="246"/>
      <c r="M34" s="246">
        <f t="shared" si="17"/>
        <v>0</v>
      </c>
      <c r="N34" s="36">
        <f t="shared" ref="N34" si="38">L34+M34</f>
        <v>0</v>
      </c>
      <c r="O34" s="40">
        <f t="shared" si="18"/>
        <v>223918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45912</v>
      </c>
      <c r="D35" s="246"/>
      <c r="E35" s="246"/>
      <c r="F35" s="36">
        <f t="shared" si="36"/>
        <v>0</v>
      </c>
      <c r="G35" s="40">
        <f t="shared" si="15"/>
        <v>62403</v>
      </c>
      <c r="H35" s="246"/>
      <c r="I35" s="246"/>
      <c r="J35" s="36">
        <f t="shared" si="37"/>
        <v>0</v>
      </c>
      <c r="K35" s="40">
        <f t="shared" si="24"/>
        <v>161515</v>
      </c>
      <c r="L35" s="246"/>
      <c r="M35" s="246">
        <f t="shared" si="17"/>
        <v>0</v>
      </c>
      <c r="N35" s="36">
        <f t="shared" ref="N35:N36" si="39">L35+M35</f>
        <v>0</v>
      </c>
      <c r="O35" s="40">
        <f t="shared" si="18"/>
        <v>223918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45919</v>
      </c>
      <c r="D36" s="246"/>
      <c r="E36" s="246"/>
      <c r="F36" s="36">
        <f t="shared" ref="F36" si="40">D36+E36</f>
        <v>0</v>
      </c>
      <c r="G36" s="40">
        <f t="shared" si="15"/>
        <v>62403</v>
      </c>
      <c r="H36" s="246"/>
      <c r="I36" s="246"/>
      <c r="J36" s="36">
        <f t="shared" ref="J36" si="41">H36+I36</f>
        <v>0</v>
      </c>
      <c r="K36" s="40">
        <f t="shared" si="24"/>
        <v>161515</v>
      </c>
      <c r="L36" s="246"/>
      <c r="M36" s="246">
        <f t="shared" si="17"/>
        <v>0</v>
      </c>
      <c r="N36" s="36">
        <f t="shared" si="39"/>
        <v>0</v>
      </c>
      <c r="O36" s="40">
        <f t="shared" si="18"/>
        <v>223918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45926</v>
      </c>
      <c r="D37" s="246"/>
      <c r="E37" s="246"/>
      <c r="F37" s="36">
        <f t="shared" ref="F37" si="42">D37+E37</f>
        <v>0</v>
      </c>
      <c r="G37" s="40">
        <f t="shared" si="15"/>
        <v>62403</v>
      </c>
      <c r="H37" s="246"/>
      <c r="I37" s="246"/>
      <c r="J37" s="36">
        <f t="shared" ref="J37" si="43">H37+I37</f>
        <v>0</v>
      </c>
      <c r="K37" s="40">
        <f t="shared" si="24"/>
        <v>161515</v>
      </c>
      <c r="L37" s="246"/>
      <c r="M37" s="246">
        <f t="shared" si="17"/>
        <v>0</v>
      </c>
      <c r="N37" s="36">
        <f t="shared" ref="N37" si="44">L37+M37</f>
        <v>0</v>
      </c>
      <c r="O37" s="40">
        <f t="shared" si="18"/>
        <v>223918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45933</v>
      </c>
      <c r="D38" s="246"/>
      <c r="E38" s="246"/>
      <c r="F38" s="36">
        <f t="shared" ref="F38:F40" si="45">D38+E38</f>
        <v>0</v>
      </c>
      <c r="G38" s="40">
        <f t="shared" si="15"/>
        <v>62403</v>
      </c>
      <c r="H38" s="246"/>
      <c r="I38" s="246"/>
      <c r="J38" s="36">
        <f t="shared" ref="J38:J41" si="46">H38+I38</f>
        <v>0</v>
      </c>
      <c r="K38" s="40">
        <f t="shared" si="24"/>
        <v>161515</v>
      </c>
      <c r="L38" s="246"/>
      <c r="M38" s="246">
        <f t="shared" si="17"/>
        <v>0</v>
      </c>
      <c r="N38" s="36">
        <f t="shared" ref="N38:N42" si="47">L38+M38</f>
        <v>0</v>
      </c>
      <c r="O38" s="40">
        <f t="shared" si="18"/>
        <v>223918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45940</v>
      </c>
      <c r="D39" s="246"/>
      <c r="E39" s="246"/>
      <c r="F39" s="36">
        <f t="shared" si="45"/>
        <v>0</v>
      </c>
      <c r="G39" s="40">
        <f t="shared" si="15"/>
        <v>62403</v>
      </c>
      <c r="H39" s="246"/>
      <c r="I39" s="246"/>
      <c r="J39" s="36">
        <f t="shared" si="46"/>
        <v>0</v>
      </c>
      <c r="K39" s="40">
        <f t="shared" si="24"/>
        <v>161515</v>
      </c>
      <c r="L39" s="246"/>
      <c r="M39" s="246">
        <f t="shared" si="17"/>
        <v>0</v>
      </c>
      <c r="N39" s="36">
        <f t="shared" si="47"/>
        <v>0</v>
      </c>
      <c r="O39" s="40">
        <f t="shared" si="18"/>
        <v>223918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45947</v>
      </c>
      <c r="D40" s="246"/>
      <c r="E40" s="246"/>
      <c r="F40" s="36">
        <f t="shared" si="45"/>
        <v>0</v>
      </c>
      <c r="G40" s="40">
        <f t="shared" si="15"/>
        <v>62403</v>
      </c>
      <c r="H40" s="246"/>
      <c r="I40" s="246"/>
      <c r="J40" s="36">
        <f t="shared" si="46"/>
        <v>0</v>
      </c>
      <c r="K40" s="40">
        <f t="shared" si="24"/>
        <v>161515</v>
      </c>
      <c r="L40" s="246"/>
      <c r="M40" s="246">
        <f t="shared" si="17"/>
        <v>0</v>
      </c>
      <c r="N40" s="36">
        <f t="shared" si="47"/>
        <v>0</v>
      </c>
      <c r="O40" s="40">
        <f t="shared" si="18"/>
        <v>223918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45954</v>
      </c>
      <c r="D41" s="246"/>
      <c r="E41" s="246"/>
      <c r="F41" s="36">
        <f t="shared" ref="F41:F50" si="48">D41+E41</f>
        <v>0</v>
      </c>
      <c r="G41" s="40">
        <f t="shared" si="15"/>
        <v>62403</v>
      </c>
      <c r="H41" s="246"/>
      <c r="I41" s="246"/>
      <c r="J41" s="36">
        <f t="shared" si="46"/>
        <v>0</v>
      </c>
      <c r="K41" s="40">
        <f t="shared" si="24"/>
        <v>161515</v>
      </c>
      <c r="L41" s="246"/>
      <c r="M41" s="246">
        <f t="shared" si="17"/>
        <v>0</v>
      </c>
      <c r="N41" s="36">
        <f t="shared" si="47"/>
        <v>0</v>
      </c>
      <c r="O41" s="40">
        <f t="shared" si="18"/>
        <v>223918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45961</v>
      </c>
      <c r="D42" s="246"/>
      <c r="E42" s="246"/>
      <c r="F42" s="36">
        <f t="shared" si="48"/>
        <v>0</v>
      </c>
      <c r="G42" s="40">
        <f t="shared" si="15"/>
        <v>62403</v>
      </c>
      <c r="H42" s="246"/>
      <c r="I42" s="246"/>
      <c r="J42" s="36">
        <f t="shared" ref="J42:J51" si="49">H42+I42</f>
        <v>0</v>
      </c>
      <c r="K42" s="40">
        <f t="shared" si="24"/>
        <v>161515</v>
      </c>
      <c r="L42" s="246"/>
      <c r="M42" s="246">
        <f t="shared" si="17"/>
        <v>0</v>
      </c>
      <c r="N42" s="36">
        <f t="shared" si="47"/>
        <v>0</v>
      </c>
      <c r="O42" s="40">
        <f t="shared" si="18"/>
        <v>223918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45968</v>
      </c>
      <c r="D43" s="246"/>
      <c r="E43" s="246"/>
      <c r="F43" s="36">
        <f t="shared" si="48"/>
        <v>0</v>
      </c>
      <c r="G43" s="40">
        <f t="shared" si="15"/>
        <v>62403</v>
      </c>
      <c r="H43" s="246"/>
      <c r="I43" s="246"/>
      <c r="J43" s="36">
        <f t="shared" si="49"/>
        <v>0</v>
      </c>
      <c r="K43" s="40">
        <f t="shared" si="24"/>
        <v>161515</v>
      </c>
      <c r="L43" s="246"/>
      <c r="M43" s="246">
        <f t="shared" si="17"/>
        <v>0</v>
      </c>
      <c r="N43" s="36">
        <f t="shared" ref="N43:N50" si="50">L43+M43</f>
        <v>0</v>
      </c>
      <c r="O43" s="40">
        <f t="shared" si="18"/>
        <v>223918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45975</v>
      </c>
      <c r="D44" s="246"/>
      <c r="E44" s="246"/>
      <c r="F44" s="36">
        <f t="shared" si="48"/>
        <v>0</v>
      </c>
      <c r="G44" s="40">
        <f t="shared" si="15"/>
        <v>62403</v>
      </c>
      <c r="H44" s="246"/>
      <c r="I44" s="246"/>
      <c r="J44" s="36">
        <f t="shared" si="49"/>
        <v>0</v>
      </c>
      <c r="K44" s="40">
        <f t="shared" si="24"/>
        <v>161515</v>
      </c>
      <c r="L44" s="246"/>
      <c r="M44" s="246">
        <f t="shared" si="17"/>
        <v>0</v>
      </c>
      <c r="N44" s="36">
        <f t="shared" si="50"/>
        <v>0</v>
      </c>
      <c r="O44" s="40">
        <f t="shared" si="18"/>
        <v>223918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45982</v>
      </c>
      <c r="D45" s="246"/>
      <c r="E45" s="246"/>
      <c r="F45" s="36">
        <f t="shared" si="48"/>
        <v>0</v>
      </c>
      <c r="G45" s="40">
        <f t="shared" si="15"/>
        <v>62403</v>
      </c>
      <c r="H45" s="246"/>
      <c r="I45" s="246"/>
      <c r="J45" s="36">
        <f t="shared" si="49"/>
        <v>0</v>
      </c>
      <c r="K45" s="40">
        <f t="shared" si="24"/>
        <v>161515</v>
      </c>
      <c r="L45" s="246"/>
      <c r="M45" s="246">
        <f t="shared" si="17"/>
        <v>0</v>
      </c>
      <c r="N45" s="36">
        <f t="shared" si="50"/>
        <v>0</v>
      </c>
      <c r="O45" s="40">
        <f t="shared" si="18"/>
        <v>223918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45989</v>
      </c>
      <c r="D46" s="246"/>
      <c r="E46" s="246"/>
      <c r="F46" s="36">
        <f t="shared" si="48"/>
        <v>0</v>
      </c>
      <c r="G46" s="40">
        <f t="shared" si="15"/>
        <v>62403</v>
      </c>
      <c r="H46" s="246"/>
      <c r="I46" s="246"/>
      <c r="J46" s="36">
        <f t="shared" si="49"/>
        <v>0</v>
      </c>
      <c r="K46" s="40">
        <f t="shared" si="24"/>
        <v>161515</v>
      </c>
      <c r="L46" s="246"/>
      <c r="M46" s="246">
        <f t="shared" si="17"/>
        <v>0</v>
      </c>
      <c r="N46" s="36">
        <f t="shared" si="50"/>
        <v>0</v>
      </c>
      <c r="O46" s="40">
        <f t="shared" si="18"/>
        <v>223918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45996</v>
      </c>
      <c r="D47" s="246"/>
      <c r="E47" s="246"/>
      <c r="F47" s="36">
        <f t="shared" si="48"/>
        <v>0</v>
      </c>
      <c r="G47" s="40">
        <f t="shared" si="15"/>
        <v>62403</v>
      </c>
      <c r="H47" s="246"/>
      <c r="I47" s="246"/>
      <c r="J47" s="36">
        <f t="shared" si="49"/>
        <v>0</v>
      </c>
      <c r="K47" s="40">
        <f t="shared" si="24"/>
        <v>161515</v>
      </c>
      <c r="L47" s="246"/>
      <c r="M47" s="246">
        <f t="shared" si="17"/>
        <v>0</v>
      </c>
      <c r="N47" s="36">
        <f t="shared" si="50"/>
        <v>0</v>
      </c>
      <c r="O47" s="40">
        <f t="shared" si="18"/>
        <v>223918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46003</v>
      </c>
      <c r="D48" s="246"/>
      <c r="E48" s="246"/>
      <c r="F48" s="36">
        <f t="shared" si="48"/>
        <v>0</v>
      </c>
      <c r="G48" s="40">
        <f t="shared" si="15"/>
        <v>62403</v>
      </c>
      <c r="H48" s="246"/>
      <c r="I48" s="246"/>
      <c r="J48" s="36">
        <f t="shared" si="49"/>
        <v>0</v>
      </c>
      <c r="K48" s="40">
        <f t="shared" si="24"/>
        <v>161515</v>
      </c>
      <c r="L48" s="246"/>
      <c r="M48" s="246">
        <f t="shared" si="17"/>
        <v>0</v>
      </c>
      <c r="N48" s="36">
        <f t="shared" si="50"/>
        <v>0</v>
      </c>
      <c r="O48" s="40">
        <f t="shared" si="18"/>
        <v>223918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46010</v>
      </c>
      <c r="D49" s="246"/>
      <c r="E49" s="246"/>
      <c r="F49" s="36">
        <f t="shared" si="48"/>
        <v>0</v>
      </c>
      <c r="G49" s="40">
        <f t="shared" si="15"/>
        <v>62403</v>
      </c>
      <c r="H49" s="246"/>
      <c r="I49" s="246"/>
      <c r="J49" s="36">
        <f t="shared" si="49"/>
        <v>0</v>
      </c>
      <c r="K49" s="40">
        <f t="shared" si="24"/>
        <v>161515</v>
      </c>
      <c r="L49" s="246"/>
      <c r="M49" s="246">
        <f t="shared" si="17"/>
        <v>0</v>
      </c>
      <c r="N49" s="36">
        <f t="shared" si="50"/>
        <v>0</v>
      </c>
      <c r="O49" s="40">
        <f t="shared" si="18"/>
        <v>223918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46017</v>
      </c>
      <c r="D50" s="246"/>
      <c r="E50" s="246"/>
      <c r="F50" s="36">
        <f t="shared" si="48"/>
        <v>0</v>
      </c>
      <c r="G50" s="40">
        <f t="shared" si="15"/>
        <v>62403</v>
      </c>
      <c r="H50" s="246"/>
      <c r="I50" s="246"/>
      <c r="J50" s="36">
        <f t="shared" si="49"/>
        <v>0</v>
      </c>
      <c r="K50" s="40">
        <f t="shared" si="24"/>
        <v>161515</v>
      </c>
      <c r="L50" s="246"/>
      <c r="M50" s="246">
        <f t="shared" si="17"/>
        <v>0</v>
      </c>
      <c r="N50" s="36">
        <f t="shared" si="50"/>
        <v>0</v>
      </c>
      <c r="O50" s="40">
        <f t="shared" si="18"/>
        <v>223918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46024</v>
      </c>
      <c r="D51" s="246"/>
      <c r="E51" s="246"/>
      <c r="F51" s="36">
        <f t="shared" ref="F51:F53" si="51">D51+E51</f>
        <v>0</v>
      </c>
      <c r="G51" s="40">
        <f t="shared" si="15"/>
        <v>62403</v>
      </c>
      <c r="H51" s="246"/>
      <c r="I51" s="246"/>
      <c r="J51" s="36">
        <f t="shared" si="49"/>
        <v>0</v>
      </c>
      <c r="K51" s="40">
        <f t="shared" si="24"/>
        <v>161515</v>
      </c>
      <c r="L51" s="246"/>
      <c r="M51" s="246">
        <f t="shared" si="17"/>
        <v>0</v>
      </c>
      <c r="N51" s="36">
        <f t="shared" ref="N51:N53" si="52">L51+M51</f>
        <v>0</v>
      </c>
      <c r="O51" s="40">
        <f t="shared" si="18"/>
        <v>223918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46031</v>
      </c>
      <c r="D52" s="246"/>
      <c r="E52" s="246"/>
      <c r="F52" s="36">
        <f t="shared" si="51"/>
        <v>0</v>
      </c>
      <c r="G52" s="40">
        <f t="shared" si="15"/>
        <v>62403</v>
      </c>
      <c r="H52" s="246"/>
      <c r="I52" s="246"/>
      <c r="J52" s="36">
        <f t="shared" ref="J52:J53" si="53">H52+I52</f>
        <v>0</v>
      </c>
      <c r="K52" s="40">
        <f t="shared" si="24"/>
        <v>161515</v>
      </c>
      <c r="L52" s="246"/>
      <c r="M52" s="246">
        <f t="shared" si="17"/>
        <v>0</v>
      </c>
      <c r="N52" s="36">
        <f t="shared" si="52"/>
        <v>0</v>
      </c>
      <c r="O52" s="40">
        <f t="shared" si="18"/>
        <v>223918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46038</v>
      </c>
      <c r="D53" s="246"/>
      <c r="E53" s="246"/>
      <c r="F53" s="36">
        <f t="shared" si="51"/>
        <v>0</v>
      </c>
      <c r="G53" s="40">
        <f t="shared" si="15"/>
        <v>62403</v>
      </c>
      <c r="H53" s="246"/>
      <c r="I53" s="246"/>
      <c r="J53" s="36">
        <f t="shared" si="53"/>
        <v>0</v>
      </c>
      <c r="K53" s="40">
        <f t="shared" si="24"/>
        <v>161515</v>
      </c>
      <c r="L53" s="246"/>
      <c r="M53" s="246">
        <f t="shared" si="17"/>
        <v>0</v>
      </c>
      <c r="N53" s="36">
        <f t="shared" si="52"/>
        <v>0</v>
      </c>
      <c r="O53" s="40">
        <f t="shared" si="18"/>
        <v>223918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46045</v>
      </c>
      <c r="D54" s="246"/>
      <c r="E54" s="246"/>
      <c r="F54" s="36">
        <f t="shared" ref="F54" si="54">D54+E54</f>
        <v>0</v>
      </c>
      <c r="G54" s="40">
        <f>G53+F54</f>
        <v>62403</v>
      </c>
      <c r="H54" s="246"/>
      <c r="I54" s="246"/>
      <c r="J54" s="36">
        <f t="shared" ref="J54:J55" si="55">H54+I54</f>
        <v>0</v>
      </c>
      <c r="K54" s="40">
        <f>K53+J54</f>
        <v>161515</v>
      </c>
      <c r="L54" s="246"/>
      <c r="M54" s="246">
        <f t="shared" si="17"/>
        <v>0</v>
      </c>
      <c r="N54" s="36">
        <f t="shared" ref="N54" si="56">L54+M54</f>
        <v>0</v>
      </c>
      <c r="O54" s="40">
        <f t="shared" si="18"/>
        <v>223918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46052</v>
      </c>
      <c r="D55" s="246"/>
      <c r="E55" s="246"/>
      <c r="F55" s="36">
        <f t="shared" ref="F55" si="57">D55+E55</f>
        <v>0</v>
      </c>
      <c r="G55" s="40">
        <f>G54+F55</f>
        <v>62403</v>
      </c>
      <c r="H55" s="246"/>
      <c r="I55" s="246"/>
      <c r="J55" s="36">
        <f t="shared" si="55"/>
        <v>0</v>
      </c>
      <c r="K55" s="40">
        <f>K54+J55</f>
        <v>161515</v>
      </c>
      <c r="L55" s="246"/>
      <c r="M55" s="246">
        <f t="shared" si="17"/>
        <v>0</v>
      </c>
      <c r="N55" s="36">
        <f t="shared" ref="N55" si="58">L55+M55</f>
        <v>0</v>
      </c>
      <c r="O55" s="40">
        <f t="shared" si="18"/>
        <v>223918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46059</v>
      </c>
      <c r="D56" s="246"/>
      <c r="E56" s="246"/>
      <c r="F56" s="36">
        <f t="shared" ref="F56:F57" si="59">D56+E56</f>
        <v>0</v>
      </c>
      <c r="G56" s="40">
        <f t="shared" ref="G56:G58" si="60">G55+F56</f>
        <v>62403</v>
      </c>
      <c r="H56" s="246"/>
      <c r="I56" s="246"/>
      <c r="J56" s="36">
        <f t="shared" ref="J56:J58" si="61">H56+I56</f>
        <v>0</v>
      </c>
      <c r="K56" s="40">
        <f t="shared" ref="K56:K58" si="62">K55+J56</f>
        <v>161515</v>
      </c>
      <c r="L56" s="246"/>
      <c r="M56" s="246">
        <f t="shared" si="17"/>
        <v>0</v>
      </c>
      <c r="N56" s="36">
        <f t="shared" ref="N56" si="63">L56+M56</f>
        <v>0</v>
      </c>
      <c r="O56" s="40">
        <f t="shared" si="18"/>
        <v>223918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46066</v>
      </c>
      <c r="D57" s="246"/>
      <c r="E57" s="246"/>
      <c r="F57" s="36">
        <f t="shared" si="59"/>
        <v>0</v>
      </c>
      <c r="G57" s="40">
        <f t="shared" si="60"/>
        <v>62403</v>
      </c>
      <c r="H57" s="246"/>
      <c r="I57" s="246"/>
      <c r="J57" s="36">
        <f t="shared" si="61"/>
        <v>0</v>
      </c>
      <c r="K57" s="40">
        <f t="shared" si="62"/>
        <v>161515</v>
      </c>
      <c r="L57" s="246"/>
      <c r="M57" s="246">
        <f t="shared" si="17"/>
        <v>0</v>
      </c>
      <c r="N57" s="36">
        <f t="shared" ref="N57:N58" si="64">L57+M57</f>
        <v>0</v>
      </c>
      <c r="O57" s="40">
        <f t="shared" si="18"/>
        <v>223918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46073</v>
      </c>
      <c r="D58" s="246"/>
      <c r="E58" s="246"/>
      <c r="F58" s="36">
        <f t="shared" ref="F58" si="65">D58+E58</f>
        <v>0</v>
      </c>
      <c r="G58" s="40">
        <f t="shared" si="60"/>
        <v>62403</v>
      </c>
      <c r="H58" s="246"/>
      <c r="I58" s="246"/>
      <c r="J58" s="36">
        <f t="shared" si="61"/>
        <v>0</v>
      </c>
      <c r="K58" s="40">
        <f t="shared" si="62"/>
        <v>161515</v>
      </c>
      <c r="L58" s="246"/>
      <c r="M58" s="246">
        <f t="shared" si="17"/>
        <v>0</v>
      </c>
      <c r="N58" s="36">
        <f t="shared" si="64"/>
        <v>0</v>
      </c>
      <c r="O58" s="40">
        <f t="shared" si="18"/>
        <v>223918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46080</v>
      </c>
      <c r="D59" s="246"/>
      <c r="E59" s="246"/>
      <c r="F59" s="36">
        <f t="shared" ref="F59" si="66">D59+E59</f>
        <v>0</v>
      </c>
      <c r="G59" s="40">
        <f>G58+F59</f>
        <v>62403</v>
      </c>
      <c r="H59" s="246"/>
      <c r="I59" s="246"/>
      <c r="J59" s="36">
        <f t="shared" ref="J59" si="67">H59+I59</f>
        <v>0</v>
      </c>
      <c r="K59" s="40">
        <f t="shared" ref="K59:K67" si="68">K58+J59</f>
        <v>161515</v>
      </c>
      <c r="L59" s="246"/>
      <c r="M59" s="246">
        <f t="shared" si="17"/>
        <v>0</v>
      </c>
      <c r="N59" s="36">
        <f t="shared" ref="N59:N61" si="69">L59+M59</f>
        <v>0</v>
      </c>
      <c r="O59" s="40">
        <f t="shared" si="18"/>
        <v>223918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46087</v>
      </c>
      <c r="D60" s="246"/>
      <c r="E60" s="246"/>
      <c r="F60" s="36">
        <f t="shared" ref="F60" si="70">D60+E60</f>
        <v>0</v>
      </c>
      <c r="G60" s="40">
        <f t="shared" ref="G60:G67" si="71">G59+F60</f>
        <v>62403</v>
      </c>
      <c r="H60" s="246"/>
      <c r="I60" s="246"/>
      <c r="J60" s="36">
        <f t="shared" ref="J60:J61" si="72">H60+I60</f>
        <v>0</v>
      </c>
      <c r="K60" s="40">
        <f t="shared" si="68"/>
        <v>161515</v>
      </c>
      <c r="L60" s="246"/>
      <c r="M60" s="246">
        <f t="shared" si="17"/>
        <v>0</v>
      </c>
      <c r="N60" s="36">
        <f t="shared" si="69"/>
        <v>0</v>
      </c>
      <c r="O60" s="40">
        <f t="shared" si="18"/>
        <v>223918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46094</v>
      </c>
      <c r="D61" s="246"/>
      <c r="E61" s="246"/>
      <c r="F61" s="36">
        <f t="shared" ref="F61" si="73">D61+E61</f>
        <v>0</v>
      </c>
      <c r="G61" s="40">
        <f t="shared" si="71"/>
        <v>62403</v>
      </c>
      <c r="H61" s="246"/>
      <c r="I61" s="246"/>
      <c r="J61" s="36">
        <f t="shared" si="72"/>
        <v>0</v>
      </c>
      <c r="K61" s="40">
        <f t="shared" si="68"/>
        <v>161515</v>
      </c>
      <c r="L61" s="246"/>
      <c r="M61" s="246">
        <f t="shared" si="17"/>
        <v>0</v>
      </c>
      <c r="N61" s="36">
        <f t="shared" si="69"/>
        <v>0</v>
      </c>
      <c r="O61" s="40">
        <f t="shared" si="18"/>
        <v>223918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46101</v>
      </c>
      <c r="D62" s="246"/>
      <c r="E62" s="246"/>
      <c r="F62" s="36">
        <f t="shared" ref="F62" si="74">D62+E62</f>
        <v>0</v>
      </c>
      <c r="G62" s="40">
        <f t="shared" si="71"/>
        <v>62403</v>
      </c>
      <c r="H62" s="246"/>
      <c r="I62" s="246"/>
      <c r="J62" s="36">
        <f t="shared" ref="J62:J65" si="75">H62+I62</f>
        <v>0</v>
      </c>
      <c r="K62" s="40">
        <f t="shared" si="68"/>
        <v>161515</v>
      </c>
      <c r="L62" s="246"/>
      <c r="M62" s="246">
        <f t="shared" si="17"/>
        <v>0</v>
      </c>
      <c r="N62" s="36">
        <f t="shared" ref="N62" si="76">L62+M62</f>
        <v>0</v>
      </c>
      <c r="O62" s="40">
        <f t="shared" si="18"/>
        <v>223918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46108</v>
      </c>
      <c r="D63" s="246"/>
      <c r="E63" s="246"/>
      <c r="F63" s="36">
        <f t="shared" ref="F63" si="77">D63+E63</f>
        <v>0</v>
      </c>
      <c r="G63" s="40">
        <f t="shared" si="71"/>
        <v>62403</v>
      </c>
      <c r="H63" s="246"/>
      <c r="I63" s="246"/>
      <c r="J63" s="36">
        <f t="shared" si="75"/>
        <v>0</v>
      </c>
      <c r="K63" s="40">
        <f t="shared" si="68"/>
        <v>161515</v>
      </c>
      <c r="L63" s="246"/>
      <c r="M63" s="246">
        <f t="shared" si="17"/>
        <v>0</v>
      </c>
      <c r="N63" s="36">
        <f t="shared" ref="N63" si="78">L63+M63</f>
        <v>0</v>
      </c>
      <c r="O63" s="40">
        <f t="shared" si="18"/>
        <v>223918</v>
      </c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46115</v>
      </c>
      <c r="D64" s="246"/>
      <c r="E64" s="246"/>
      <c r="F64" s="36">
        <f t="shared" ref="F64" si="79">D64+E64</f>
        <v>0</v>
      </c>
      <c r="G64" s="40">
        <f t="shared" si="71"/>
        <v>62403</v>
      </c>
      <c r="H64" s="246"/>
      <c r="I64" s="246"/>
      <c r="J64" s="36">
        <f t="shared" si="75"/>
        <v>0</v>
      </c>
      <c r="K64" s="40">
        <f t="shared" si="68"/>
        <v>161515</v>
      </c>
      <c r="L64" s="246"/>
      <c r="M64" s="246">
        <f t="shared" si="17"/>
        <v>0</v>
      </c>
      <c r="N64" s="36">
        <f t="shared" ref="N64" si="80">L64+M64</f>
        <v>0</v>
      </c>
      <c r="O64" s="40">
        <f t="shared" si="18"/>
        <v>223918</v>
      </c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46122</v>
      </c>
      <c r="D65" s="246"/>
      <c r="E65" s="246"/>
      <c r="F65" s="36">
        <f t="shared" ref="F65:F66" si="81">D65+E65</f>
        <v>0</v>
      </c>
      <c r="G65" s="40">
        <f t="shared" si="71"/>
        <v>62403</v>
      </c>
      <c r="H65" s="246"/>
      <c r="I65" s="246"/>
      <c r="J65" s="36">
        <f t="shared" si="75"/>
        <v>0</v>
      </c>
      <c r="K65" s="40">
        <f t="shared" si="68"/>
        <v>161515</v>
      </c>
      <c r="L65" s="246"/>
      <c r="M65" s="246">
        <f t="shared" si="17"/>
        <v>0</v>
      </c>
      <c r="N65" s="36">
        <f t="shared" ref="N65" si="82">L65+M65</f>
        <v>0</v>
      </c>
      <c r="O65" s="40">
        <f t="shared" si="18"/>
        <v>223918</v>
      </c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46129</v>
      </c>
      <c r="D66" s="246"/>
      <c r="E66" s="246"/>
      <c r="F66" s="36">
        <f t="shared" si="81"/>
        <v>0</v>
      </c>
      <c r="G66" s="40">
        <f t="shared" si="71"/>
        <v>62403</v>
      </c>
      <c r="H66" s="246"/>
      <c r="I66" s="246"/>
      <c r="J66" s="36">
        <f t="shared" ref="J66" si="83">H66+I66</f>
        <v>0</v>
      </c>
      <c r="K66" s="40">
        <f t="shared" si="68"/>
        <v>161515</v>
      </c>
      <c r="L66" s="246"/>
      <c r="M66" s="246">
        <f t="shared" si="17"/>
        <v>0</v>
      </c>
      <c r="N66" s="36">
        <f t="shared" ref="N66" si="84">L66+M66</f>
        <v>0</v>
      </c>
      <c r="O66" s="40">
        <f t="shared" si="18"/>
        <v>223918</v>
      </c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46136</v>
      </c>
      <c r="D67" s="246"/>
      <c r="E67" s="246"/>
      <c r="F67" s="36">
        <f t="shared" ref="F67" si="85">D67+E67</f>
        <v>0</v>
      </c>
      <c r="G67" s="40">
        <f t="shared" si="71"/>
        <v>62403</v>
      </c>
      <c r="H67" s="246"/>
      <c r="I67" s="246"/>
      <c r="J67" s="36">
        <f t="shared" ref="J67" si="86">H67+I67</f>
        <v>0</v>
      </c>
      <c r="K67" s="40">
        <f t="shared" si="68"/>
        <v>161515</v>
      </c>
      <c r="L67" s="246"/>
      <c r="M67" s="246">
        <f t="shared" si="17"/>
        <v>0</v>
      </c>
      <c r="N67" s="36">
        <f t="shared" ref="N67" si="87">L67+M67</f>
        <v>0</v>
      </c>
      <c r="O67" s="40">
        <f t="shared" si="18"/>
        <v>223918</v>
      </c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U84"/>
  <sheetViews>
    <sheetView showGridLines="0" showWhiteSpace="0" zoomScale="95" zoomScaleNormal="95" workbookViewId="0">
      <pane xSplit="3" ySplit="3" topLeftCell="K12" activePane="bottomRight" state="frozen"/>
      <selection pane="topRight" activeCell="D1" sqref="D1"/>
      <selection pane="bottomLeft" activeCell="A4" sqref="A4"/>
      <selection pane="bottomRight" activeCell="B18" sqref="B18:B19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20" width="14.44140625" style="2" customWidth="1"/>
    <col min="21" max="21" width="13.5546875" style="2" customWidth="1"/>
    <col min="22" max="16384" width="9.109375" style="2"/>
  </cols>
  <sheetData>
    <row r="1" spans="2:21" ht="12" thickBot="1" x14ac:dyDescent="0.25"/>
    <row r="2" spans="2:21" ht="23.4" thickBot="1" x14ac:dyDescent="0.45">
      <c r="B2" s="466" t="s">
        <v>39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8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95" t="s">
        <v>129</v>
      </c>
      <c r="U3" s="219" t="s">
        <v>55</v>
      </c>
    </row>
    <row r="4" spans="2:21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315">
        <v>23921</v>
      </c>
      <c r="U4" s="278">
        <f>AVERAGE(M4:R4)</f>
        <v>12104.833333333334</v>
      </c>
    </row>
    <row r="5" spans="2:21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315">
        <v>32437</v>
      </c>
      <c r="U5" s="278">
        <f t="shared" ref="U5:U10" si="0">AVERAGE(M5:R5)</f>
        <v>13112.5</v>
      </c>
    </row>
    <row r="6" spans="2:21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315">
        <v>39304</v>
      </c>
      <c r="U6" s="278">
        <f t="shared" si="0"/>
        <v>19537.5</v>
      </c>
    </row>
    <row r="7" spans="2:21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315">
        <v>36958</v>
      </c>
      <c r="U7" s="278">
        <f t="shared" si="0"/>
        <v>38052</v>
      </c>
    </row>
    <row r="8" spans="2:21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315">
        <v>36818</v>
      </c>
      <c r="U8" s="278">
        <f t="shared" si="0"/>
        <v>13204.833333333334</v>
      </c>
    </row>
    <row r="9" spans="2:21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315">
        <v>33811</v>
      </c>
      <c r="U9" s="278">
        <f t="shared" si="0"/>
        <v>17128.666666666668</v>
      </c>
    </row>
    <row r="10" spans="2:21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315">
        <v>47444</v>
      </c>
      <c r="U10" s="278">
        <f t="shared" si="0"/>
        <v>31627.333333333332</v>
      </c>
    </row>
    <row r="11" spans="2:21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16">
        <v>143326</v>
      </c>
      <c r="U11" s="308"/>
    </row>
    <row r="12" spans="2:21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77"/>
      <c r="U12" s="275"/>
    </row>
    <row r="13" spans="2:21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96">
        <v>136965</v>
      </c>
      <c r="U13" s="276">
        <f>AVERAGE(M13:Q13)</f>
        <v>58032.4</v>
      </c>
    </row>
    <row r="14" spans="2:21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96">
        <v>261327</v>
      </c>
      <c r="U14" s="276">
        <f>AVERAGE(M14:Q14)</f>
        <v>124514</v>
      </c>
    </row>
    <row r="15" spans="2:21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97">
        <f>SUM(T12:T14)</f>
        <v>398292</v>
      </c>
      <c r="U15" s="276">
        <f>U13+U14</f>
        <v>182546.4</v>
      </c>
    </row>
    <row r="16" spans="2:21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119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01" t="str">
        <f t="shared" ref="T16" si="3">T3</f>
        <v>2025/26*</v>
      </c>
      <c r="U16" s="219" t="s">
        <v>55</v>
      </c>
    </row>
    <row r="17" spans="2:21" ht="14.4" x14ac:dyDescent="0.3">
      <c r="B17" s="75" t="s">
        <v>67</v>
      </c>
      <c r="C17" s="48" t="s">
        <v>67</v>
      </c>
      <c r="D17" s="13">
        <f t="shared" ref="D17:K17" si="4">D15</f>
        <v>328341</v>
      </c>
      <c r="E17" s="24">
        <f t="shared" si="4"/>
        <v>115703</v>
      </c>
      <c r="F17" s="24">
        <f t="shared" si="4"/>
        <v>406000</v>
      </c>
      <c r="G17" s="24">
        <f t="shared" si="4"/>
        <v>510398</v>
      </c>
      <c r="H17" s="24">
        <f t="shared" si="4"/>
        <v>269777</v>
      </c>
      <c r="I17" s="24">
        <f t="shared" si="4"/>
        <v>305123</v>
      </c>
      <c r="J17" s="24">
        <f t="shared" si="4"/>
        <v>174836</v>
      </c>
      <c r="K17" s="24">
        <f t="shared" si="4"/>
        <v>288056</v>
      </c>
      <c r="L17" s="24">
        <f>L15</f>
        <v>610419</v>
      </c>
      <c r="M17" s="24">
        <f t="shared" ref="M17:R17" si="5">M15</f>
        <v>117369</v>
      </c>
      <c r="N17" s="24">
        <f t="shared" si="5"/>
        <v>85898</v>
      </c>
      <c r="O17" s="24">
        <f t="shared" si="5"/>
        <v>131241</v>
      </c>
      <c r="P17" s="24">
        <f t="shared" si="5"/>
        <v>437036</v>
      </c>
      <c r="Q17" s="24">
        <f t="shared" si="5"/>
        <v>141188</v>
      </c>
      <c r="R17" s="24">
        <f t="shared" si="5"/>
        <v>194205</v>
      </c>
      <c r="S17" s="24">
        <f>S15</f>
        <v>398292</v>
      </c>
      <c r="T17" s="24">
        <f>T15</f>
        <v>398292</v>
      </c>
      <c r="U17" s="315">
        <f t="shared" ref="U17" si="6">U15</f>
        <v>182546.4</v>
      </c>
    </row>
    <row r="18" spans="2:21" ht="14.4" x14ac:dyDescent="0.3">
      <c r="B18" s="19">
        <v>1</v>
      </c>
      <c r="C18" s="285">
        <v>45779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382">
        <v>109240</v>
      </c>
      <c r="T18" s="298">
        <f>'Mielies-Maize'!G16</f>
        <v>19685</v>
      </c>
      <c r="U18" s="315">
        <f>AVERAGE(P18:T18)</f>
        <v>84720.2</v>
      </c>
    </row>
    <row r="19" spans="2:21" ht="14.4" x14ac:dyDescent="0.3">
      <c r="B19" s="19">
        <v>2</v>
      </c>
      <c r="C19" s="285">
        <f t="shared" ref="C19:C69" si="7">C18+7</f>
        <v>45786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382">
        <v>292833</v>
      </c>
      <c r="T19" s="298">
        <f>'Mielies-Maize'!G17</f>
        <v>62403</v>
      </c>
      <c r="U19" s="315">
        <f>AVERAGE(P19:T19)</f>
        <v>172819.20000000001</v>
      </c>
    </row>
    <row r="20" spans="2:21" ht="14.25" customHeight="1" x14ac:dyDescent="0.3">
      <c r="B20" s="19">
        <v>3</v>
      </c>
      <c r="C20" s="285">
        <f t="shared" si="7"/>
        <v>45793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382">
        <v>366322</v>
      </c>
      <c r="T20" s="298"/>
      <c r="U20" s="315"/>
    </row>
    <row r="21" spans="2:21" ht="14.4" x14ac:dyDescent="0.3">
      <c r="B21" s="19">
        <v>4</v>
      </c>
      <c r="C21" s="285">
        <f t="shared" si="7"/>
        <v>45800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382">
        <v>471686</v>
      </c>
      <c r="T21" s="298"/>
      <c r="U21" s="315"/>
    </row>
    <row r="22" spans="2:21" ht="14.4" x14ac:dyDescent="0.3">
      <c r="B22" s="19">
        <v>5</v>
      </c>
      <c r="C22" s="285">
        <f t="shared" si="7"/>
        <v>45807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382">
        <v>441301</v>
      </c>
      <c r="T22" s="298"/>
      <c r="U22" s="315"/>
    </row>
    <row r="23" spans="2:21" ht="14.4" x14ac:dyDescent="0.3">
      <c r="B23" s="19">
        <v>6</v>
      </c>
      <c r="C23" s="285">
        <f t="shared" si="7"/>
        <v>45814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382">
        <v>392831</v>
      </c>
      <c r="T23" s="298"/>
      <c r="U23" s="315"/>
    </row>
    <row r="24" spans="2:21" ht="15" customHeight="1" x14ac:dyDescent="0.3">
      <c r="B24" s="19">
        <v>7</v>
      </c>
      <c r="C24" s="285">
        <f t="shared" si="7"/>
        <v>45821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382">
        <v>455847</v>
      </c>
      <c r="T24" s="298"/>
      <c r="U24" s="315"/>
    </row>
    <row r="25" spans="2:21" ht="15" customHeight="1" x14ac:dyDescent="0.3">
      <c r="B25" s="19">
        <v>8</v>
      </c>
      <c r="C25" s="285">
        <f t="shared" si="7"/>
        <v>45828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382">
        <v>399552</v>
      </c>
      <c r="T25" s="298"/>
      <c r="U25" s="315"/>
    </row>
    <row r="26" spans="2:21" ht="15" customHeight="1" x14ac:dyDescent="0.3">
      <c r="B26" s="19">
        <v>9</v>
      </c>
      <c r="C26" s="285">
        <f t="shared" si="7"/>
        <v>45835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382">
        <v>501401</v>
      </c>
      <c r="T26" s="298"/>
      <c r="U26" s="315"/>
    </row>
    <row r="27" spans="2:21" ht="15" customHeight="1" x14ac:dyDescent="0.3">
      <c r="B27" s="19">
        <v>10</v>
      </c>
      <c r="C27" s="285">
        <f t="shared" si="7"/>
        <v>45842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382">
        <v>365450</v>
      </c>
      <c r="T27" s="298"/>
      <c r="U27" s="315"/>
    </row>
    <row r="28" spans="2:21" ht="15" customHeight="1" x14ac:dyDescent="0.3">
      <c r="B28" s="19">
        <v>11</v>
      </c>
      <c r="C28" s="285">
        <f t="shared" si="7"/>
        <v>45849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382">
        <v>333150</v>
      </c>
      <c r="T28" s="298"/>
      <c r="U28" s="315"/>
    </row>
    <row r="29" spans="2:21" ht="15" customHeight="1" x14ac:dyDescent="0.3">
      <c r="B29" s="19">
        <v>12</v>
      </c>
      <c r="C29" s="285">
        <f t="shared" si="7"/>
        <v>45856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382">
        <v>255754</v>
      </c>
      <c r="T29" s="298"/>
      <c r="U29" s="315"/>
    </row>
    <row r="30" spans="2:21" ht="15" customHeight="1" x14ac:dyDescent="0.3">
      <c r="B30" s="19">
        <v>13</v>
      </c>
      <c r="C30" s="285">
        <f t="shared" si="7"/>
        <v>45863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382">
        <v>209778</v>
      </c>
      <c r="T30" s="298"/>
      <c r="U30" s="315"/>
    </row>
    <row r="31" spans="2:21" ht="15" customHeight="1" x14ac:dyDescent="0.3">
      <c r="B31" s="19">
        <v>14</v>
      </c>
      <c r="C31" s="285">
        <f t="shared" si="7"/>
        <v>45870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382">
        <v>94318</v>
      </c>
      <c r="T31" s="298"/>
      <c r="U31" s="315"/>
    </row>
    <row r="32" spans="2:21" ht="15" customHeight="1" x14ac:dyDescent="0.3">
      <c r="B32" s="19">
        <v>15</v>
      </c>
      <c r="C32" s="285">
        <f t="shared" si="7"/>
        <v>45877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382">
        <v>56790</v>
      </c>
      <c r="T32" s="298"/>
      <c r="U32" s="315"/>
    </row>
    <row r="33" spans="2:21" ht="15" customHeight="1" x14ac:dyDescent="0.3">
      <c r="B33" s="19">
        <v>16</v>
      </c>
      <c r="C33" s="285">
        <f t="shared" si="7"/>
        <v>45884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382">
        <v>52108</v>
      </c>
      <c r="T33" s="298"/>
      <c r="U33" s="315"/>
    </row>
    <row r="34" spans="2:21" ht="15" customHeight="1" x14ac:dyDescent="0.3">
      <c r="B34" s="19">
        <v>17</v>
      </c>
      <c r="C34" s="285">
        <f t="shared" si="7"/>
        <v>45891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382">
        <v>38328</v>
      </c>
      <c r="T34" s="298"/>
      <c r="U34" s="315"/>
    </row>
    <row r="35" spans="2:21" ht="15" customHeight="1" x14ac:dyDescent="0.3">
      <c r="B35" s="19">
        <v>18</v>
      </c>
      <c r="C35" s="285">
        <f t="shared" si="7"/>
        <v>45898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382">
        <v>47921</v>
      </c>
      <c r="T35" s="298"/>
      <c r="U35" s="315"/>
    </row>
    <row r="36" spans="2:21" ht="15" customHeight="1" x14ac:dyDescent="0.3">
      <c r="B36" s="19">
        <v>19</v>
      </c>
      <c r="C36" s="285">
        <f t="shared" si="7"/>
        <v>45905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382">
        <v>34049</v>
      </c>
      <c r="T36" s="298"/>
      <c r="U36" s="315"/>
    </row>
    <row r="37" spans="2:21" ht="15" customHeight="1" x14ac:dyDescent="0.3">
      <c r="B37" s="19">
        <v>20</v>
      </c>
      <c r="C37" s="285">
        <f t="shared" si="7"/>
        <v>45912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382">
        <v>33514</v>
      </c>
      <c r="T37" s="298"/>
      <c r="U37" s="315"/>
    </row>
    <row r="38" spans="2:21" ht="15" customHeight="1" x14ac:dyDescent="0.3">
      <c r="B38" s="19">
        <v>21</v>
      </c>
      <c r="C38" s="285">
        <f t="shared" si="7"/>
        <v>45919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382">
        <v>33731</v>
      </c>
      <c r="T38" s="298"/>
      <c r="U38" s="315"/>
    </row>
    <row r="39" spans="2:21" ht="15" customHeight="1" x14ac:dyDescent="0.3">
      <c r="B39" s="19">
        <v>22</v>
      </c>
      <c r="C39" s="285">
        <f t="shared" si="7"/>
        <v>45926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382">
        <v>38622</v>
      </c>
      <c r="T39" s="298"/>
      <c r="U39" s="315"/>
    </row>
    <row r="40" spans="2:21" ht="15" customHeight="1" x14ac:dyDescent="0.3">
      <c r="B40" s="19">
        <v>23</v>
      </c>
      <c r="C40" s="285">
        <f t="shared" si="7"/>
        <v>45933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382">
        <v>31557</v>
      </c>
      <c r="T40" s="298"/>
      <c r="U40" s="315"/>
    </row>
    <row r="41" spans="2:21" ht="15" customHeight="1" x14ac:dyDescent="0.3">
      <c r="B41" s="19">
        <v>24</v>
      </c>
      <c r="C41" s="285">
        <f t="shared" si="7"/>
        <v>45940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382">
        <v>36429</v>
      </c>
      <c r="T41" s="298"/>
      <c r="U41" s="315"/>
    </row>
    <row r="42" spans="2:21" ht="15" customHeight="1" x14ac:dyDescent="0.3">
      <c r="B42" s="19">
        <v>25</v>
      </c>
      <c r="C42" s="285">
        <f t="shared" si="7"/>
        <v>45947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382">
        <v>31117</v>
      </c>
      <c r="T42" s="298"/>
      <c r="U42" s="315"/>
    </row>
    <row r="43" spans="2:21" ht="15" customHeight="1" x14ac:dyDescent="0.3">
      <c r="B43" s="19">
        <v>26</v>
      </c>
      <c r="C43" s="285">
        <f t="shared" si="7"/>
        <v>45954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382">
        <v>34045</v>
      </c>
      <c r="T43" s="298"/>
      <c r="U43" s="315"/>
    </row>
    <row r="44" spans="2:21" ht="15" customHeight="1" x14ac:dyDescent="0.3">
      <c r="B44" s="19">
        <v>27</v>
      </c>
      <c r="C44" s="285">
        <f t="shared" si="7"/>
        <v>45961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382">
        <v>21968</v>
      </c>
      <c r="T44" s="298"/>
      <c r="U44" s="315"/>
    </row>
    <row r="45" spans="2:21" ht="15" customHeight="1" x14ac:dyDescent="0.3">
      <c r="B45" s="19">
        <v>28</v>
      </c>
      <c r="C45" s="285">
        <f t="shared" si="7"/>
        <v>45968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382">
        <v>23891</v>
      </c>
      <c r="T45" s="298"/>
      <c r="U45" s="315"/>
    </row>
    <row r="46" spans="2:21" ht="15" customHeight="1" x14ac:dyDescent="0.3">
      <c r="B46" s="19">
        <v>29</v>
      </c>
      <c r="C46" s="285">
        <f t="shared" si="7"/>
        <v>45975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382">
        <v>17401</v>
      </c>
      <c r="T46" s="298"/>
      <c r="U46" s="315"/>
    </row>
    <row r="47" spans="2:21" ht="15" customHeight="1" x14ac:dyDescent="0.3">
      <c r="B47" s="19">
        <v>30</v>
      </c>
      <c r="C47" s="285">
        <f t="shared" si="7"/>
        <v>45982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382">
        <v>16566</v>
      </c>
      <c r="T47" s="298"/>
      <c r="U47" s="315"/>
    </row>
    <row r="48" spans="2:21" ht="15" customHeight="1" x14ac:dyDescent="0.3">
      <c r="B48" s="19">
        <v>31</v>
      </c>
      <c r="C48" s="285">
        <f t="shared" si="7"/>
        <v>45989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382">
        <v>26971</v>
      </c>
      <c r="T48" s="298"/>
      <c r="U48" s="315"/>
    </row>
    <row r="49" spans="2:21" ht="15" customHeight="1" x14ac:dyDescent="0.3">
      <c r="B49" s="19">
        <v>32</v>
      </c>
      <c r="C49" s="285">
        <f t="shared" si="7"/>
        <v>45996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382">
        <v>24027</v>
      </c>
      <c r="T49" s="298"/>
      <c r="U49" s="315"/>
    </row>
    <row r="50" spans="2:21" ht="15" customHeight="1" x14ac:dyDescent="0.3">
      <c r="B50" s="19">
        <v>33</v>
      </c>
      <c r="C50" s="285">
        <f t="shared" si="7"/>
        <v>46003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382">
        <v>17536</v>
      </c>
      <c r="T50" s="298"/>
      <c r="U50" s="315"/>
    </row>
    <row r="51" spans="2:21" ht="15" customHeight="1" x14ac:dyDescent="0.3">
      <c r="B51" s="19">
        <v>34</v>
      </c>
      <c r="C51" s="285">
        <f t="shared" si="7"/>
        <v>46010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382">
        <v>12717</v>
      </c>
      <c r="T51" s="298"/>
      <c r="U51" s="315"/>
    </row>
    <row r="52" spans="2:21" ht="15" customHeight="1" x14ac:dyDescent="0.3">
      <c r="B52" s="19">
        <v>35</v>
      </c>
      <c r="C52" s="285">
        <f t="shared" si="7"/>
        <v>46017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382">
        <v>5023</v>
      </c>
      <c r="T52" s="298"/>
      <c r="U52" s="315"/>
    </row>
    <row r="53" spans="2:21" ht="15" customHeight="1" x14ac:dyDescent="0.3">
      <c r="B53" s="19">
        <v>36</v>
      </c>
      <c r="C53" s="285">
        <f t="shared" si="7"/>
        <v>46024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382">
        <v>4914</v>
      </c>
      <c r="T53" s="298"/>
      <c r="U53" s="315"/>
    </row>
    <row r="54" spans="2:21" ht="15" customHeight="1" x14ac:dyDescent="0.3">
      <c r="B54" s="19">
        <v>37</v>
      </c>
      <c r="C54" s="285">
        <f t="shared" si="7"/>
        <v>46031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382">
        <v>13611</v>
      </c>
      <c r="T54" s="298"/>
      <c r="U54" s="315"/>
    </row>
    <row r="55" spans="2:21" ht="14.25" customHeight="1" x14ac:dyDescent="0.3">
      <c r="B55" s="19">
        <v>38</v>
      </c>
      <c r="C55" s="285">
        <f t="shared" si="7"/>
        <v>46038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382">
        <v>16190</v>
      </c>
      <c r="T55" s="298"/>
      <c r="U55" s="315"/>
    </row>
    <row r="56" spans="2:21" ht="14.25" customHeight="1" x14ac:dyDescent="0.3">
      <c r="B56" s="19">
        <v>39</v>
      </c>
      <c r="C56" s="285">
        <f t="shared" si="7"/>
        <v>46045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382">
        <v>12929</v>
      </c>
      <c r="T56" s="298"/>
      <c r="U56" s="315"/>
    </row>
    <row r="57" spans="2:21" ht="14.25" customHeight="1" x14ac:dyDescent="0.3">
      <c r="B57" s="19">
        <v>40</v>
      </c>
      <c r="C57" s="285">
        <f t="shared" si="7"/>
        <v>46052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382">
        <v>16687</v>
      </c>
      <c r="T57" s="298"/>
      <c r="U57" s="315"/>
    </row>
    <row r="58" spans="2:21" ht="14.25" customHeight="1" x14ac:dyDescent="0.3">
      <c r="B58" s="19">
        <v>41</v>
      </c>
      <c r="C58" s="285">
        <f t="shared" si="7"/>
        <v>46059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382">
        <v>18618</v>
      </c>
      <c r="T58" s="298"/>
      <c r="U58" s="315"/>
    </row>
    <row r="59" spans="2:21" ht="14.25" customHeight="1" x14ac:dyDescent="0.3">
      <c r="B59" s="19">
        <v>42</v>
      </c>
      <c r="C59" s="285">
        <f t="shared" si="7"/>
        <v>46066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382">
        <v>13946</v>
      </c>
      <c r="T59" s="298"/>
      <c r="U59" s="315"/>
    </row>
    <row r="60" spans="2:21" ht="14.25" customHeight="1" x14ac:dyDescent="0.3">
      <c r="B60" s="19">
        <v>43</v>
      </c>
      <c r="C60" s="285">
        <f t="shared" si="7"/>
        <v>46073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382">
        <v>6081</v>
      </c>
      <c r="T60" s="298"/>
      <c r="U60" s="315"/>
    </row>
    <row r="61" spans="2:21" ht="14.25" customHeight="1" x14ac:dyDescent="0.3">
      <c r="B61" s="19">
        <v>44</v>
      </c>
      <c r="C61" s="285">
        <f t="shared" si="7"/>
        <v>46080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382">
        <v>13025</v>
      </c>
      <c r="T61" s="298"/>
      <c r="U61" s="315"/>
    </row>
    <row r="62" spans="2:21" ht="14.25" customHeight="1" x14ac:dyDescent="0.3">
      <c r="B62" s="19">
        <v>45</v>
      </c>
      <c r="C62" s="285">
        <f t="shared" si="7"/>
        <v>46087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382">
        <v>13630</v>
      </c>
      <c r="T62" s="298"/>
      <c r="U62" s="315"/>
    </row>
    <row r="63" spans="2:21" ht="14.25" customHeight="1" x14ac:dyDescent="0.3">
      <c r="B63" s="19">
        <v>46</v>
      </c>
      <c r="C63" s="285">
        <f t="shared" si="7"/>
        <v>46094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382">
        <v>43163</v>
      </c>
      <c r="T63" s="298"/>
      <c r="U63" s="315"/>
    </row>
    <row r="64" spans="2:21" ht="14.25" customHeight="1" x14ac:dyDescent="0.3">
      <c r="B64" s="19">
        <v>47</v>
      </c>
      <c r="C64" s="285">
        <f t="shared" si="7"/>
        <v>46101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382">
        <v>41496</v>
      </c>
      <c r="T64" s="298"/>
      <c r="U64" s="315"/>
    </row>
    <row r="65" spans="2:21" ht="14.25" customHeight="1" x14ac:dyDescent="0.3">
      <c r="B65" s="19">
        <v>48</v>
      </c>
      <c r="C65" s="285">
        <f t="shared" si="7"/>
        <v>46108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382">
        <v>43408</v>
      </c>
      <c r="T65" s="298"/>
      <c r="U65" s="315"/>
    </row>
    <row r="66" spans="2:21" ht="14.25" customHeight="1" x14ac:dyDescent="0.3">
      <c r="B66" s="19">
        <v>49</v>
      </c>
      <c r="C66" s="285">
        <f t="shared" si="7"/>
        <v>46115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382">
        <v>18079</v>
      </c>
      <c r="T66" s="298"/>
      <c r="U66" s="315"/>
    </row>
    <row r="67" spans="2:21" ht="14.25" customHeight="1" x14ac:dyDescent="0.3">
      <c r="B67" s="19">
        <v>50</v>
      </c>
      <c r="C67" s="285">
        <f t="shared" si="7"/>
        <v>46122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382">
        <v>14695</v>
      </c>
      <c r="T67" s="298"/>
      <c r="U67" s="315"/>
    </row>
    <row r="68" spans="2:21" ht="14.25" customHeight="1" x14ac:dyDescent="0.3">
      <c r="B68" s="19">
        <v>51</v>
      </c>
      <c r="C68" s="285">
        <f t="shared" si="7"/>
        <v>46129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382">
        <v>29699</v>
      </c>
      <c r="T68" s="298"/>
      <c r="U68" s="315"/>
    </row>
    <row r="69" spans="2:21" ht="14.25" customHeight="1" x14ac:dyDescent="0.3">
      <c r="B69" s="19">
        <v>52</v>
      </c>
      <c r="C69" s="285">
        <f t="shared" si="7"/>
        <v>46136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382">
        <v>34240</v>
      </c>
      <c r="T69" s="298"/>
      <c r="U69" s="315"/>
    </row>
    <row r="70" spans="2:21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/>
      <c r="P70" s="146"/>
      <c r="Q70" s="315"/>
      <c r="R70" s="383"/>
      <c r="S70" s="484"/>
      <c r="T70" s="298"/>
      <c r="U70" s="278"/>
    </row>
    <row r="71" spans="2:21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485"/>
      <c r="T71" s="348"/>
      <c r="U71" s="278"/>
    </row>
    <row r="72" spans="2:21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299">
        <v>6055000</v>
      </c>
      <c r="U72" s="309">
        <f>AVERAGE(O72:S72)</f>
        <v>7934255</v>
      </c>
    </row>
    <row r="73" spans="2:21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0">
        <v>170000</v>
      </c>
      <c r="U73" s="309">
        <f>AVERAGE(O73:S73)</f>
        <v>203800</v>
      </c>
    </row>
    <row r="74" spans="2:21" ht="14.25" customHeight="1" x14ac:dyDescent="0.3">
      <c r="B74" s="179" t="s">
        <v>70</v>
      </c>
      <c r="C74" s="152"/>
      <c r="D74" s="88">
        <f t="shared" ref="D74:I74" si="8">D72-D73</f>
        <v>7360107</v>
      </c>
      <c r="E74" s="88">
        <f t="shared" si="8"/>
        <v>6660110</v>
      </c>
      <c r="F74" s="88">
        <f t="shared" si="8"/>
        <v>5951688</v>
      </c>
      <c r="G74" s="88">
        <f t="shared" si="8"/>
        <v>6789559</v>
      </c>
      <c r="H74" s="88">
        <f t="shared" si="8"/>
        <v>5495858</v>
      </c>
      <c r="I74" s="88">
        <f t="shared" si="8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9">O72-O73</f>
        <v>8411310</v>
      </c>
      <c r="P74" s="242">
        <f t="shared" si="9"/>
        <v>8398000</v>
      </c>
      <c r="Q74" s="242">
        <f t="shared" si="9"/>
        <v>7673000</v>
      </c>
      <c r="R74" s="242">
        <f>R72-R73</f>
        <v>8284965</v>
      </c>
      <c r="S74" s="242">
        <f>S72-S73</f>
        <v>5885000</v>
      </c>
      <c r="T74" s="242">
        <f>T72-T73</f>
        <v>5885000</v>
      </c>
      <c r="U74" s="309">
        <f>AVERAGE(O74:S74)</f>
        <v>7730455</v>
      </c>
    </row>
    <row r="75" spans="2:21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02"/>
      <c r="U75" s="311"/>
    </row>
    <row r="76" spans="2:21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303" t="str">
        <f>T3</f>
        <v>2025/26*</v>
      </c>
      <c r="U76" s="277" t="s">
        <v>55</v>
      </c>
    </row>
    <row r="77" spans="2:21" x14ac:dyDescent="0.2">
      <c r="B77" s="16" t="s">
        <v>72</v>
      </c>
      <c r="C77" s="45"/>
      <c r="D77" s="23">
        <f t="shared" ref="D77:I77" si="10">D15</f>
        <v>328341</v>
      </c>
      <c r="E77" s="238">
        <f t="shared" si="10"/>
        <v>115703</v>
      </c>
      <c r="F77" s="222">
        <f t="shared" si="10"/>
        <v>406000</v>
      </c>
      <c r="G77" s="222">
        <f t="shared" si="10"/>
        <v>510398</v>
      </c>
      <c r="H77" s="222">
        <f t="shared" si="10"/>
        <v>269777</v>
      </c>
      <c r="I77" s="222">
        <f t="shared" si="10"/>
        <v>305123</v>
      </c>
      <c r="J77" s="231">
        <f t="shared" ref="J77" si="11">J17</f>
        <v>174836</v>
      </c>
      <c r="K77" s="231">
        <f>K17</f>
        <v>288056</v>
      </c>
      <c r="L77" s="231">
        <f>L17</f>
        <v>610419</v>
      </c>
      <c r="M77" s="245">
        <f t="shared" ref="M77:O77" si="12">M17</f>
        <v>117369</v>
      </c>
      <c r="N77" s="245">
        <f>N17</f>
        <v>85898</v>
      </c>
      <c r="O77" s="304">
        <f t="shared" si="12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304">
        <f>T17</f>
        <v>398292</v>
      </c>
      <c r="U77" s="231">
        <f>U17</f>
        <v>182546.4</v>
      </c>
    </row>
    <row r="78" spans="2:21" ht="12" thickBot="1" x14ac:dyDescent="0.25">
      <c r="B78" s="16" t="s">
        <v>73</v>
      </c>
      <c r="C78" s="47"/>
      <c r="D78" s="305">
        <f t="shared" ref="D78:E78" si="13">SUM(D18:D24)</f>
        <v>1960000</v>
      </c>
      <c r="E78" s="305">
        <f t="shared" si="13"/>
        <v>1417000</v>
      </c>
      <c r="F78" s="305">
        <f t="shared" ref="F78:J78" si="14">SUM(F18:F61)</f>
        <v>9731000</v>
      </c>
      <c r="G78" s="305">
        <f t="shared" si="14"/>
        <v>11016607</v>
      </c>
      <c r="H78" s="305">
        <f t="shared" si="14"/>
        <v>10495155</v>
      </c>
      <c r="I78" s="305">
        <f t="shared" si="14"/>
        <v>13275986</v>
      </c>
      <c r="J78" s="305">
        <f t="shared" si="14"/>
        <v>9057930</v>
      </c>
      <c r="K78" s="305">
        <f t="shared" ref="K78:U78" si="15">SUM(K18:K61)</f>
        <v>6675981</v>
      </c>
      <c r="L78" s="305">
        <f t="shared" si="15"/>
        <v>15385208</v>
      </c>
      <c r="M78" s="305">
        <f t="shared" si="15"/>
        <v>6224103</v>
      </c>
      <c r="N78" s="305">
        <f t="shared" si="15"/>
        <v>5311233</v>
      </c>
      <c r="O78" s="305">
        <f t="shared" si="15"/>
        <v>8169298</v>
      </c>
      <c r="P78" s="305">
        <f t="shared" si="15"/>
        <v>7999725</v>
      </c>
      <c r="Q78" s="305">
        <f t="shared" si="15"/>
        <v>7541586</v>
      </c>
      <c r="R78" s="305">
        <f t="shared" si="15"/>
        <v>8079331</v>
      </c>
      <c r="S78" s="305">
        <f>SUM(S18:S61)</f>
        <v>5439775</v>
      </c>
      <c r="T78" s="305">
        <f>SUM(T18:T61)</f>
        <v>82088</v>
      </c>
      <c r="U78" s="305">
        <f t="shared" si="15"/>
        <v>257539.40000000002</v>
      </c>
    </row>
    <row r="79" spans="2:21" ht="15" thickBot="1" x14ac:dyDescent="0.35">
      <c r="B79" s="115" t="s">
        <v>74</v>
      </c>
      <c r="C79" s="132"/>
      <c r="D79" s="168">
        <f t="shared" ref="D79:K79" si="16">SUM(D77:D78)</f>
        <v>2288341</v>
      </c>
      <c r="E79" s="239">
        <f t="shared" si="16"/>
        <v>1532703</v>
      </c>
      <c r="F79" s="223">
        <f t="shared" si="16"/>
        <v>10137000</v>
      </c>
      <c r="G79" s="223">
        <f t="shared" si="16"/>
        <v>11527005</v>
      </c>
      <c r="H79" s="223">
        <f t="shared" si="16"/>
        <v>10764932</v>
      </c>
      <c r="I79" s="223">
        <f t="shared" si="16"/>
        <v>13581109</v>
      </c>
      <c r="J79" s="223">
        <f t="shared" si="16"/>
        <v>9232766</v>
      </c>
      <c r="K79" s="223">
        <f t="shared" si="16"/>
        <v>6964037</v>
      </c>
      <c r="L79" s="223">
        <f t="shared" ref="L79:U79" si="17">SUM(L77:L78)</f>
        <v>15995627</v>
      </c>
      <c r="M79" s="196">
        <f t="shared" si="17"/>
        <v>6341472</v>
      </c>
      <c r="N79" s="196">
        <f>SUM(N77:N78)</f>
        <v>5397131</v>
      </c>
      <c r="O79" s="239">
        <f t="shared" si="17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5838067</v>
      </c>
      <c r="T79" s="239">
        <f>SUM(T77:T78)</f>
        <v>480380</v>
      </c>
      <c r="U79" s="223">
        <f t="shared" si="17"/>
        <v>440085.80000000005</v>
      </c>
    </row>
    <row r="80" spans="2:21" ht="15" thickTop="1" x14ac:dyDescent="0.3">
      <c r="B80" s="250" t="s">
        <v>75</v>
      </c>
      <c r="C80" s="248"/>
      <c r="D80" s="249">
        <f t="shared" ref="D80:K80" si="18">SUM(D17:D61)</f>
        <v>7375341</v>
      </c>
      <c r="E80" s="249">
        <f t="shared" si="18"/>
        <v>6709703</v>
      </c>
      <c r="F80" s="249">
        <f t="shared" si="18"/>
        <v>10137000</v>
      </c>
      <c r="G80" s="249">
        <f t="shared" si="18"/>
        <v>11527005</v>
      </c>
      <c r="H80" s="249">
        <f t="shared" si="18"/>
        <v>10764932</v>
      </c>
      <c r="I80" s="249">
        <f t="shared" si="18"/>
        <v>13581109</v>
      </c>
      <c r="J80" s="249">
        <f t="shared" si="18"/>
        <v>9232766</v>
      </c>
      <c r="K80" s="249">
        <f t="shared" si="18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306"/>
      <c r="U80" s="249"/>
    </row>
    <row r="81" spans="2:21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19">G79/G74</f>
        <v>1.6977545964325518</v>
      </c>
      <c r="H81" s="274">
        <f t="shared" si="19"/>
        <v>1.9587354695117669</v>
      </c>
      <c r="I81" s="274">
        <f t="shared" si="19"/>
        <v>1.7934176646194588</v>
      </c>
      <c r="J81" s="293">
        <f>J79/J74</f>
        <v>1.9963212098017467</v>
      </c>
      <c r="K81" s="293">
        <f t="shared" si="19"/>
        <v>2.0680458911318005</v>
      </c>
      <c r="L81" s="293">
        <f>L79/L74</f>
        <v>1.6512467224114793</v>
      </c>
      <c r="M81" s="293">
        <f t="shared" si="19"/>
        <v>0.9606020395179321</v>
      </c>
      <c r="N81" s="293">
        <f t="shared" ref="N81:P81" si="20">N79/N74</f>
        <v>1.0022527390900651</v>
      </c>
      <c r="O81" s="307">
        <f t="shared" si="20"/>
        <v>0.98683070770189185</v>
      </c>
      <c r="P81" s="319">
        <f t="shared" si="20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0.9920249787595582</v>
      </c>
      <c r="T81" s="319">
        <f>T79/T74</f>
        <v>8.1627867459643164E-2</v>
      </c>
      <c r="U81" s="346">
        <f>U79/U74</f>
        <v>5.6928835366094242E-2</v>
      </c>
    </row>
    <row r="82" spans="2:21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209"/>
      <c r="U82" s="312"/>
    </row>
    <row r="83" spans="2:21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  <c r="U83" s="17"/>
    </row>
    <row r="84" spans="2:21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  <c r="U84" s="95"/>
    </row>
  </sheetData>
  <mergeCells count="1"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V85"/>
  <sheetViews>
    <sheetView showGridLines="0" showWhiteSpace="0" zoomScale="98" zoomScaleNormal="98" workbookViewId="0">
      <pane xSplit="3" ySplit="3" topLeftCell="D14" activePane="bottomRight" state="frozen"/>
      <selection pane="topRight" activeCell="D1" sqref="D1"/>
      <selection pane="bottomLeft" activeCell="A4" sqref="A4"/>
      <selection pane="bottomRight" activeCell="S35" sqref="S35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1" width="12.6640625" style="2" customWidth="1"/>
    <col min="22" max="22" width="11.109375" style="2" bestFit="1" customWidth="1"/>
    <col min="23" max="16384" width="9.109375" style="2"/>
  </cols>
  <sheetData>
    <row r="1" spans="2:22" ht="12" thickBot="1" x14ac:dyDescent="0.25"/>
    <row r="2" spans="2:22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7"/>
    </row>
    <row r="3" spans="2:22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11" t="s">
        <v>129</v>
      </c>
      <c r="V3" s="279" t="s">
        <v>55</v>
      </c>
    </row>
    <row r="4" spans="2:22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377"/>
      <c r="V4" s="278">
        <f t="shared" ref="V4:V11" si="0">AVERAGE(N4:R4)</f>
        <v>12031.5</v>
      </c>
    </row>
    <row r="5" spans="2:22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377"/>
      <c r="V5" s="278">
        <f t="shared" si="0"/>
        <v>15973.5</v>
      </c>
    </row>
    <row r="6" spans="2:22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377"/>
      <c r="V6" s="278">
        <f t="shared" si="0"/>
        <v>32084.25</v>
      </c>
    </row>
    <row r="7" spans="2:22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377"/>
      <c r="V7" s="278">
        <f t="shared" si="0"/>
        <v>30024</v>
      </c>
    </row>
    <row r="8" spans="2:22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377"/>
      <c r="V8" s="278">
        <f t="shared" si="0"/>
        <v>18127.75</v>
      </c>
    </row>
    <row r="9" spans="2:22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377"/>
      <c r="V9" s="278">
        <f t="shared" si="0"/>
        <v>18797.2</v>
      </c>
    </row>
    <row r="10" spans="2:22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377"/>
      <c r="V10" s="278">
        <f t="shared" si="0"/>
        <v>31027.200000000001</v>
      </c>
    </row>
    <row r="11" spans="2:22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377"/>
      <c r="V11" s="278">
        <f t="shared" si="0"/>
        <v>46238.2</v>
      </c>
    </row>
    <row r="12" spans="2:22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16"/>
      <c r="V12" s="378"/>
    </row>
    <row r="13" spans="2:22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V13" s="280"/>
    </row>
    <row r="14" spans="2:22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76">
        <v>207738</v>
      </c>
      <c r="V14" s="278">
        <f>AVERAGE(N14:R14)</f>
        <v>85297.4</v>
      </c>
    </row>
    <row r="15" spans="2:22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76">
        <v>501628</v>
      </c>
      <c r="V15" s="278">
        <f>AVERAGE(N15:R15)</f>
        <v>177345.6</v>
      </c>
    </row>
    <row r="16" spans="2:22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8">
        <f>U13+U14+U15</f>
        <v>709366</v>
      </c>
      <c r="V16" s="399">
        <f>AVERAGE(P16:T16)</f>
        <v>445656.4</v>
      </c>
    </row>
    <row r="17" spans="2:22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11" t="str">
        <f>U3</f>
        <v>2025/26*</v>
      </c>
      <c r="V17" s="277" t="s">
        <v>55</v>
      </c>
    </row>
    <row r="18" spans="2:22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192">
        <v>272860</v>
      </c>
      <c r="V18" s="281">
        <f>V16</f>
        <v>445656.4</v>
      </c>
    </row>
    <row r="19" spans="2:22" ht="14.4" x14ac:dyDescent="0.3">
      <c r="B19" s="19">
        <v>1</v>
      </c>
      <c r="C19" s="285">
        <v>45779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84">
        <f>'[2]Mielies-Maize'!J16</f>
        <v>204611</v>
      </c>
      <c r="U19" s="347">
        <f>'Mielies-Maize'!K16</f>
        <v>52835</v>
      </c>
      <c r="V19" s="278">
        <f>AVERAGE(Q19:T19)</f>
        <v>164231.25</v>
      </c>
    </row>
    <row r="20" spans="2:22" ht="14.4" x14ac:dyDescent="0.3">
      <c r="B20" s="19">
        <v>2</v>
      </c>
      <c r="C20" s="285">
        <f t="shared" ref="C20:C70" si="4">C19+7</f>
        <v>45786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84">
        <f>'[2]Mielies-Maize'!J17</f>
        <v>484445</v>
      </c>
      <c r="U20" s="347">
        <f>'Mielies-Maize'!K17</f>
        <v>161515</v>
      </c>
      <c r="V20" s="278">
        <f>AVERAGE(Q20:T20)</f>
        <v>275702.25</v>
      </c>
    </row>
    <row r="21" spans="2:22" ht="14.4" x14ac:dyDescent="0.3">
      <c r="B21" s="19">
        <v>3</v>
      </c>
      <c r="C21" s="285">
        <f t="shared" si="4"/>
        <v>45793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84">
        <f>'[2]Mielies-Maize'!J18</f>
        <v>629217</v>
      </c>
      <c r="U21" s="347"/>
      <c r="V21" s="278"/>
    </row>
    <row r="22" spans="2:22" ht="14.4" x14ac:dyDescent="0.3">
      <c r="B22" s="19">
        <v>4</v>
      </c>
      <c r="C22" s="285">
        <f t="shared" si="4"/>
        <v>45800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84">
        <f>'[2]Mielies-Maize'!J19</f>
        <v>697419</v>
      </c>
      <c r="U22" s="347"/>
      <c r="V22" s="278"/>
    </row>
    <row r="23" spans="2:22" ht="14.4" x14ac:dyDescent="0.3">
      <c r="B23" s="19">
        <v>5</v>
      </c>
      <c r="C23" s="285">
        <f t="shared" si="4"/>
        <v>45807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84">
        <f>'[2]Mielies-Maize'!J20</f>
        <v>572880</v>
      </c>
      <c r="U23" s="347"/>
      <c r="V23" s="278"/>
    </row>
    <row r="24" spans="2:22" ht="14.4" x14ac:dyDescent="0.3">
      <c r="B24" s="19">
        <v>6</v>
      </c>
      <c r="C24" s="285">
        <f t="shared" si="4"/>
        <v>45814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84">
        <f>'[2]Mielies-Maize'!J21</f>
        <v>499581</v>
      </c>
      <c r="U24" s="347"/>
      <c r="V24" s="278"/>
    </row>
    <row r="25" spans="2:22" ht="14.4" x14ac:dyDescent="0.3">
      <c r="B25" s="19">
        <v>7</v>
      </c>
      <c r="C25" s="285">
        <f t="shared" si="4"/>
        <v>45821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84">
        <f>'[2]Mielies-Maize'!J22</f>
        <v>482801</v>
      </c>
      <c r="U25" s="347"/>
      <c r="V25" s="278"/>
    </row>
    <row r="26" spans="2:22" ht="14.25" customHeight="1" x14ac:dyDescent="0.3">
      <c r="B26" s="19">
        <v>8</v>
      </c>
      <c r="C26" s="285">
        <f t="shared" si="4"/>
        <v>45828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84">
        <f>'[2]Mielies-Maize'!J23</f>
        <v>328700</v>
      </c>
      <c r="U26" s="347"/>
      <c r="V26" s="278"/>
    </row>
    <row r="27" spans="2:22" ht="15" customHeight="1" x14ac:dyDescent="0.3">
      <c r="B27" s="19">
        <v>9</v>
      </c>
      <c r="C27" s="285">
        <f t="shared" si="4"/>
        <v>45835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84">
        <f>'[2]Mielies-Maize'!J24</f>
        <v>352335</v>
      </c>
      <c r="U27" s="347"/>
      <c r="V27" s="278"/>
    </row>
    <row r="28" spans="2:22" ht="15" customHeight="1" x14ac:dyDescent="0.3">
      <c r="B28" s="19">
        <v>10</v>
      </c>
      <c r="C28" s="285">
        <f t="shared" si="4"/>
        <v>45842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84">
        <f>'[2]Mielies-Maize'!J25</f>
        <v>176627</v>
      </c>
      <c r="U28" s="347"/>
      <c r="V28" s="278"/>
    </row>
    <row r="29" spans="2:22" ht="15" customHeight="1" x14ac:dyDescent="0.3">
      <c r="B29" s="19">
        <v>11</v>
      </c>
      <c r="C29" s="285">
        <f t="shared" si="4"/>
        <v>45849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84">
        <f>'[2]Mielies-Maize'!J26</f>
        <v>140353</v>
      </c>
      <c r="U29" s="347"/>
      <c r="V29" s="278"/>
    </row>
    <row r="30" spans="2:22" ht="15" customHeight="1" x14ac:dyDescent="0.3">
      <c r="B30" s="19">
        <v>12</v>
      </c>
      <c r="C30" s="285">
        <f t="shared" si="4"/>
        <v>45856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84">
        <f>'[2]Mielies-Maize'!J27</f>
        <v>105751</v>
      </c>
      <c r="U30" s="347"/>
      <c r="V30" s="278"/>
    </row>
    <row r="31" spans="2:22" ht="15" customHeight="1" x14ac:dyDescent="0.3">
      <c r="B31" s="19">
        <v>13</v>
      </c>
      <c r="C31" s="285">
        <f t="shared" si="4"/>
        <v>45863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84">
        <f>'[2]Mielies-Maize'!J28</f>
        <v>104823</v>
      </c>
      <c r="U31" s="347"/>
      <c r="V31" s="278"/>
    </row>
    <row r="32" spans="2:22" ht="15" customHeight="1" x14ac:dyDescent="0.3">
      <c r="B32" s="19">
        <v>14</v>
      </c>
      <c r="C32" s="285">
        <f t="shared" si="4"/>
        <v>45870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84">
        <f>'[2]Mielies-Maize'!J29</f>
        <v>58177</v>
      </c>
      <c r="U32" s="347"/>
      <c r="V32" s="278"/>
    </row>
    <row r="33" spans="2:22" ht="15" customHeight="1" x14ac:dyDescent="0.3">
      <c r="B33" s="19">
        <v>15</v>
      </c>
      <c r="C33" s="285">
        <f t="shared" si="4"/>
        <v>45877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84">
        <f>'[2]Mielies-Maize'!J30</f>
        <v>41572</v>
      </c>
      <c r="U33" s="347"/>
      <c r="V33" s="278"/>
    </row>
    <row r="34" spans="2:22" ht="15" customHeight="1" x14ac:dyDescent="0.3">
      <c r="B34" s="19">
        <v>16</v>
      </c>
      <c r="C34" s="285">
        <f t="shared" si="4"/>
        <v>45884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84">
        <f>'[2]Mielies-Maize'!J31</f>
        <v>46143</v>
      </c>
      <c r="U34" s="347"/>
      <c r="V34" s="278"/>
    </row>
    <row r="35" spans="2:22" ht="15" customHeight="1" x14ac:dyDescent="0.3">
      <c r="B35" s="19">
        <v>17</v>
      </c>
      <c r="C35" s="285">
        <f t="shared" si="4"/>
        <v>45891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84">
        <f>'[2]Mielies-Maize'!J32</f>
        <v>32363</v>
      </c>
      <c r="U35" s="347"/>
      <c r="V35" s="278"/>
    </row>
    <row r="36" spans="2:22" ht="15" customHeight="1" x14ac:dyDescent="0.3">
      <c r="B36" s="19">
        <v>18</v>
      </c>
      <c r="C36" s="285">
        <f t="shared" si="4"/>
        <v>45898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84">
        <f>'[2]Mielies-Maize'!J33</f>
        <v>47979</v>
      </c>
      <c r="U36" s="347"/>
      <c r="V36" s="278"/>
    </row>
    <row r="37" spans="2:22" ht="15" customHeight="1" x14ac:dyDescent="0.3">
      <c r="B37" s="19">
        <v>19</v>
      </c>
      <c r="C37" s="285">
        <f t="shared" si="4"/>
        <v>45905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84">
        <f>'[2]Mielies-Maize'!J34</f>
        <v>29781</v>
      </c>
      <c r="U37" s="347"/>
      <c r="V37" s="278"/>
    </row>
    <row r="38" spans="2:22" ht="15" customHeight="1" x14ac:dyDescent="0.3">
      <c r="B38" s="19">
        <v>20</v>
      </c>
      <c r="C38" s="285">
        <f t="shared" si="4"/>
        <v>45912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84">
        <f>'[2]Mielies-Maize'!J35</f>
        <v>29436</v>
      </c>
      <c r="U38" s="347"/>
      <c r="V38" s="278"/>
    </row>
    <row r="39" spans="2:22" ht="15" customHeight="1" x14ac:dyDescent="0.3">
      <c r="B39" s="19">
        <v>21</v>
      </c>
      <c r="C39" s="285">
        <f t="shared" si="4"/>
        <v>45919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84">
        <f>'[2]Mielies-Maize'!J36</f>
        <v>25813</v>
      </c>
      <c r="U39" s="347"/>
      <c r="V39" s="278"/>
    </row>
    <row r="40" spans="2:22" ht="15" customHeight="1" x14ac:dyDescent="0.3">
      <c r="B40" s="19">
        <v>22</v>
      </c>
      <c r="C40" s="285">
        <f t="shared" si="4"/>
        <v>45926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84">
        <f>'[2]Mielies-Maize'!J37</f>
        <v>36305</v>
      </c>
      <c r="U40" s="347"/>
      <c r="V40" s="278"/>
    </row>
    <row r="41" spans="2:22" ht="15" customHeight="1" x14ac:dyDescent="0.3">
      <c r="B41" s="19">
        <v>23</v>
      </c>
      <c r="C41" s="285">
        <f t="shared" si="4"/>
        <v>45933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84">
        <f>'[2]Mielies-Maize'!J38</f>
        <v>25307</v>
      </c>
      <c r="U41" s="347"/>
      <c r="V41" s="278"/>
    </row>
    <row r="42" spans="2:22" ht="15" customHeight="1" x14ac:dyDescent="0.3">
      <c r="B42" s="19">
        <v>24</v>
      </c>
      <c r="C42" s="285">
        <f t="shared" si="4"/>
        <v>45940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84">
        <f>'[2]Mielies-Maize'!J39</f>
        <v>28878</v>
      </c>
      <c r="U42" s="347"/>
      <c r="V42" s="278"/>
    </row>
    <row r="43" spans="2:22" ht="15" customHeight="1" x14ac:dyDescent="0.3">
      <c r="B43" s="19">
        <v>25</v>
      </c>
      <c r="C43" s="285">
        <f t="shared" si="4"/>
        <v>45947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84">
        <f>'[2]Mielies-Maize'!J40</f>
        <v>23000</v>
      </c>
      <c r="U43" s="347"/>
      <c r="V43" s="278"/>
    </row>
    <row r="44" spans="2:22" ht="15" customHeight="1" x14ac:dyDescent="0.3">
      <c r="B44" s="19">
        <v>26</v>
      </c>
      <c r="C44" s="285">
        <f t="shared" si="4"/>
        <v>45954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84">
        <f>'[2]Mielies-Maize'!J41</f>
        <v>32799</v>
      </c>
      <c r="U44" s="347"/>
      <c r="V44" s="278"/>
    </row>
    <row r="45" spans="2:22" ht="15" customHeight="1" x14ac:dyDescent="0.3">
      <c r="B45" s="19">
        <v>27</v>
      </c>
      <c r="C45" s="285">
        <f t="shared" si="4"/>
        <v>45961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84">
        <f>'[2]Mielies-Maize'!J42</f>
        <v>19662</v>
      </c>
      <c r="U45" s="347"/>
      <c r="V45" s="278"/>
    </row>
    <row r="46" spans="2:22" ht="15" customHeight="1" x14ac:dyDescent="0.3">
      <c r="B46" s="19">
        <v>28</v>
      </c>
      <c r="C46" s="285">
        <f t="shared" si="4"/>
        <v>45968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84">
        <f>'[2]Mielies-Maize'!J43</f>
        <v>16769</v>
      </c>
      <c r="U46" s="347"/>
      <c r="V46" s="278"/>
    </row>
    <row r="47" spans="2:22" ht="14.25" customHeight="1" x14ac:dyDescent="0.3">
      <c r="B47" s="19">
        <v>29</v>
      </c>
      <c r="C47" s="285">
        <f t="shared" si="4"/>
        <v>45975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84">
        <f>'[2]Mielies-Maize'!J44</f>
        <v>17328</v>
      </c>
      <c r="U47" s="347"/>
      <c r="V47" s="278"/>
    </row>
    <row r="48" spans="2:22" ht="15" customHeight="1" x14ac:dyDescent="0.3">
      <c r="B48" s="19">
        <v>30</v>
      </c>
      <c r="C48" s="285">
        <f t="shared" si="4"/>
        <v>45982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84">
        <f>'[2]Mielies-Maize'!J45</f>
        <v>17442</v>
      </c>
      <c r="U48" s="347"/>
      <c r="V48" s="278"/>
    </row>
    <row r="49" spans="2:22" ht="15" customHeight="1" x14ac:dyDescent="0.3">
      <c r="B49" s="19">
        <v>31</v>
      </c>
      <c r="C49" s="285">
        <f t="shared" si="4"/>
        <v>45989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84">
        <f>'[2]Mielies-Maize'!J46</f>
        <v>33021</v>
      </c>
      <c r="U49" s="347"/>
      <c r="V49" s="278"/>
    </row>
    <row r="50" spans="2:22" ht="15" customHeight="1" x14ac:dyDescent="0.3">
      <c r="B50" s="19">
        <v>32</v>
      </c>
      <c r="C50" s="285">
        <f t="shared" si="4"/>
        <v>45996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84">
        <f>'[2]Mielies-Maize'!J47</f>
        <v>18784</v>
      </c>
      <c r="U50" s="347"/>
      <c r="V50" s="278"/>
    </row>
    <row r="51" spans="2:22" ht="15" customHeight="1" x14ac:dyDescent="0.3">
      <c r="B51" s="19">
        <v>33</v>
      </c>
      <c r="C51" s="285">
        <f t="shared" si="4"/>
        <v>46003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84">
        <f>'[2]Mielies-Maize'!J48</f>
        <v>21053</v>
      </c>
      <c r="U51" s="347"/>
      <c r="V51" s="278"/>
    </row>
    <row r="52" spans="2:22" ht="15" customHeight="1" x14ac:dyDescent="0.3">
      <c r="B52" s="19">
        <v>34</v>
      </c>
      <c r="C52" s="285">
        <f t="shared" si="4"/>
        <v>46010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84">
        <f>'[2]Mielies-Maize'!J49</f>
        <v>14830</v>
      </c>
      <c r="U52" s="347"/>
      <c r="V52" s="278"/>
    </row>
    <row r="53" spans="2:22" ht="15" customHeight="1" x14ac:dyDescent="0.3">
      <c r="B53" s="19">
        <v>35</v>
      </c>
      <c r="C53" s="285">
        <f t="shared" si="4"/>
        <v>46017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84">
        <f>'[2]Mielies-Maize'!J50</f>
        <v>10646</v>
      </c>
      <c r="U53" s="347"/>
      <c r="V53" s="278"/>
    </row>
    <row r="54" spans="2:22" ht="15" customHeight="1" x14ac:dyDescent="0.3">
      <c r="B54" s="19">
        <v>36</v>
      </c>
      <c r="C54" s="285">
        <f t="shared" si="4"/>
        <v>46024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84">
        <f>'[2]Mielies-Maize'!J51</f>
        <v>5682</v>
      </c>
      <c r="U54" s="347"/>
      <c r="V54" s="278"/>
    </row>
    <row r="55" spans="2:22" ht="15" customHeight="1" x14ac:dyDescent="0.3">
      <c r="B55" s="19">
        <v>37</v>
      </c>
      <c r="C55" s="285">
        <f t="shared" si="4"/>
        <v>46031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84">
        <f>'[2]Mielies-Maize'!J52</f>
        <v>9668</v>
      </c>
      <c r="U55" s="347"/>
      <c r="V55" s="278"/>
    </row>
    <row r="56" spans="2:22" ht="15" customHeight="1" x14ac:dyDescent="0.3">
      <c r="B56" s="19">
        <v>38</v>
      </c>
      <c r="C56" s="285">
        <f t="shared" si="4"/>
        <v>46038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84">
        <f>'[2]Mielies-Maize'!J53</f>
        <v>13742</v>
      </c>
      <c r="U56" s="347"/>
      <c r="V56" s="278"/>
    </row>
    <row r="57" spans="2:22" ht="15" customHeight="1" x14ac:dyDescent="0.3">
      <c r="B57" s="19">
        <v>39</v>
      </c>
      <c r="C57" s="285">
        <f t="shared" si="4"/>
        <v>46045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84">
        <f>'[2]Mielies-Maize'!J54</f>
        <v>13035</v>
      </c>
      <c r="U57" s="347"/>
      <c r="V57" s="278"/>
    </row>
    <row r="58" spans="2:22" ht="15" customHeight="1" x14ac:dyDescent="0.3">
      <c r="B58" s="19">
        <v>40</v>
      </c>
      <c r="C58" s="285">
        <f t="shared" si="4"/>
        <v>46052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84">
        <f>'[2]Mielies-Maize'!J55</f>
        <v>36373</v>
      </c>
      <c r="U58" s="347"/>
      <c r="V58" s="278"/>
    </row>
    <row r="59" spans="2:22" ht="15" customHeight="1" x14ac:dyDescent="0.3">
      <c r="B59" s="19">
        <v>41</v>
      </c>
      <c r="C59" s="285">
        <f t="shared" si="4"/>
        <v>46059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84">
        <f>'[2]Mielies-Maize'!J56</f>
        <v>31762</v>
      </c>
      <c r="U59" s="347"/>
      <c r="V59" s="278"/>
    </row>
    <row r="60" spans="2:22" ht="15" customHeight="1" x14ac:dyDescent="0.3">
      <c r="B60" s="19">
        <v>42</v>
      </c>
      <c r="C60" s="285">
        <f t="shared" si="4"/>
        <v>46066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84">
        <f>'[2]Mielies-Maize'!J57</f>
        <v>28394</v>
      </c>
      <c r="U60" s="347"/>
      <c r="V60" s="278"/>
    </row>
    <row r="61" spans="2:22" ht="15" customHeight="1" x14ac:dyDescent="0.3">
      <c r="B61" s="19">
        <v>43</v>
      </c>
      <c r="C61" s="285">
        <f t="shared" si="4"/>
        <v>46073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84">
        <f>'[2]Mielies-Maize'!J58</f>
        <v>12746</v>
      </c>
      <c r="U61" s="347"/>
      <c r="V61" s="278"/>
    </row>
    <row r="62" spans="2:22" ht="15" customHeight="1" x14ac:dyDescent="0.3">
      <c r="B62" s="19">
        <v>44</v>
      </c>
      <c r="C62" s="285">
        <f t="shared" si="4"/>
        <v>46080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84">
        <f>'[2]Mielies-Maize'!J59</f>
        <v>23642</v>
      </c>
      <c r="U62" s="347"/>
      <c r="V62" s="278"/>
    </row>
    <row r="63" spans="2:22" ht="15" customHeight="1" x14ac:dyDescent="0.3">
      <c r="B63" s="19">
        <v>45</v>
      </c>
      <c r="C63" s="285">
        <f t="shared" si="4"/>
        <v>46087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84">
        <f>'[2]Mielies-Maize'!J60</f>
        <v>19237</v>
      </c>
      <c r="U63" s="347"/>
      <c r="V63" s="278"/>
    </row>
    <row r="64" spans="2:22" ht="15" customHeight="1" x14ac:dyDescent="0.3">
      <c r="B64" s="19">
        <v>46</v>
      </c>
      <c r="C64" s="285">
        <f t="shared" si="4"/>
        <v>46094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84">
        <f>'[2]Mielies-Maize'!J61</f>
        <v>32952</v>
      </c>
      <c r="U64" s="347"/>
      <c r="V64" s="278"/>
    </row>
    <row r="65" spans="2:22" ht="15" customHeight="1" x14ac:dyDescent="0.3">
      <c r="B65" s="19">
        <v>47</v>
      </c>
      <c r="C65" s="285">
        <f t="shared" si="4"/>
        <v>46101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84">
        <f>'[2]Mielies-Maize'!J62</f>
        <v>35745</v>
      </c>
      <c r="U65" s="347"/>
      <c r="V65" s="278"/>
    </row>
    <row r="66" spans="2:22" ht="15" customHeight="1" x14ac:dyDescent="0.3">
      <c r="B66" s="19">
        <v>48</v>
      </c>
      <c r="C66" s="285">
        <f t="shared" si="4"/>
        <v>46108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84">
        <f>'[2]Mielies-Maize'!J63</f>
        <v>58125</v>
      </c>
      <c r="U66" s="347"/>
      <c r="V66" s="278"/>
    </row>
    <row r="67" spans="2:22" ht="15" customHeight="1" x14ac:dyDescent="0.3">
      <c r="B67" s="19">
        <v>49</v>
      </c>
      <c r="C67" s="285">
        <f t="shared" si="4"/>
        <v>46115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84">
        <f>'[2]Mielies-Maize'!J64</f>
        <v>37771</v>
      </c>
      <c r="U67" s="347"/>
      <c r="V67" s="278"/>
    </row>
    <row r="68" spans="2:22" ht="15" customHeight="1" x14ac:dyDescent="0.3">
      <c r="B68" s="19">
        <v>50</v>
      </c>
      <c r="C68" s="285">
        <f t="shared" si="4"/>
        <v>46122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84">
        <f>'[2]Mielies-Maize'!J65</f>
        <v>30245</v>
      </c>
      <c r="U68" s="347"/>
      <c r="V68" s="278"/>
    </row>
    <row r="69" spans="2:22" ht="15" customHeight="1" x14ac:dyDescent="0.3">
      <c r="B69" s="19">
        <v>51</v>
      </c>
      <c r="C69" s="285">
        <f t="shared" si="4"/>
        <v>46129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84">
        <f>'[2]Mielies-Maize'!J66</f>
        <v>52786</v>
      </c>
      <c r="U69" s="347"/>
      <c r="V69" s="278"/>
    </row>
    <row r="70" spans="2:22" ht="15" customHeight="1" x14ac:dyDescent="0.3">
      <c r="B70" s="19">
        <v>52</v>
      </c>
      <c r="C70" s="285">
        <f t="shared" si="4"/>
        <v>46136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84">
        <f>'[2]Mielies-Maize'!J67</f>
        <v>83368</v>
      </c>
      <c r="U70" s="347"/>
      <c r="V70" s="278"/>
    </row>
    <row r="71" spans="2:22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84"/>
      <c r="U71" s="347"/>
      <c r="V71" s="281"/>
    </row>
    <row r="72" spans="2:22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84"/>
      <c r="U72" s="348"/>
      <c r="V72" s="281"/>
    </row>
    <row r="73" spans="2:22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299">
        <v>6795000</v>
      </c>
      <c r="V73" s="309">
        <f>AVERAGE(P73:T73)</f>
        <v>7355552</v>
      </c>
    </row>
    <row r="74" spans="2:22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0">
        <v>420000</v>
      </c>
      <c r="V74" s="309">
        <f>AVERAGE(P74:T74)</f>
        <v>412600</v>
      </c>
    </row>
    <row r="75" spans="2:22" ht="14.25" customHeight="1" x14ac:dyDescent="0.3">
      <c r="B75" s="179" t="s">
        <v>70</v>
      </c>
      <c r="C75" s="152"/>
      <c r="D75" s="88">
        <f t="shared" ref="D75:J75" si="5">D73-D74</f>
        <v>4786117</v>
      </c>
      <c r="E75" s="88">
        <f t="shared" si="5"/>
        <v>4965334</v>
      </c>
      <c r="F75" s="88">
        <f t="shared" si="5"/>
        <v>4576787</v>
      </c>
      <c r="G75" s="88">
        <f t="shared" si="5"/>
        <v>3934236</v>
      </c>
      <c r="H75" s="88">
        <f t="shared" si="5"/>
        <v>4897569</v>
      </c>
      <c r="I75" s="88">
        <f t="shared" si="5"/>
        <v>5856931</v>
      </c>
      <c r="J75" s="88">
        <f t="shared" si="5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6">Q73-Q74</f>
        <v>7293000</v>
      </c>
      <c r="R75" s="301">
        <f t="shared" si="6"/>
        <v>7230000</v>
      </c>
      <c r="S75" s="301">
        <f t="shared" si="6"/>
        <v>7465260</v>
      </c>
      <c r="T75" s="301">
        <f>T73-T74</f>
        <v>6375000</v>
      </c>
      <c r="U75" s="301">
        <f>U73-U74</f>
        <v>6375000</v>
      </c>
      <c r="V75" s="309">
        <f>AVERAGE(P75:T75)</f>
        <v>6942952</v>
      </c>
    </row>
    <row r="76" spans="2:22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86"/>
      <c r="V76" s="280"/>
    </row>
    <row r="77" spans="2:22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11" t="str">
        <f>U3</f>
        <v>2025/26*</v>
      </c>
      <c r="V77" s="277" t="s">
        <v>55</v>
      </c>
    </row>
    <row r="78" spans="2:22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7">L18</f>
        <v>449955</v>
      </c>
      <c r="M78" s="354">
        <f t="shared" si="7"/>
        <v>300642</v>
      </c>
      <c r="N78" s="354">
        <f t="shared" si="7"/>
        <v>122548</v>
      </c>
      <c r="O78" s="354">
        <f t="shared" si="7"/>
        <v>181045</v>
      </c>
      <c r="P78" s="354">
        <f t="shared" si="7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355">
        <f>U16</f>
        <v>709366</v>
      </c>
      <c r="V78" s="183">
        <f>V18</f>
        <v>445656.4</v>
      </c>
    </row>
    <row r="79" spans="2:22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R79" si="8">SUM(G19:G62)</f>
        <v>3862943</v>
      </c>
      <c r="H79" s="356">
        <f t="shared" si="8"/>
        <v>4480629</v>
      </c>
      <c r="I79" s="356">
        <f t="shared" si="8"/>
        <v>5328942</v>
      </c>
      <c r="J79" s="356">
        <f t="shared" si="8"/>
        <v>5861623</v>
      </c>
      <c r="K79" s="356">
        <f t="shared" si="8"/>
        <v>4538679</v>
      </c>
      <c r="L79" s="356">
        <f t="shared" si="8"/>
        <v>3622244</v>
      </c>
      <c r="M79" s="356">
        <f t="shared" si="8"/>
        <v>6234595</v>
      </c>
      <c r="N79" s="356">
        <f t="shared" si="8"/>
        <v>5495238</v>
      </c>
      <c r="O79" s="356">
        <f t="shared" si="8"/>
        <v>5228088</v>
      </c>
      <c r="P79" s="356">
        <f t="shared" si="8"/>
        <v>6152378</v>
      </c>
      <c r="Q79" s="356">
        <f t="shared" si="8"/>
        <v>6867055</v>
      </c>
      <c r="R79" s="356">
        <f t="shared" si="8"/>
        <v>6965800</v>
      </c>
      <c r="S79" s="356">
        <f>SUM(S19:S62)</f>
        <v>7047106</v>
      </c>
      <c r="T79" s="356">
        <f>SUM(T19:T62)</f>
        <v>5581675</v>
      </c>
      <c r="U79" s="356">
        <f>SUM(U19:U62)</f>
        <v>214350</v>
      </c>
      <c r="V79" s="356">
        <f>SUM(V19:V62)</f>
        <v>439933.5</v>
      </c>
    </row>
    <row r="80" spans="2:22" ht="15" thickBot="1" x14ac:dyDescent="0.35">
      <c r="B80" s="115" t="s">
        <v>74</v>
      </c>
      <c r="C80" s="227"/>
      <c r="D80" s="196">
        <f t="shared" ref="D80:J80" si="9">SUM(D78:D79)</f>
        <v>406692</v>
      </c>
      <c r="E80" s="223">
        <f t="shared" si="9"/>
        <v>297016</v>
      </c>
      <c r="F80" s="223">
        <f t="shared" si="9"/>
        <v>114500</v>
      </c>
      <c r="G80" s="223">
        <f t="shared" si="9"/>
        <v>4044943</v>
      </c>
      <c r="H80" s="223">
        <f t="shared" si="9"/>
        <v>4723674</v>
      </c>
      <c r="I80" s="223">
        <f t="shared" si="9"/>
        <v>5855911</v>
      </c>
      <c r="J80" s="223">
        <f t="shared" si="9"/>
        <v>6035284</v>
      </c>
      <c r="K80" s="223">
        <f t="shared" ref="K80:P80" si="10">SUM(K78:K79)</f>
        <v>4905799</v>
      </c>
      <c r="L80" s="223">
        <f t="shared" si="10"/>
        <v>4072199</v>
      </c>
      <c r="M80" s="223">
        <f t="shared" si="10"/>
        <v>6535237</v>
      </c>
      <c r="N80" s="196">
        <f t="shared" si="10"/>
        <v>5617786</v>
      </c>
      <c r="O80" s="196">
        <f t="shared" si="10"/>
        <v>5409133</v>
      </c>
      <c r="P80" s="196">
        <f t="shared" si="10"/>
        <v>6368869</v>
      </c>
      <c r="Q80" s="196">
        <f>SUM(Q78:Q79)</f>
        <v>7387326</v>
      </c>
      <c r="R80" s="239">
        <f>SUM(R78:R79)</f>
        <v>7238660</v>
      </c>
      <c r="S80" s="239">
        <f>SUM(S78:S79)</f>
        <v>7556400</v>
      </c>
      <c r="T80" s="239">
        <f>SUM(T78:T79)</f>
        <v>6291041</v>
      </c>
      <c r="U80" s="239">
        <f>SUM(U78:U79)</f>
        <v>923716</v>
      </c>
      <c r="V80" s="196">
        <f>SUM(V78:V79)</f>
        <v>885589.9</v>
      </c>
    </row>
    <row r="81" spans="2:22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306"/>
      <c r="V81" s="249"/>
    </row>
    <row r="82" spans="2:22" ht="15" thickBot="1" x14ac:dyDescent="0.35">
      <c r="B82" s="137" t="s">
        <v>76</v>
      </c>
      <c r="C82" s="228"/>
      <c r="D82" s="293">
        <f t="shared" ref="D82:G82" si="11">D80/D75</f>
        <v>8.4973267473402767E-2</v>
      </c>
      <c r="E82" s="293">
        <f t="shared" si="11"/>
        <v>5.981792966998796E-2</v>
      </c>
      <c r="F82" s="293">
        <f t="shared" si="11"/>
        <v>2.5017550521796186E-2</v>
      </c>
      <c r="G82" s="293">
        <f t="shared" si="11"/>
        <v>1.028139389706159</v>
      </c>
      <c r="H82" s="293">
        <f>H80/H75</f>
        <v>0.96449360897212477</v>
      </c>
      <c r="I82" s="293">
        <f t="shared" ref="I82:M82" si="12">I80/I75</f>
        <v>0.99982584735930813</v>
      </c>
      <c r="J82" s="293">
        <f t="shared" si="12"/>
        <v>0.98013640388229428</v>
      </c>
      <c r="K82" s="293">
        <f t="shared" si="12"/>
        <v>1.0099265477871697</v>
      </c>
      <c r="L82" s="293">
        <f>L80/L75</f>
        <v>0.99727257320974816</v>
      </c>
      <c r="M82" s="293">
        <f t="shared" si="12"/>
        <v>0.99744154456654455</v>
      </c>
      <c r="N82" s="293">
        <f t="shared" ref="N82:R82" si="13">N80/N75</f>
        <v>0.99960604982206402</v>
      </c>
      <c r="O82" s="293">
        <f t="shared" si="13"/>
        <v>1.0054150557620818</v>
      </c>
      <c r="P82" s="274">
        <f t="shared" si="13"/>
        <v>1.0027346296150517</v>
      </c>
      <c r="Q82" s="293">
        <f>Q80/Q75</f>
        <v>1.0129337721102427</v>
      </c>
      <c r="R82" s="319">
        <f t="shared" si="13"/>
        <v>1.0011977869986168</v>
      </c>
      <c r="S82" s="319">
        <f>S80/S75</f>
        <v>1.0122085500036166</v>
      </c>
      <c r="T82" s="319">
        <f>T80/T75</f>
        <v>0.98682996078431373</v>
      </c>
      <c r="U82" s="319">
        <f>U80/U75</f>
        <v>0.14489662745098039</v>
      </c>
      <c r="V82" s="293">
        <f>V80/V75</f>
        <v>0.12755235813239096</v>
      </c>
    </row>
    <row r="83" spans="2:22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209"/>
      <c r="V83" s="94"/>
    </row>
    <row r="84" spans="2:22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  <c r="V84" s="17"/>
    </row>
    <row r="85" spans="2:22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  <c r="V85" s="95"/>
    </row>
  </sheetData>
  <mergeCells count="4">
    <mergeCell ref="B83:M83"/>
    <mergeCell ref="B84:M84"/>
    <mergeCell ref="B85:M85"/>
    <mergeCell ref="B2:V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V102"/>
  <sheetViews>
    <sheetView showGridLines="0" showWhiteSpace="0" zoomScale="85" zoomScaleNormal="85" workbookViewId="0">
      <pane xSplit="3" ySplit="3" topLeftCell="D16" activePane="bottomRight" state="frozen"/>
      <selection pane="topRight" activeCell="D1" sqref="D1"/>
      <selection pane="bottomLeft" activeCell="A4" sqref="A4"/>
      <selection pane="bottomRight" activeCell="V20" sqref="V20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1" width="14.44140625" style="2" customWidth="1"/>
    <col min="22" max="22" width="15.33203125" style="2" bestFit="1" customWidth="1"/>
    <col min="23" max="16384" width="9.109375" style="2"/>
  </cols>
  <sheetData>
    <row r="2" spans="2:22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  <c r="U2" s="349"/>
    </row>
    <row r="3" spans="2:22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3" t="s">
        <v>129</v>
      </c>
      <c r="V3" s="328" t="s">
        <v>55</v>
      </c>
    </row>
    <row r="4" spans="2:22" ht="15" hidden="1" thickBot="1" x14ac:dyDescent="0.35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350">
        <v>44891</v>
      </c>
      <c r="V4" s="281">
        <f>AVERAGE(K4:R4)</f>
        <v>23253.5</v>
      </c>
    </row>
    <row r="5" spans="2:22" s="1" customFormat="1" ht="15" hidden="1" thickBot="1" x14ac:dyDescent="0.35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350">
        <v>52716</v>
      </c>
      <c r="V5" s="281">
        <f>AVERAGE(K5:R5)</f>
        <v>31315.375</v>
      </c>
    </row>
    <row r="6" spans="2:22" s="1" customFormat="1" ht="15" hidden="1" thickBot="1" x14ac:dyDescent="0.35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350">
        <v>71601</v>
      </c>
      <c r="V6" s="281">
        <f t="shared" ref="V6:V11" si="0">AVERAGE(K6:R6)</f>
        <v>44104.875</v>
      </c>
    </row>
    <row r="7" spans="2:22" s="1" customFormat="1" ht="15" hidden="1" thickBot="1" x14ac:dyDescent="0.35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350">
        <v>97465</v>
      </c>
      <c r="V7" s="281">
        <f t="shared" si="0"/>
        <v>79094.5</v>
      </c>
    </row>
    <row r="8" spans="2:22" s="1" customFormat="1" ht="15" hidden="1" thickBot="1" x14ac:dyDescent="0.35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350">
        <v>111603</v>
      </c>
      <c r="V8" s="281">
        <f t="shared" si="0"/>
        <v>41172.625</v>
      </c>
    </row>
    <row r="9" spans="2:22" s="1" customFormat="1" ht="15" hidden="1" thickBot="1" x14ac:dyDescent="0.35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350">
        <v>96211</v>
      </c>
      <c r="V9" s="281">
        <f t="shared" si="0"/>
        <v>34736.625</v>
      </c>
    </row>
    <row r="10" spans="2:22" ht="15" hidden="1" thickBot="1" x14ac:dyDescent="0.35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350">
        <v>91494</v>
      </c>
      <c r="V10" s="281">
        <f t="shared" si="0"/>
        <v>52303.125</v>
      </c>
    </row>
    <row r="11" spans="2:22" ht="15" hidden="1" thickBot="1" x14ac:dyDescent="0.35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350">
        <v>141076</v>
      </c>
      <c r="V11" s="281">
        <f t="shared" si="0"/>
        <v>78661.25</v>
      </c>
    </row>
    <row r="12" spans="2:22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24">
        <v>434332</v>
      </c>
      <c r="V12" s="357"/>
    </row>
    <row r="13" spans="2:22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  <c r="V13" s="332"/>
    </row>
    <row r="14" spans="2:22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329">
        <f>'Summary -White maize'!T13+'Summary -Yellow maize'!U14</f>
        <v>344703</v>
      </c>
      <c r="V14" s="278">
        <f>AVERAGE(N14:S14)</f>
        <v>166020.83333333334</v>
      </c>
    </row>
    <row r="15" spans="2:22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329">
        <f>'Summary -White maize'!T14+'Summary -Yellow maize'!U15</f>
        <v>762955</v>
      </c>
      <c r="V15" s="278">
        <f t="shared" ref="V15:V16" si="1">AVERAGE(N15:S15)</f>
        <v>322220.16666666669</v>
      </c>
    </row>
    <row r="16" spans="2:22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2">
        <f t="shared" ref="U16" si="4">U13+U14+U15</f>
        <v>1107658</v>
      </c>
      <c r="V16" s="413">
        <f t="shared" si="1"/>
        <v>488241</v>
      </c>
    </row>
    <row r="17" spans="2:22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5">P3</f>
        <v>2020/21</v>
      </c>
      <c r="Q17" s="264" t="str">
        <f t="shared" si="5"/>
        <v>2021/22</v>
      </c>
      <c r="R17" s="264" t="str">
        <f t="shared" si="5"/>
        <v>2022/23</v>
      </c>
      <c r="S17" s="358" t="s">
        <v>54</v>
      </c>
      <c r="T17" s="358" t="s">
        <v>115</v>
      </c>
      <c r="U17" s="358" t="str">
        <f>U3</f>
        <v>2025/26*</v>
      </c>
      <c r="V17" s="359" t="s">
        <v>55</v>
      </c>
    </row>
    <row r="18" spans="2:22" ht="14.4" x14ac:dyDescent="0.3">
      <c r="B18" s="75" t="s">
        <v>67</v>
      </c>
      <c r="C18" s="48" t="s">
        <v>92</v>
      </c>
      <c r="D18" s="13">
        <f t="shared" ref="D18:L18" si="6">D16</f>
        <v>669033</v>
      </c>
      <c r="E18" s="24">
        <f t="shared" si="6"/>
        <v>351719</v>
      </c>
      <c r="F18" s="13">
        <f t="shared" si="6"/>
        <v>135500</v>
      </c>
      <c r="G18" s="24">
        <f t="shared" si="6"/>
        <v>182240</v>
      </c>
      <c r="H18" s="24">
        <f t="shared" si="6"/>
        <v>753443</v>
      </c>
      <c r="I18" s="24">
        <f t="shared" si="6"/>
        <v>426034</v>
      </c>
      <c r="J18" s="24">
        <f t="shared" si="6"/>
        <v>478784</v>
      </c>
      <c r="K18" s="24">
        <f t="shared" si="6"/>
        <v>541956</v>
      </c>
      <c r="L18" s="24">
        <f t="shared" si="6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71">
        <f>U16</f>
        <v>1107658</v>
      </c>
      <c r="V18" s="281">
        <f>V16</f>
        <v>488241</v>
      </c>
    </row>
    <row r="19" spans="2:22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350">
        <f>'Summary -White maize'!T18+'Summary -Yellow maize'!U19</f>
        <v>72520</v>
      </c>
      <c r="V19" s="278">
        <f>AVERAGE(Q20:T20)</f>
        <v>476125.5</v>
      </c>
    </row>
    <row r="20" spans="2:22" ht="14.4" x14ac:dyDescent="0.3">
      <c r="B20" s="19">
        <v>2</v>
      </c>
      <c r="C20" s="285">
        <f t="shared" ref="C20:C70" si="7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777278</v>
      </c>
      <c r="U20" s="350">
        <f>'Summary -White maize'!T19+'Summary -Yellow maize'!U20</f>
        <v>223918</v>
      </c>
      <c r="V20" s="278">
        <f>AVERAGE(Q21:T21)</f>
        <v>638086.5</v>
      </c>
    </row>
    <row r="21" spans="2:22" ht="14.4" x14ac:dyDescent="0.3">
      <c r="B21" s="19">
        <v>3</v>
      </c>
      <c r="C21" s="285">
        <f t="shared" si="7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995539</v>
      </c>
      <c r="U21" s="350">
        <f>'Summary -White maize'!T20+'Summary -Yellow maize'!U21</f>
        <v>0</v>
      </c>
      <c r="V21" s="278"/>
    </row>
    <row r="22" spans="2:22" ht="14.4" x14ac:dyDescent="0.3">
      <c r="B22" s="19">
        <v>4</v>
      </c>
      <c r="C22" s="285">
        <f t="shared" si="7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1169105</v>
      </c>
      <c r="U22" s="350">
        <f>'Summary -White maize'!T21+'Summary -Yellow maize'!U22</f>
        <v>0</v>
      </c>
      <c r="V22" s="278"/>
    </row>
    <row r="23" spans="2:22" ht="14.4" x14ac:dyDescent="0.3">
      <c r="B23" s="19">
        <v>5</v>
      </c>
      <c r="C23" s="285">
        <f t="shared" si="7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1014181</v>
      </c>
      <c r="U23" s="350">
        <f>'Summary -White maize'!T22+'Summary -Yellow maize'!U23</f>
        <v>0</v>
      </c>
      <c r="V23" s="278"/>
    </row>
    <row r="24" spans="2:22" ht="14.4" x14ac:dyDescent="0.3">
      <c r="B24" s="19">
        <v>6</v>
      </c>
      <c r="C24" s="285">
        <f t="shared" si="7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892412</v>
      </c>
      <c r="U24" s="350">
        <f>'Summary -White maize'!T23+'Summary -Yellow maize'!U24</f>
        <v>0</v>
      </c>
      <c r="V24" s="278"/>
    </row>
    <row r="25" spans="2:22" ht="14.4" x14ac:dyDescent="0.3">
      <c r="B25" s="19">
        <v>7</v>
      </c>
      <c r="C25" s="285">
        <f t="shared" si="7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938648</v>
      </c>
      <c r="U25" s="350">
        <f>'Summary -White maize'!T24+'Summary -Yellow maize'!U25</f>
        <v>0</v>
      </c>
      <c r="V25" s="278"/>
    </row>
    <row r="26" spans="2:22" ht="15" customHeight="1" x14ac:dyDescent="0.3">
      <c r="B26" s="19">
        <v>8</v>
      </c>
      <c r="C26" s="285">
        <f t="shared" si="7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728252</v>
      </c>
      <c r="U26" s="350">
        <f>'Summary -White maize'!T25+'Summary -Yellow maize'!U26</f>
        <v>0</v>
      </c>
      <c r="V26" s="278"/>
    </row>
    <row r="27" spans="2:22" ht="15" customHeight="1" x14ac:dyDescent="0.3">
      <c r="B27" s="19">
        <v>9</v>
      </c>
      <c r="C27" s="285">
        <f t="shared" si="7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853736</v>
      </c>
      <c r="U27" s="350">
        <f>'Summary -White maize'!T26+'Summary -Yellow maize'!U27</f>
        <v>0</v>
      </c>
      <c r="V27" s="278"/>
    </row>
    <row r="28" spans="2:22" ht="15" customHeight="1" x14ac:dyDescent="0.3">
      <c r="B28" s="19">
        <v>10</v>
      </c>
      <c r="C28" s="285">
        <f t="shared" si="7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542077</v>
      </c>
      <c r="U28" s="350">
        <f>'Summary -White maize'!T27+'Summary -Yellow maize'!U28</f>
        <v>0</v>
      </c>
      <c r="V28" s="278"/>
    </row>
    <row r="29" spans="2:22" ht="15" customHeight="1" x14ac:dyDescent="0.3">
      <c r="B29" s="19">
        <v>11</v>
      </c>
      <c r="C29" s="285">
        <f t="shared" si="7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473503</v>
      </c>
      <c r="U29" s="350">
        <f>'Summary -White maize'!T28+'Summary -Yellow maize'!U29</f>
        <v>0</v>
      </c>
      <c r="V29" s="278"/>
    </row>
    <row r="30" spans="2:22" ht="15" customHeight="1" x14ac:dyDescent="0.3">
      <c r="B30" s="19">
        <v>12</v>
      </c>
      <c r="C30" s="285">
        <f t="shared" si="7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361505</v>
      </c>
      <c r="U30" s="350">
        <f>'Summary -White maize'!T29+'Summary -Yellow maize'!U30</f>
        <v>0</v>
      </c>
      <c r="V30" s="278"/>
    </row>
    <row r="31" spans="2:22" ht="15" customHeight="1" x14ac:dyDescent="0.3">
      <c r="B31" s="19">
        <v>13</v>
      </c>
      <c r="C31" s="285">
        <f t="shared" si="7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314601</v>
      </c>
      <c r="U31" s="350">
        <f>'Summary -White maize'!T30+'Summary -Yellow maize'!U31</f>
        <v>0</v>
      </c>
      <c r="V31" s="278"/>
    </row>
    <row r="32" spans="2:22" ht="15" customHeight="1" x14ac:dyDescent="0.3">
      <c r="B32" s="19">
        <v>14</v>
      </c>
      <c r="C32" s="285">
        <f t="shared" si="7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152495</v>
      </c>
      <c r="U32" s="350">
        <f>'Summary -White maize'!T31+'Summary -Yellow maize'!U32</f>
        <v>0</v>
      </c>
      <c r="V32" s="278"/>
    </row>
    <row r="33" spans="2:22" ht="15" customHeight="1" x14ac:dyDescent="0.3">
      <c r="B33" s="19">
        <v>15</v>
      </c>
      <c r="C33" s="285">
        <f t="shared" si="7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98362</v>
      </c>
      <c r="U33" s="350">
        <f>'Summary -White maize'!T32+'Summary -Yellow maize'!U33</f>
        <v>0</v>
      </c>
      <c r="V33" s="278"/>
    </row>
    <row r="34" spans="2:22" ht="15" customHeight="1" x14ac:dyDescent="0.3">
      <c r="B34" s="19">
        <v>16</v>
      </c>
      <c r="C34" s="285">
        <f t="shared" si="7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98251</v>
      </c>
      <c r="U34" s="350">
        <f>'Summary -White maize'!T33+'Summary -Yellow maize'!U34</f>
        <v>0</v>
      </c>
      <c r="V34" s="278"/>
    </row>
    <row r="35" spans="2:22" ht="15" customHeight="1" x14ac:dyDescent="0.3">
      <c r="B35" s="19">
        <v>17</v>
      </c>
      <c r="C35" s="285">
        <f t="shared" si="7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70691</v>
      </c>
      <c r="U35" s="350">
        <f>'Summary -White maize'!T34+'Summary -Yellow maize'!U35</f>
        <v>0</v>
      </c>
      <c r="V35" s="278"/>
    </row>
    <row r="36" spans="2:22" ht="15" customHeight="1" x14ac:dyDescent="0.3">
      <c r="B36" s="19">
        <v>18</v>
      </c>
      <c r="C36" s="285">
        <f t="shared" si="7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95900</v>
      </c>
      <c r="U36" s="350">
        <f>'Summary -White maize'!T35+'Summary -Yellow maize'!U36</f>
        <v>0</v>
      </c>
      <c r="V36" s="278"/>
    </row>
    <row r="37" spans="2:22" ht="15" customHeight="1" x14ac:dyDescent="0.3">
      <c r="B37" s="19">
        <v>19</v>
      </c>
      <c r="C37" s="285">
        <f t="shared" si="7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63830</v>
      </c>
      <c r="U37" s="350">
        <f>'Summary -White maize'!T36+'Summary -Yellow maize'!U37</f>
        <v>0</v>
      </c>
      <c r="V37" s="278"/>
    </row>
    <row r="38" spans="2:22" ht="15" customHeight="1" x14ac:dyDescent="0.3">
      <c r="B38" s="19">
        <v>20</v>
      </c>
      <c r="C38" s="285">
        <f t="shared" si="7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62950</v>
      </c>
      <c r="U38" s="350">
        <f>'Summary -White maize'!T37+'Summary -Yellow maize'!U38</f>
        <v>0</v>
      </c>
      <c r="V38" s="278"/>
    </row>
    <row r="39" spans="2:22" ht="15" customHeight="1" x14ac:dyDescent="0.3">
      <c r="B39" s="19">
        <v>21</v>
      </c>
      <c r="C39" s="285">
        <f t="shared" si="7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350">
        <f>'Summary -White maize'!T38+'Summary -Yellow maize'!U39</f>
        <v>0</v>
      </c>
      <c r="V39" s="278"/>
    </row>
    <row r="40" spans="2:22" ht="15" customHeight="1" x14ac:dyDescent="0.3">
      <c r="B40" s="19">
        <v>22</v>
      </c>
      <c r="C40" s="285">
        <f t="shared" si="7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74927</v>
      </c>
      <c r="U40" s="350">
        <f>'Summary -White maize'!T39+'Summary -Yellow maize'!U40</f>
        <v>0</v>
      </c>
      <c r="V40" s="278"/>
    </row>
    <row r="41" spans="2:22" ht="15" customHeight="1" x14ac:dyDescent="0.3">
      <c r="B41" s="19">
        <v>23</v>
      </c>
      <c r="C41" s="285">
        <f t="shared" si="7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56864</v>
      </c>
      <c r="U41" s="350">
        <f>'Summary -White maize'!T40+'Summary -Yellow maize'!U41</f>
        <v>0</v>
      </c>
      <c r="V41" s="278"/>
    </row>
    <row r="42" spans="2:22" ht="15" customHeight="1" x14ac:dyDescent="0.3">
      <c r="B42" s="19">
        <v>24</v>
      </c>
      <c r="C42" s="285">
        <f t="shared" si="7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65307</v>
      </c>
      <c r="U42" s="350">
        <f>'Summary -White maize'!T41+'Summary -Yellow maize'!U42</f>
        <v>0</v>
      </c>
      <c r="V42" s="278"/>
    </row>
    <row r="43" spans="2:22" ht="15" customHeight="1" x14ac:dyDescent="0.3">
      <c r="B43" s="19">
        <v>25</v>
      </c>
      <c r="C43" s="285">
        <f t="shared" si="7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350">
        <f>'Summary -White maize'!T42+'Summary -Yellow maize'!U43</f>
        <v>0</v>
      </c>
      <c r="V43" s="278"/>
    </row>
    <row r="44" spans="2:22" ht="15" customHeight="1" x14ac:dyDescent="0.3">
      <c r="B44" s="19">
        <v>26</v>
      </c>
      <c r="C44" s="285">
        <f t="shared" si="7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66844</v>
      </c>
      <c r="U44" s="350">
        <f>'Summary -White maize'!T43+'Summary -Yellow maize'!U44</f>
        <v>0</v>
      </c>
      <c r="V44" s="278"/>
    </row>
    <row r="45" spans="2:22" ht="15" customHeight="1" x14ac:dyDescent="0.3">
      <c r="B45" s="19">
        <v>27</v>
      </c>
      <c r="C45" s="285">
        <f t="shared" si="7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41630</v>
      </c>
      <c r="U45" s="350">
        <f>'Summary -White maize'!T44+'Summary -Yellow maize'!U45</f>
        <v>0</v>
      </c>
      <c r="V45" s="278"/>
    </row>
    <row r="46" spans="2:22" ht="15" customHeight="1" x14ac:dyDescent="0.3">
      <c r="B46" s="19">
        <v>28</v>
      </c>
      <c r="C46" s="285">
        <f t="shared" si="7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40660</v>
      </c>
      <c r="U46" s="350">
        <f>'Summary -White maize'!T45+'Summary -Yellow maize'!U46</f>
        <v>0</v>
      </c>
      <c r="V46" s="278"/>
    </row>
    <row r="47" spans="2:22" ht="15" customHeight="1" x14ac:dyDescent="0.3">
      <c r="B47" s="19">
        <v>29</v>
      </c>
      <c r="C47" s="285">
        <f t="shared" si="7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34729</v>
      </c>
      <c r="U47" s="350">
        <f>'Summary -White maize'!T46+'Summary -Yellow maize'!U47</f>
        <v>0</v>
      </c>
      <c r="V47" s="278"/>
    </row>
    <row r="48" spans="2:22" ht="15" customHeight="1" x14ac:dyDescent="0.3">
      <c r="B48" s="19">
        <v>30</v>
      </c>
      <c r="C48" s="285">
        <f t="shared" si="7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34008</v>
      </c>
      <c r="U48" s="350">
        <f>'Summary -White maize'!T47+'Summary -Yellow maize'!U48</f>
        <v>0</v>
      </c>
      <c r="V48" s="278"/>
    </row>
    <row r="49" spans="2:22" ht="15" customHeight="1" x14ac:dyDescent="0.3">
      <c r="B49" s="19">
        <v>31</v>
      </c>
      <c r="C49" s="285">
        <f t="shared" si="7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59992</v>
      </c>
      <c r="U49" s="350">
        <f>'Summary -White maize'!T48+'Summary -Yellow maize'!U49</f>
        <v>0</v>
      </c>
      <c r="V49" s="278"/>
    </row>
    <row r="50" spans="2:22" ht="15" customHeight="1" x14ac:dyDescent="0.3">
      <c r="B50" s="19">
        <v>32</v>
      </c>
      <c r="C50" s="285">
        <f t="shared" si="7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42811</v>
      </c>
      <c r="U50" s="350">
        <f>'Summary -White maize'!T49+'Summary -Yellow maize'!U50</f>
        <v>0</v>
      </c>
      <c r="V50" s="278"/>
    </row>
    <row r="51" spans="2:22" ht="15" customHeight="1" x14ac:dyDescent="0.3">
      <c r="B51" s="19">
        <v>33</v>
      </c>
      <c r="C51" s="285">
        <f t="shared" si="7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38589</v>
      </c>
      <c r="U51" s="350">
        <f>'Summary -White maize'!T50+'Summary -Yellow maize'!U51</f>
        <v>0</v>
      </c>
      <c r="V51" s="278"/>
    </row>
    <row r="52" spans="2:22" ht="15" customHeight="1" x14ac:dyDescent="0.3">
      <c r="B52" s="19">
        <v>34</v>
      </c>
      <c r="C52" s="285">
        <f t="shared" si="7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27547</v>
      </c>
      <c r="U52" s="350">
        <f>'Summary -White maize'!T51+'Summary -Yellow maize'!U52</f>
        <v>0</v>
      </c>
      <c r="V52" s="278"/>
    </row>
    <row r="53" spans="2:22" ht="15" customHeight="1" x14ac:dyDescent="0.3">
      <c r="B53" s="19">
        <v>35</v>
      </c>
      <c r="C53" s="285">
        <f t="shared" si="7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15669</v>
      </c>
      <c r="U53" s="350">
        <f>'Summary -White maize'!T52+'Summary -Yellow maize'!U53</f>
        <v>0</v>
      </c>
      <c r="V53" s="278"/>
    </row>
    <row r="54" spans="2:22" ht="15" customHeight="1" x14ac:dyDescent="0.3">
      <c r="B54" s="19">
        <v>36</v>
      </c>
      <c r="C54" s="285">
        <f t="shared" si="7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350">
        <f>'Summary -White maize'!T53+'Summary -Yellow maize'!U54</f>
        <v>0</v>
      </c>
      <c r="V54" s="278"/>
    </row>
    <row r="55" spans="2:22" ht="15" customHeight="1" x14ac:dyDescent="0.3">
      <c r="B55" s="19">
        <v>37</v>
      </c>
      <c r="C55" s="285">
        <f t="shared" si="7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23279</v>
      </c>
      <c r="U55" s="350">
        <f>'Summary -White maize'!T54+'Summary -Yellow maize'!U55</f>
        <v>0</v>
      </c>
      <c r="V55" s="278"/>
    </row>
    <row r="56" spans="2:22" ht="15" customHeight="1" x14ac:dyDescent="0.3">
      <c r="B56" s="19">
        <v>38</v>
      </c>
      <c r="C56" s="285">
        <f t="shared" si="7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29932</v>
      </c>
      <c r="U56" s="350">
        <f>'Summary -White maize'!T55+'Summary -Yellow maize'!U56</f>
        <v>0</v>
      </c>
      <c r="V56" s="278"/>
    </row>
    <row r="57" spans="2:22" ht="15" customHeight="1" x14ac:dyDescent="0.3">
      <c r="B57" s="19">
        <v>39</v>
      </c>
      <c r="C57" s="285">
        <f t="shared" si="7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25964</v>
      </c>
      <c r="U57" s="350">
        <f>'Summary -White maize'!T56+'Summary -Yellow maize'!U57</f>
        <v>0</v>
      </c>
      <c r="V57" s="278"/>
    </row>
    <row r="58" spans="2:22" ht="15" customHeight="1" x14ac:dyDescent="0.3">
      <c r="B58" s="19">
        <v>40</v>
      </c>
      <c r="C58" s="285">
        <f t="shared" si="7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53060</v>
      </c>
      <c r="U58" s="350">
        <f>'Summary -White maize'!T57+'Summary -Yellow maize'!U58</f>
        <v>0</v>
      </c>
      <c r="V58" s="278"/>
    </row>
    <row r="59" spans="2:22" ht="15" customHeight="1" x14ac:dyDescent="0.3">
      <c r="B59" s="19">
        <v>41</v>
      </c>
      <c r="C59" s="285">
        <f t="shared" si="7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50380</v>
      </c>
      <c r="U59" s="350">
        <f>'Summary -White maize'!T58+'Summary -Yellow maize'!U59</f>
        <v>0</v>
      </c>
      <c r="V59" s="278"/>
    </row>
    <row r="60" spans="2:22" ht="15" customHeight="1" x14ac:dyDescent="0.3">
      <c r="B60" s="19">
        <v>42</v>
      </c>
      <c r="C60" s="285">
        <f t="shared" si="7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42340</v>
      </c>
      <c r="U60" s="350">
        <f>'Summary -White maize'!T59+'Summary -Yellow maize'!U60</f>
        <v>0</v>
      </c>
      <c r="V60" s="278"/>
    </row>
    <row r="61" spans="2:22" ht="15" customHeight="1" x14ac:dyDescent="0.3">
      <c r="B61" s="19">
        <v>43</v>
      </c>
      <c r="C61" s="285">
        <f t="shared" si="7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18827</v>
      </c>
      <c r="U61" s="350">
        <f>'Summary -White maize'!T60+'Summary -Yellow maize'!U61</f>
        <v>0</v>
      </c>
      <c r="V61" s="278"/>
    </row>
    <row r="62" spans="2:22" ht="15" customHeight="1" x14ac:dyDescent="0.3">
      <c r="B62" s="19">
        <v>44</v>
      </c>
      <c r="C62" s="285">
        <f t="shared" si="7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36667</v>
      </c>
      <c r="U62" s="350">
        <f>'Summary -White maize'!T61+'Summary -Yellow maize'!U62</f>
        <v>0</v>
      </c>
      <c r="V62" s="278"/>
    </row>
    <row r="63" spans="2:22" ht="15" customHeight="1" x14ac:dyDescent="0.3">
      <c r="B63" s="19">
        <v>45</v>
      </c>
      <c r="C63" s="285">
        <f t="shared" si="7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32867</v>
      </c>
      <c r="U63" s="350">
        <f>'Summary -White maize'!T62+'Summary -Yellow maize'!U63</f>
        <v>0</v>
      </c>
      <c r="V63" s="278"/>
    </row>
    <row r="64" spans="2:22" ht="15" customHeight="1" x14ac:dyDescent="0.3">
      <c r="B64" s="19">
        <v>46</v>
      </c>
      <c r="C64" s="285">
        <f t="shared" si="7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76115</v>
      </c>
      <c r="U64" s="350">
        <f>'Summary -White maize'!T63+'Summary -Yellow maize'!U64</f>
        <v>0</v>
      </c>
      <c r="V64" s="278"/>
    </row>
    <row r="65" spans="2:22" ht="15" customHeight="1" x14ac:dyDescent="0.3">
      <c r="B65" s="19">
        <v>47</v>
      </c>
      <c r="C65" s="285">
        <f t="shared" si="7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77241</v>
      </c>
      <c r="U65" s="350">
        <f>'Summary -White maize'!T64+'Summary -Yellow maize'!U65</f>
        <v>0</v>
      </c>
      <c r="V65" s="278"/>
    </row>
    <row r="66" spans="2:22" ht="15" customHeight="1" x14ac:dyDescent="0.3">
      <c r="B66" s="19">
        <v>48</v>
      </c>
      <c r="C66" s="285">
        <f t="shared" si="7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>
        <f>'Summary -White maize'!S65+'Summary -Yellow maize'!T66</f>
        <v>101533</v>
      </c>
      <c r="U66" s="350">
        <f>'Summary -White maize'!T65+'Summary -Yellow maize'!U66</f>
        <v>0</v>
      </c>
      <c r="V66" s="278"/>
    </row>
    <row r="67" spans="2:22" ht="15" customHeight="1" x14ac:dyDescent="0.3">
      <c r="B67" s="19">
        <v>49</v>
      </c>
      <c r="C67" s="285">
        <f t="shared" si="7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>
        <f>'Summary -White maize'!S66+'Summary -Yellow maize'!T67</f>
        <v>55850</v>
      </c>
      <c r="U67" s="350">
        <f>'Summary -White maize'!T66+'Summary -Yellow maize'!U67</f>
        <v>0</v>
      </c>
      <c r="V67" s="278"/>
    </row>
    <row r="68" spans="2:22" ht="15" customHeight="1" x14ac:dyDescent="0.3">
      <c r="B68" s="19">
        <v>50</v>
      </c>
      <c r="C68" s="285">
        <f t="shared" si="7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>
        <f>'Summary -White maize'!S67+'Summary -Yellow maize'!T68</f>
        <v>44940</v>
      </c>
      <c r="U68" s="350">
        <f>'Summary -White maize'!T67+'Summary -Yellow maize'!U68</f>
        <v>0</v>
      </c>
      <c r="V68" s="278"/>
    </row>
    <row r="69" spans="2:22" ht="15" customHeight="1" x14ac:dyDescent="0.3">
      <c r="B69" s="19">
        <v>51</v>
      </c>
      <c r="C69" s="285">
        <f t="shared" si="7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>
        <f>'Summary -White maize'!S68+'Summary -Yellow maize'!T69</f>
        <v>82485</v>
      </c>
      <c r="U69" s="350">
        <f>'Summary -White maize'!T68+'Summary -Yellow maize'!U69</f>
        <v>0</v>
      </c>
      <c r="V69" s="278"/>
    </row>
    <row r="70" spans="2:22" ht="15" customHeight="1" x14ac:dyDescent="0.3">
      <c r="B70" s="19">
        <v>52</v>
      </c>
      <c r="C70" s="285">
        <f t="shared" si="7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>
        <f>'Summary -White maize'!S69+'Summary -Yellow maize'!T70</f>
        <v>117608</v>
      </c>
      <c r="U70" s="350">
        <f>'Summary -White maize'!T69+'Summary -Yellow maize'!U70</f>
        <v>0</v>
      </c>
      <c r="V70" s="278">
        <f t="shared" ref="V70" si="8">AVERAGE(O71:S71)</f>
        <v>0</v>
      </c>
    </row>
    <row r="71" spans="2:22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350"/>
      <c r="V71" s="281"/>
    </row>
    <row r="72" spans="2:22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350"/>
      <c r="V72" s="281"/>
    </row>
    <row r="73" spans="2:22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12850000</v>
      </c>
      <c r="U73" s="309" t="str">
        <f>'Table-SAGIS deliver vs CEC est'!F8</f>
        <v>NOK Finale' produksieskatting (ton)</v>
      </c>
      <c r="V73" s="309">
        <f>AVERAGE(O73:S73)</f>
        <v>14974807</v>
      </c>
    </row>
    <row r="74" spans="2:22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620000</v>
      </c>
      <c r="T74" s="321">
        <f>'Table-SAGIS deliver vs CEC est'!D9</f>
        <v>450000</v>
      </c>
      <c r="U74" s="321">
        <f>'Table-SAGIS deliver vs CEC est'!E9</f>
        <v>620000</v>
      </c>
      <c r="V74" s="309">
        <f>AVERAGE(O74:S74)</f>
        <v>595400</v>
      </c>
    </row>
    <row r="75" spans="2:22" ht="14.25" customHeight="1" x14ac:dyDescent="0.3">
      <c r="B75" s="179" t="s">
        <v>70</v>
      </c>
      <c r="C75" s="152"/>
      <c r="D75" s="88">
        <f t="shared" ref="D75:I75" si="9">D73-D74</f>
        <v>12146224</v>
      </c>
      <c r="E75" s="88">
        <f t="shared" si="9"/>
        <v>11625444</v>
      </c>
      <c r="F75" s="88">
        <f t="shared" si="9"/>
        <v>11541475</v>
      </c>
      <c r="G75" s="88">
        <f t="shared" si="9"/>
        <v>9885924</v>
      </c>
      <c r="H75" s="88">
        <f>H73-H74</f>
        <v>11687128</v>
      </c>
      <c r="I75" s="88">
        <f t="shared" si="9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0">P73-P74</f>
        <v>14762810</v>
      </c>
      <c r="Q75" s="269">
        <f t="shared" si="10"/>
        <v>15691000</v>
      </c>
      <c r="R75" s="310">
        <f t="shared" si="10"/>
        <v>14903000</v>
      </c>
      <c r="S75" s="310">
        <f>S73-S74</f>
        <v>15775225</v>
      </c>
      <c r="T75" s="310">
        <f t="shared" si="10"/>
        <v>12400000</v>
      </c>
      <c r="U75" s="310" t="e">
        <f t="shared" ref="U75" si="11">U73-U74</f>
        <v>#VALUE!</v>
      </c>
      <c r="V75" s="310">
        <f>V73-V74</f>
        <v>14379407</v>
      </c>
    </row>
    <row r="76" spans="2:22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11"/>
      <c r="V76" s="309"/>
    </row>
    <row r="77" spans="2:22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58" t="str">
        <f>U3</f>
        <v>2025/26*</v>
      </c>
      <c r="V77" s="328" t="s">
        <v>55</v>
      </c>
    </row>
    <row r="78" spans="2:22" ht="14.4" x14ac:dyDescent="0.3">
      <c r="B78" s="16" t="s">
        <v>72</v>
      </c>
      <c r="C78" s="235"/>
      <c r="D78" s="218">
        <f t="shared" ref="D78:K78" si="12">D16</f>
        <v>669033</v>
      </c>
      <c r="E78" s="221">
        <f t="shared" si="12"/>
        <v>351719</v>
      </c>
      <c r="F78" s="221">
        <f t="shared" si="12"/>
        <v>135500</v>
      </c>
      <c r="G78" s="363">
        <f t="shared" si="12"/>
        <v>182240</v>
      </c>
      <c r="H78" s="363">
        <f t="shared" si="12"/>
        <v>753443</v>
      </c>
      <c r="I78" s="364">
        <f t="shared" si="12"/>
        <v>426034</v>
      </c>
      <c r="J78" s="363">
        <f t="shared" si="12"/>
        <v>478784</v>
      </c>
      <c r="K78" s="363">
        <f t="shared" si="12"/>
        <v>541956</v>
      </c>
      <c r="L78" s="363">
        <f t="shared" ref="L78:Q78" si="13">L18</f>
        <v>821008</v>
      </c>
      <c r="M78" s="363">
        <f t="shared" si="13"/>
        <v>804193</v>
      </c>
      <c r="N78" s="363">
        <f t="shared" si="13"/>
        <v>239917</v>
      </c>
      <c r="O78" s="363">
        <f t="shared" si="13"/>
        <v>266943</v>
      </c>
      <c r="P78" s="363">
        <f t="shared" si="13"/>
        <v>347732</v>
      </c>
      <c r="Q78" s="363">
        <f t="shared" si="13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52">
        <f>U18</f>
        <v>1107658</v>
      </c>
      <c r="V78" s="365">
        <f>V18</f>
        <v>488241</v>
      </c>
    </row>
    <row r="79" spans="2:22" ht="15" thickBot="1" x14ac:dyDescent="0.35">
      <c r="B79" s="16" t="s">
        <v>73</v>
      </c>
      <c r="C79" s="366">
        <f t="shared" ref="C79:F79" si="14">SUM(C19:C57)</f>
        <v>1776372</v>
      </c>
      <c r="D79" s="366">
        <f t="shared" si="14"/>
        <v>11445000</v>
      </c>
      <c r="E79" s="366">
        <f t="shared" si="14"/>
        <v>11253000</v>
      </c>
      <c r="F79" s="366">
        <f t="shared" si="14"/>
        <v>11747000</v>
      </c>
      <c r="G79" s="366">
        <f t="shared" ref="G79:S79" si="15">SUM(G19:G62)</f>
        <v>9731000</v>
      </c>
      <c r="H79" s="366">
        <f t="shared" si="15"/>
        <v>11016607</v>
      </c>
      <c r="I79" s="366">
        <f t="shared" si="15"/>
        <v>10495155</v>
      </c>
      <c r="J79" s="366">
        <f t="shared" si="15"/>
        <v>13275986</v>
      </c>
      <c r="K79" s="366">
        <f t="shared" si="15"/>
        <v>9057930</v>
      </c>
      <c r="L79" s="366">
        <f t="shared" si="15"/>
        <v>6675981</v>
      </c>
      <c r="M79" s="366">
        <f t="shared" si="15"/>
        <v>15385208</v>
      </c>
      <c r="N79" s="366">
        <f t="shared" si="15"/>
        <v>11720705</v>
      </c>
      <c r="O79" s="366">
        <f t="shared" si="15"/>
        <v>10537705</v>
      </c>
      <c r="P79" s="366">
        <f t="shared" si="15"/>
        <v>14317510</v>
      </c>
      <c r="Q79" s="366">
        <f t="shared" si="15"/>
        <v>14865206</v>
      </c>
      <c r="R79" s="366">
        <f t="shared" si="15"/>
        <v>14507386</v>
      </c>
      <c r="S79" s="366">
        <f t="shared" si="15"/>
        <v>15126437</v>
      </c>
      <c r="T79" s="366">
        <f>SUM(T19:T68)</f>
        <v>11409996</v>
      </c>
      <c r="U79" s="366">
        <f>SUM(U19:U68)</f>
        <v>296438</v>
      </c>
      <c r="V79" s="366">
        <f>SUM(V19:V68)</f>
        <v>1114212</v>
      </c>
    </row>
    <row r="80" spans="2:22" ht="15" thickBot="1" x14ac:dyDescent="0.35">
      <c r="B80" s="115" t="s">
        <v>74</v>
      </c>
      <c r="C80" s="236"/>
      <c r="D80" s="164">
        <f t="shared" ref="D80:K80" si="16">D78+D79</f>
        <v>12114033</v>
      </c>
      <c r="E80" s="164">
        <f t="shared" si="16"/>
        <v>11604719</v>
      </c>
      <c r="F80" s="164">
        <f t="shared" si="16"/>
        <v>11882500</v>
      </c>
      <c r="G80" s="164">
        <f t="shared" si="16"/>
        <v>9913240</v>
      </c>
      <c r="H80" s="164">
        <f t="shared" si="16"/>
        <v>11770050</v>
      </c>
      <c r="I80" s="164">
        <f t="shared" si="16"/>
        <v>10921189</v>
      </c>
      <c r="J80" s="164">
        <f t="shared" si="16"/>
        <v>13754770</v>
      </c>
      <c r="K80" s="164">
        <f t="shared" si="16"/>
        <v>9599886</v>
      </c>
      <c r="L80" s="164">
        <f t="shared" ref="L80:Q80" si="17">L78+L79</f>
        <v>7496989</v>
      </c>
      <c r="M80" s="164">
        <f t="shared" si="17"/>
        <v>16189401</v>
      </c>
      <c r="N80" s="164">
        <f t="shared" si="17"/>
        <v>11960622</v>
      </c>
      <c r="O80" s="164">
        <f t="shared" si="17"/>
        <v>10804648</v>
      </c>
      <c r="P80" s="164">
        <f t="shared" si="17"/>
        <v>14665242</v>
      </c>
      <c r="Q80" s="164">
        <f t="shared" si="17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12517654</v>
      </c>
      <c r="U80" s="223">
        <f>SUM(U78:U79)</f>
        <v>1404096</v>
      </c>
      <c r="V80" s="325">
        <f>V78+V79</f>
        <v>1602453</v>
      </c>
    </row>
    <row r="81" spans="2:22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249"/>
      <c r="V81" s="326"/>
    </row>
    <row r="82" spans="2:22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18">I80/I75</f>
        <v>0.96198291010253079</v>
      </c>
      <c r="J82" s="290">
        <f t="shared" si="18"/>
        <v>1.001778614658666</v>
      </c>
      <c r="K82" s="294">
        <f t="shared" si="18"/>
        <v>1.0123824277851656</v>
      </c>
      <c r="L82" s="294">
        <f t="shared" si="18"/>
        <v>1.006201360823237</v>
      </c>
      <c r="M82" s="294">
        <f t="shared" ref="M82:P82" si="19">M80/M75</f>
        <v>0.99694568631073344</v>
      </c>
      <c r="N82" s="294">
        <f t="shared" si="19"/>
        <v>1.0000520066889631</v>
      </c>
      <c r="O82" s="294">
        <f>O80/O75</f>
        <v>1.0036830469112865</v>
      </c>
      <c r="P82" s="290">
        <f t="shared" si="19"/>
        <v>0.9933909601220906</v>
      </c>
      <c r="Q82" s="290">
        <f>Q80/Q75</f>
        <v>1.0083814288445605</v>
      </c>
      <c r="R82" s="290">
        <f>R80/R75</f>
        <v>1.0012369321613097</v>
      </c>
      <c r="S82" s="290">
        <f>S80/S75</f>
        <v>1.0034681597251387</v>
      </c>
      <c r="T82" s="294">
        <f>T80/T75</f>
        <v>1.0094882258064517</v>
      </c>
      <c r="U82" s="294" t="e">
        <f>U80/U75</f>
        <v>#VALUE!</v>
      </c>
      <c r="V82" s="327">
        <f>V80/V75</f>
        <v>0.11144082645410899</v>
      </c>
    </row>
    <row r="83" spans="2:22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  <c r="V83" s="209"/>
    </row>
    <row r="84" spans="2:22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  <c r="V84" s="389"/>
    </row>
    <row r="85" spans="2:22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  <c r="V85" s="392"/>
    </row>
    <row r="86" spans="2:22" hidden="1" x14ac:dyDescent="0.2"/>
    <row r="87" spans="2:22" ht="13.2" hidden="1" x14ac:dyDescent="0.25">
      <c r="B87" s="2" t="s">
        <v>93</v>
      </c>
      <c r="D87" s="367">
        <f t="shared" ref="D87:J87" si="20">SUM(D48:D62)/D75</f>
        <v>3.3179035723365551E-2</v>
      </c>
      <c r="E87" s="367">
        <f t="shared" si="20"/>
        <v>1.8579935527623718E-2</v>
      </c>
      <c r="F87" s="367">
        <f t="shared" si="20"/>
        <v>1.2996605719806178E-2</v>
      </c>
      <c r="G87" s="367">
        <f t="shared" si="20"/>
        <v>2.4074633792450763E-2</v>
      </c>
      <c r="H87" s="367">
        <f t="shared" si="20"/>
        <v>3.5517793593088057E-2</v>
      </c>
      <c r="I87" s="367">
        <f t="shared" si="20"/>
        <v>3.2798196108462865E-2</v>
      </c>
      <c r="J87" s="367">
        <f t="shared" si="20"/>
        <v>3.3867893671165973E-2</v>
      </c>
      <c r="K87" s="89">
        <f>1-K82</f>
        <v>-1.2382427785165628E-2</v>
      </c>
    </row>
    <row r="88" spans="2:22" hidden="1" x14ac:dyDescent="0.2"/>
    <row r="89" spans="2:22" hidden="1" x14ac:dyDescent="0.2">
      <c r="I89" s="2" t="s">
        <v>94</v>
      </c>
      <c r="J89" s="90">
        <f>SUM(AVERAGE(D87:J87))</f>
        <v>2.7287727733709015E-2</v>
      </c>
    </row>
    <row r="90" spans="2:22" hidden="1" x14ac:dyDescent="0.2"/>
    <row r="93" spans="2:22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  <c r="U93" s="292"/>
    </row>
    <row r="94" spans="2:22" x14ac:dyDescent="0.2">
      <c r="R94" s="292">
        <f>R73*W94</f>
        <v>0</v>
      </c>
      <c r="S94" s="292"/>
      <c r="T94" s="292"/>
      <c r="U94" s="292"/>
    </row>
    <row r="95" spans="2:22" x14ac:dyDescent="0.2">
      <c r="R95" s="292"/>
      <c r="S95" s="292"/>
      <c r="T95" s="292"/>
      <c r="U95" s="292"/>
      <c r="V95" s="251"/>
    </row>
    <row r="96" spans="2:22" x14ac:dyDescent="0.2">
      <c r="R96" s="292"/>
      <c r="S96" s="292"/>
      <c r="T96" s="292"/>
      <c r="U96" s="292"/>
    </row>
    <row r="97" spans="17:22" x14ac:dyDescent="0.2">
      <c r="R97" s="292"/>
      <c r="S97" s="292"/>
      <c r="T97" s="292"/>
      <c r="U97" s="292"/>
    </row>
    <row r="98" spans="17:22" x14ac:dyDescent="0.2">
      <c r="Q98" s="292"/>
      <c r="R98" s="292"/>
      <c r="S98" s="292"/>
      <c r="T98" s="292"/>
      <c r="U98" s="292"/>
      <c r="V98" s="289"/>
    </row>
    <row r="99" spans="17:22" x14ac:dyDescent="0.2">
      <c r="R99" s="289"/>
      <c r="S99" s="289"/>
      <c r="T99" s="289"/>
      <c r="U99" s="289"/>
    </row>
    <row r="100" spans="17:22" x14ac:dyDescent="0.2">
      <c r="Q100" s="292"/>
    </row>
    <row r="102" spans="17:22" x14ac:dyDescent="0.2">
      <c r="R102" s="292"/>
      <c r="S102" s="292"/>
      <c r="T102" s="292"/>
      <c r="U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4"/>
  <sheetViews>
    <sheetView topLeftCell="D1" zoomScale="98" zoomScaleNormal="85" workbookViewId="0">
      <selection activeCell="T24" sqref="T24"/>
    </sheetView>
  </sheetViews>
  <sheetFormatPr defaultRowHeight="13.2" x14ac:dyDescent="0.25"/>
  <cols>
    <col min="1" max="1" width="26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9" width="12.44140625" style="213" customWidth="1"/>
    <col min="20" max="20" width="11.33203125" bestFit="1" customWidth="1"/>
  </cols>
  <sheetData>
    <row r="1" spans="1:21" ht="17.399999999999999" x14ac:dyDescent="0.3">
      <c r="A1" s="216" t="s">
        <v>95</v>
      </c>
    </row>
    <row r="2" spans="1:21" ht="13.8" thickBot="1" x14ac:dyDescent="0.3">
      <c r="A2" s="368"/>
    </row>
    <row r="3" spans="1:21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</row>
    <row r="4" spans="1:21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130</v>
      </c>
      <c r="T4" s="253" t="s">
        <v>98</v>
      </c>
    </row>
    <row r="5" spans="1:21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'Summary -White maize'!T77</f>
        <v>398292</v>
      </c>
      <c r="T5" s="55">
        <f>AVERAGE(N5:R5)</f>
        <v>260392.4</v>
      </c>
    </row>
    <row r="6" spans="1:21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5439775</v>
      </c>
      <c r="S6" s="416">
        <f>'Summary -White maize'!T78</f>
        <v>82088</v>
      </c>
      <c r="T6" s="416">
        <f>AVERAGE(N6:R6)</f>
        <v>7445943</v>
      </c>
    </row>
    <row r="7" spans="1:21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5838067</v>
      </c>
      <c r="S7" s="60">
        <f>'Summary -White maize'!T79</f>
        <v>480380</v>
      </c>
      <c r="T7" s="438">
        <f>AVERAGE(N7:R7)</f>
        <v>7706335.4000000004</v>
      </c>
    </row>
    <row r="8" spans="1:21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0.9920249787595582</v>
      </c>
      <c r="S8" s="69">
        <f>'Summary -White maize'!T81</f>
        <v>8.1627867459643164E-2</v>
      </c>
      <c r="T8" s="214">
        <f>AVERAGE(N8:R8)</f>
        <v>0.99667310412335919</v>
      </c>
      <c r="U8" s="344"/>
    </row>
    <row r="9" spans="1:21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</row>
    <row r="10" spans="1:21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</row>
    <row r="11" spans="1:21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tr">
        <f>S4</f>
        <v>2025/26</v>
      </c>
      <c r="T11" s="253" t="s">
        <v>98</v>
      </c>
    </row>
    <row r="12" spans="1:21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'Summary -Yellow maize'!U78</f>
        <v>709366</v>
      </c>
      <c r="T12" s="55">
        <f>AVERAGE(N12:R12)</f>
        <v>445656.4</v>
      </c>
    </row>
    <row r="13" spans="1:21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5581675</v>
      </c>
      <c r="S13" s="439">
        <f>'Summary -Yellow maize'!U79</f>
        <v>214350</v>
      </c>
      <c r="T13" s="438">
        <f>AVERAGE(N13:R13)</f>
        <v>6522802.7999999998</v>
      </c>
    </row>
    <row r="14" spans="1:21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6291041</v>
      </c>
      <c r="S14" s="60">
        <f>'Summary -Yellow maize'!U80</f>
        <v>923716</v>
      </c>
      <c r="T14" s="60">
        <f t="shared" ref="T14" si="0">AVERAGE(L14:Q14)</f>
        <v>6596362.333333333</v>
      </c>
    </row>
    <row r="15" spans="1:21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0.98682996078431373</v>
      </c>
      <c r="S15" s="69">
        <f>'Summary -Yellow maize'!U82</f>
        <v>0.14489662745098039</v>
      </c>
      <c r="T15" s="214">
        <f>AVERAGE(N15:R15)</f>
        <v>1.0031809399023683</v>
      </c>
      <c r="U15" s="344"/>
    </row>
    <row r="16" spans="1:21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</row>
    <row r="17" spans="1:21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</row>
    <row r="18" spans="1:21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tr">
        <f>S4</f>
        <v>2025/26</v>
      </c>
      <c r="T18" s="253" t="s">
        <v>98</v>
      </c>
    </row>
    <row r="19" spans="1:21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'Summary -Total maize'!U78</f>
        <v>1107658</v>
      </c>
      <c r="T19" s="55">
        <f>AVERAGE(N19:R19)</f>
        <v>706048.8</v>
      </c>
    </row>
    <row r="20" spans="1:21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11409996</v>
      </c>
      <c r="S20" s="57">
        <f>'Summary -Total maize'!U79</f>
        <v>296438</v>
      </c>
      <c r="T20" s="57">
        <f>AVERAGE(N20:R20)</f>
        <v>14045307</v>
      </c>
    </row>
    <row r="21" spans="1:21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12517654</v>
      </c>
      <c r="S21" s="60">
        <f>'Summary -Total maize'!U80</f>
        <v>1404096</v>
      </c>
      <c r="T21" s="60">
        <f t="shared" ref="T21" si="1">AVERAGE(L21:Q21)</f>
        <v>14000732.5</v>
      </c>
    </row>
    <row r="22" spans="1:21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1.0034681597251387</v>
      </c>
      <c r="R22" s="64">
        <f>'Summary -Total maize'!T82</f>
        <v>1.0094882258064517</v>
      </c>
      <c r="S22" s="64" t="e">
        <f>'Summary -Total maize'!U82</f>
        <v>#VALUE!</v>
      </c>
      <c r="T22" s="215">
        <f>AVERAGE(N22:R22)</f>
        <v>1.0031931413319104</v>
      </c>
      <c r="U22" s="344"/>
    </row>
    <row r="23" spans="1:21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  <c r="S23" s="362"/>
    </row>
    <row r="24" spans="1:21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16" workbookViewId="0">
      <selection activeCell="Q26" sqref="Q26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BBA8B40-4BE7-4909-828F-3091F4718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Lewerings tot datum </vt:lpstr>
      <vt:lpstr>Lewerings tot datum (WM)</vt:lpstr>
      <vt:lpstr>Lewerings tot datum (YM)</vt:lpstr>
      <vt:lpstr>Chart1</vt:lpstr>
      <vt:lpstr>Lewerings tot datum (TM)</vt:lpstr>
      <vt:lpstr>Weeklikse kumulatiewe lewerings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2025-05-21T08:07:48Z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