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2252D662-5698-4255-A7DB-1B3C7947161C}" xr6:coauthVersionLast="47" xr6:coauthVersionMax="47" xr10:uidLastSave="{00000000-0000-0000-0000-000000000000}"/>
  <bookViews>
    <workbookView xWindow="-108" yWindow="-108" windowWidth="23256" windowHeight="12456" tabRatio="865" firstSheet="1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state="hidden" r:id="rId8"/>
    <sheet name="Sunflower 2023_2024" sheetId="19" state="hidden" r:id="rId9"/>
    <sheet name="Sunflower 2024_2025" sheetId="20" state="hidden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K10" i="6"/>
  <c r="L10" i="6"/>
  <c r="K11" i="6" l="1"/>
  <c r="L5" i="6" l="1"/>
  <c r="L6" i="6"/>
  <c r="L7" i="6"/>
  <c r="L8" i="6"/>
  <c r="L9" i="6"/>
  <c r="L4" i="6"/>
  <c r="K8" i="6"/>
  <c r="K9" i="6"/>
  <c r="K7" i="6"/>
  <c r="K6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5" i="6"/>
  <c r="K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7" i="21"/>
  <c r="G7" i="21" s="1"/>
  <c r="F59" i="20"/>
  <c r="J56" i="6" s="1"/>
  <c r="C59" i="20"/>
  <c r="K62" i="6" l="1"/>
  <c r="K64" i="6" s="1"/>
  <c r="G8" i="21"/>
  <c r="G9" i="21" s="1"/>
  <c r="G10" i="21" s="1"/>
  <c r="G11" i="21" s="1"/>
  <c r="G12" i="21" s="1"/>
  <c r="L61" i="6"/>
  <c r="F27" i="20"/>
  <c r="J24" i="6" s="1"/>
  <c r="F28" i="20"/>
  <c r="J25" i="6" s="1"/>
  <c r="C9" i="4"/>
  <c r="I5" i="6"/>
  <c r="I62" i="6" s="1"/>
  <c r="I64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 s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C30" i="18"/>
  <c r="C29" i="18"/>
  <c r="C28" i="18"/>
  <c r="C27" i="18"/>
  <c r="C26" i="18"/>
  <c r="C25" i="18"/>
  <c r="C24" i="18"/>
  <c r="C23" i="18"/>
  <c r="D62" i="6"/>
  <c r="D64" i="6" s="1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G59" i="6" s="1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 s="1"/>
  <c r="F8" i="16"/>
  <c r="F5" i="6"/>
  <c r="F58" i="6"/>
  <c r="F59" i="6" s="1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G13" i="21" l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H59" i="6"/>
  <c r="H64" i="6" s="1"/>
  <c r="L57" i="6"/>
  <c r="L59" i="6" s="1"/>
  <c r="L62" i="6"/>
  <c r="F64" i="6"/>
  <c r="E62" i="6"/>
  <c r="E64" i="6" s="1"/>
  <c r="G62" i="6"/>
  <c r="G64" i="6" s="1"/>
  <c r="J4" i="6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l="1"/>
  <c r="C10" i="4" s="1"/>
  <c r="L64" i="6"/>
  <c r="G35" i="20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 l="1"/>
  <c r="C16" i="4" s="1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<sst xmlns="http://schemas.openxmlformats.org/spreadsheetml/2006/main" count="151" uniqueCount="64">
  <si>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</si>
  <si>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</si>
  <si>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</si>
  <si>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</si>
  <si>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</si>
  <si>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</si>
  <si>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</si>
  <si>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</si>
  <si>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</si>
  <si>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</si>
  <si>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</si>
  <si>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</si>
  <si>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</si>
  <si>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</si>
  <si>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</si>
  <si>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</si>
  <si>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</si>
  <si>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</si>
  <si>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</si>
  <si>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</si>
  <si>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</si>
  <si>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</si>
  <si>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</si>
  <si>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</si>
  <si>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</si>
  <si>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</si>
  <si>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</si>
  <si>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</si>
  <si>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</si>
  <si>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</si>
  <si>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</si>
  <si>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</si>
  <si>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</si>
  <si>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</si>
  <si>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</si>
  <si>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</si>
  <si>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</si>
  <si>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</si>
  <si>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</si>
  <si>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</si>
  <si>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</si>
  <si>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</si>
  <si>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</si>
  <si>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</si>
  <si>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</si>
  <si>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</si>
  <si>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</si>
  <si>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</si>
  <si>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</si>
  <si>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</si>
  <si>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</si>
  <si>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</si>
  <si>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</si>
  <si>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</si>
  <si>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</si>
  <si>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</si>
  <si>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</si>
  <si>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</si>
  <si>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5-year average</t>
  </si>
  <si>
    <t>CEC Final production estimate (tons)</t>
  </si>
  <si>
    <t>NOK Finale produksieskatting (ton)</t>
  </si>
  <si>
    <t>2025/26*</t>
  </si>
  <si>
    <t>2025/26 bemarkingsjaar</t>
  </si>
  <si>
    <t xml:space="preserve">Beraamde lewering vs NOK skatting / Delivery Estimate vs CEC Estimate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</si>
</sst>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1" defaultTableStyle="TableStyleMedium9" defaultPivotStyle="PivotStyleLight16">
    <tableStyle name="Invisible" pivot="0" table="0" count="0" xr9:uid="{0CD36EEA-E87F-4910-879D-0356C2C6FB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101</c:v>
                </c:pt>
                <c:pt idx="48">
                  <c:v>230</c:v>
                </c:pt>
                <c:pt idx="49">
                  <c:v>219</c:v>
                </c:pt>
                <c:pt idx="50">
                  <c:v>287</c:v>
                </c:pt>
                <c:pt idx="51">
                  <c:v>424</c:v>
                </c:pt>
                <c:pt idx="52">
                  <c:v>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Sunflower'!$K$4:$K$10</c:f>
              <c:numCache>
                <c:formatCode>_ * #\ ##0_ ;_ * \-#\ ##0_ ;_ * "-"??_ ;_ @_ </c:formatCode>
                <c:ptCount val="7"/>
                <c:pt idx="0">
                  <c:v>2990</c:v>
                </c:pt>
                <c:pt idx="1">
                  <c:v>16128</c:v>
                </c:pt>
                <c:pt idx="2">
                  <c:v>11411</c:v>
                </c:pt>
                <c:pt idx="3">
                  <c:v>26976</c:v>
                </c:pt>
                <c:pt idx="4">
                  <c:v>20196</c:v>
                </c:pt>
                <c:pt idx="5">
                  <c:v>11442</c:v>
                </c:pt>
                <c:pt idx="6">
                  <c:v>43458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2025_2026'!$G$7:$G$13</c:f>
              <c:numCache>
                <c:formatCode>_ * #\ ##0_ ;_ * \-#\ ##0_ ;_ * "-"??_ ;_ @_ </c:formatCode>
                <c:ptCount val="7"/>
                <c:pt idx="0">
                  <c:v>3168</c:v>
                </c:pt>
                <c:pt idx="1">
                  <c:v>21721</c:v>
                </c:pt>
                <c:pt idx="2">
                  <c:v>34179</c:v>
                </c:pt>
                <c:pt idx="3">
                  <c:v>64687</c:v>
                </c:pt>
                <c:pt idx="4">
                  <c:v>86139</c:v>
                </c:pt>
                <c:pt idx="5">
                  <c:v>98603</c:v>
                </c:pt>
                <c:pt idx="6">
                  <c:v>142061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634330</c:v>
                </c:pt>
                <c:pt idx="7">
                  <c:v>132601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1.093684620376379</c:v>
                </c:pt>
                <c:pt idx="5">
                  <c:v>1.0007208333333333</c:v>
                </c:pt>
                <c:pt idx="6">
                  <c:v>0.99776641761698781</c:v>
                </c:pt>
                <c:pt idx="7">
                  <c:v>0.17209733939000649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topLeftCell="B1" zoomScale="115" zoomScaleNormal="115" workbookViewId="0">
      <selection activeCell="C16" sqref="C1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63</v>
      </c>
      <c r="C2" s="126"/>
      <c r="D2" s="127"/>
      <c r="E2" s="69"/>
    </row>
    <row r="3" spans="2:6" ht="20.399999999999999" thickBot="1" x14ac:dyDescent="0.45">
      <c r="B3" s="128" t="s">
        <v>62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MAX('Sunflower 2025_2026'!G7:G59)</f>
        <v>142061</v>
      </c>
      <c r="D5" s="21" t="s">
        <v>37</v>
      </c>
    </row>
    <row r="6" spans="2:6" ht="15" thickTop="1" x14ac:dyDescent="0.3">
      <c r="B6" s="112" t="s">
        <v>59</v>
      </c>
      <c r="C6" s="113">
        <v>770500</v>
      </c>
      <c r="D6" s="114" t="s">
        <v>60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770500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0.18437508111615833</v>
      </c>
      <c r="D10" s="60" t="s">
        <v>32</v>
      </c>
    </row>
    <row r="11" spans="2:6" x14ac:dyDescent="0.25">
      <c r="B11" s="14" t="s">
        <v>10</v>
      </c>
      <c r="C11" s="17">
        <f>C9-C5</f>
        <v>628439</v>
      </c>
      <c r="D11" s="13" t="s">
        <v>11</v>
      </c>
    </row>
    <row r="12" spans="2:6" x14ac:dyDescent="0.25">
      <c r="B12" s="14" t="s">
        <v>38</v>
      </c>
      <c r="C12" s="18">
        <f>52-'Sunflower 2025_2026'!B13</f>
        <v>45</v>
      </c>
      <c r="D12" s="13" t="s">
        <v>39</v>
      </c>
    </row>
    <row r="13" spans="2:6" ht="13.2" hidden="1" customHeight="1" x14ac:dyDescent="0.25">
      <c r="B13" s="15" t="s">
        <v>14</v>
      </c>
      <c r="C13" s="19"/>
      <c r="D13" s="16"/>
    </row>
    <row r="14" spans="2:6" ht="13.2" hidden="1" customHeight="1" x14ac:dyDescent="0.25">
      <c r="B14" s="15" t="s">
        <v>15</v>
      </c>
      <c r="C14" s="19"/>
      <c r="D14" s="16"/>
    </row>
    <row r="15" spans="2:6" ht="13.2" hidden="1" customHeight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13965.31111111111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opLeftCell="A9"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-60</v>
      </c>
      <c r="F54" s="30">
        <f t="shared" ref="F54:F59" si="3">D54+E54</f>
        <v>101</v>
      </c>
      <c r="G54" s="105">
        <f t="shared" si="2"/>
        <v>630787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54</v>
      </c>
      <c r="F55" s="30">
        <f t="shared" si="3"/>
        <v>230</v>
      </c>
      <c r="G55" s="105">
        <f t="shared" si="2"/>
        <v>631017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65</v>
      </c>
      <c r="F56" s="30">
        <f t="shared" si="3"/>
        <v>219</v>
      </c>
      <c r="G56" s="105">
        <f t="shared" si="2"/>
        <v>631236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36</v>
      </c>
      <c r="F57" s="30">
        <f t="shared" si="3"/>
        <v>287</v>
      </c>
      <c r="G57" s="105">
        <f t="shared" si="2"/>
        <v>631523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631947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352</v>
      </c>
      <c r="F59" s="30">
        <f t="shared" si="3"/>
        <v>2383</v>
      </c>
      <c r="G59" s="105">
        <f t="shared" ref="G59" si="4">G58+F59</f>
        <v>634330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topLeftCell="A7" zoomScale="118" zoomScaleNormal="118" workbookViewId="0">
      <selection activeCell="I10" sqref="I10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178</v>
      </c>
      <c r="F7" s="30">
        <f t="shared" ref="F7:F59" si="0">D7+E7</f>
        <v>3168</v>
      </c>
      <c r="G7" s="32">
        <f>F7</f>
        <v>3168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2425</v>
      </c>
      <c r="F8" s="30">
        <f t="shared" si="0"/>
        <v>18553</v>
      </c>
      <c r="G8" s="105">
        <f t="shared" ref="G8:G59" si="2">G7+F8</f>
        <v>21721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1047</v>
      </c>
      <c r="F9" s="30">
        <f t="shared" si="0"/>
        <v>12458</v>
      </c>
      <c r="G9" s="105">
        <f t="shared" si="2"/>
        <v>34179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>
        <v>3532</v>
      </c>
      <c r="F10" s="30">
        <f t="shared" si="0"/>
        <v>30508</v>
      </c>
      <c r="G10" s="105">
        <f t="shared" si="2"/>
        <v>64687</v>
      </c>
    </row>
    <row r="11" spans="1:7" ht="14.4" x14ac:dyDescent="0.3">
      <c r="A11" s="23"/>
      <c r="B11" s="31">
        <v>5</v>
      </c>
      <c r="C11" s="83">
        <f t="shared" si="1"/>
        <v>45751</v>
      </c>
      <c r="D11" s="75">
        <v>20196</v>
      </c>
      <c r="E11" s="75">
        <v>1256</v>
      </c>
      <c r="F11" s="30">
        <f t="shared" si="0"/>
        <v>21452</v>
      </c>
      <c r="G11" s="105">
        <f t="shared" si="2"/>
        <v>86139</v>
      </c>
    </row>
    <row r="12" spans="1:7" ht="14.4" x14ac:dyDescent="0.3">
      <c r="A12" s="23"/>
      <c r="B12" s="33">
        <v>6</v>
      </c>
      <c r="C12" s="83">
        <f t="shared" si="1"/>
        <v>45758</v>
      </c>
      <c r="D12" s="75">
        <v>11442</v>
      </c>
      <c r="E12" s="75">
        <v>1022</v>
      </c>
      <c r="F12" s="30">
        <f t="shared" si="0"/>
        <v>12464</v>
      </c>
      <c r="G12" s="105">
        <f t="shared" si="2"/>
        <v>98603</v>
      </c>
    </row>
    <row r="13" spans="1:7" ht="14.4" x14ac:dyDescent="0.3">
      <c r="A13" s="23"/>
      <c r="B13" s="29">
        <v>7</v>
      </c>
      <c r="C13" s="83">
        <f t="shared" si="1"/>
        <v>45765</v>
      </c>
      <c r="D13" s="75">
        <v>43458</v>
      </c>
      <c r="E13" s="75"/>
      <c r="F13" s="30">
        <f t="shared" si="0"/>
        <v>43458</v>
      </c>
      <c r="G13" s="105">
        <f t="shared" si="2"/>
        <v>142061</v>
      </c>
    </row>
    <row r="14" spans="1:7" ht="14.4" x14ac:dyDescent="0.3">
      <c r="A14" s="23"/>
      <c r="B14" s="31">
        <v>8</v>
      </c>
      <c r="C14" s="83">
        <f t="shared" si="1"/>
        <v>45772</v>
      </c>
      <c r="D14" s="75"/>
      <c r="E14" s="75"/>
      <c r="F14" s="30">
        <f t="shared" si="0"/>
        <v>0</v>
      </c>
      <c r="G14" s="105">
        <f t="shared" si="2"/>
        <v>142061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/>
      <c r="E15" s="75"/>
      <c r="F15" s="30">
        <f t="shared" si="0"/>
        <v>0</v>
      </c>
      <c r="G15" s="105">
        <f t="shared" si="2"/>
        <v>142061</v>
      </c>
    </row>
    <row r="16" spans="1:7" ht="14.4" x14ac:dyDescent="0.3">
      <c r="A16" s="23"/>
      <c r="B16" s="33">
        <v>10</v>
      </c>
      <c r="C16" s="83">
        <f t="shared" si="1"/>
        <v>45786</v>
      </c>
      <c r="D16" s="75"/>
      <c r="E16" s="75"/>
      <c r="F16" s="30">
        <f t="shared" si="0"/>
        <v>0</v>
      </c>
      <c r="G16" s="105">
        <f t="shared" si="2"/>
        <v>142061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142061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142061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142061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142061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142061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142061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142061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142061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142061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142061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142061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142061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142061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142061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142061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142061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142061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142061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142061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142061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142061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142061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142061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142061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142061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142061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142061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142061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142061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142061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142061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142061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142061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142061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142061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142061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142061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142061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142061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142061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142061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142061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142061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4" sqref="L14:L15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61</v>
      </c>
      <c r="L3" s="70" t="s">
        <v>58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2025_2026'!D7</f>
        <v>2990</v>
      </c>
      <c r="L4" s="92">
        <f>AVERAGE(G4:K4)</f>
        <v>1678.4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2025_2026'!D8</f>
        <v>16128</v>
      </c>
      <c r="L5" s="92">
        <f t="shared" ref="L5:L9" si="0">AVERAGE(G5:K5)</f>
        <v>6908.6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2025_2026'!D9</f>
        <v>11411</v>
      </c>
      <c r="L6" s="92">
        <f t="shared" si="0"/>
        <v>10753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2025_2026'!D10</f>
        <v>26976</v>
      </c>
      <c r="L7" s="92">
        <f t="shared" si="0"/>
        <v>30547.200000000001</v>
      </c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>'Sunflower 2025_2026'!D11</f>
        <v>20196</v>
      </c>
      <c r="L8" s="92">
        <f t="shared" si="0"/>
        <v>12785.4</v>
      </c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>'Sunflower 2025_2026'!D12</f>
        <v>11442</v>
      </c>
      <c r="L9" s="92">
        <f t="shared" si="0"/>
        <v>20446.8</v>
      </c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>
        <f>'Sunflower 2025_2026'!D13</f>
        <v>43458</v>
      </c>
      <c r="L10" s="92">
        <f t="shared" ref="L10" si="1">AVERAGE(G10:K10)</f>
        <v>32527</v>
      </c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>
        <f>'Sunflower 2025_2026'!D14</f>
        <v>0</v>
      </c>
      <c r="L11" s="92"/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/>
      <c r="L12" s="92"/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/>
      <c r="L13" s="92"/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/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101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230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219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287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2383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770500</v>
      </c>
      <c r="I57" s="68">
        <v>720000</v>
      </c>
      <c r="J57" s="68">
        <v>635750</v>
      </c>
      <c r="K57" s="68">
        <v>770500</v>
      </c>
      <c r="L57" s="68">
        <f>AVERAGE(G57:K57)</f>
        <v>714950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2">D57-D58</f>
        <v>862000</v>
      </c>
      <c r="E59" s="93">
        <f t="shared" si="2"/>
        <v>678000</v>
      </c>
      <c r="F59" s="93">
        <f t="shared" si="2"/>
        <v>788500</v>
      </c>
      <c r="G59" s="93">
        <f t="shared" si="2"/>
        <v>678000</v>
      </c>
      <c r="H59" s="93">
        <f t="shared" si="2"/>
        <v>770500</v>
      </c>
      <c r="I59" s="93">
        <f t="shared" si="2"/>
        <v>720000</v>
      </c>
      <c r="J59" s="93">
        <f>J57-J58</f>
        <v>635750</v>
      </c>
      <c r="K59" s="93">
        <f>K57-K58</f>
        <v>770500</v>
      </c>
      <c r="L59" s="93">
        <f>L57-L58</f>
        <v>714950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3">D3</f>
        <v>2018/19</v>
      </c>
      <c r="E61" s="50" t="str">
        <f t="shared" si="3"/>
        <v>2019/20</v>
      </c>
      <c r="F61" s="50" t="str">
        <f t="shared" si="3"/>
        <v>2020/21</v>
      </c>
      <c r="G61" s="50" t="str">
        <f t="shared" si="3"/>
        <v>2021/22</v>
      </c>
      <c r="H61" s="50" t="str">
        <f t="shared" si="3"/>
        <v>2022/23</v>
      </c>
      <c r="I61" s="50" t="str">
        <f t="shared" si="3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634330</v>
      </c>
      <c r="K62" s="95">
        <f>SUM(K4:K56)</f>
        <v>132601</v>
      </c>
      <c r="L62" s="95">
        <f>SUM(L4:L27)</f>
        <v>115646.39999999999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4">D62/D59</f>
        <v>0.50761368909512761</v>
      </c>
      <c r="E64" s="106">
        <f t="shared" si="4"/>
        <v>0.44361209439528021</v>
      </c>
      <c r="F64" s="106">
        <f t="shared" si="4"/>
        <v>0.71529232720355107</v>
      </c>
      <c r="G64" s="106">
        <f t="shared" si="4"/>
        <v>0.73162536873156347</v>
      </c>
      <c r="H64" s="106">
        <f t="shared" si="4"/>
        <v>1.093684620376379</v>
      </c>
      <c r="I64" s="106">
        <f t="shared" si="4"/>
        <v>1.0007208333333333</v>
      </c>
      <c r="J64" s="106">
        <f>J62/J59</f>
        <v>0.99776641761698781</v>
      </c>
      <c r="K64" s="106">
        <f>K62/K59</f>
        <v>0.17209733939000649</v>
      </c>
      <c r="L64" s="106">
        <f>L62/L59</f>
        <v>0.1617545282886915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C77A93A-199C-43F7-A31A-C13FD325D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2025-04-30T11:17:32Z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