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95" windowWidth="11340" windowHeight="5460" tabRatio="863" firstSheet="1" activeTab="5"/>
  </bookViews>
  <sheets>
    <sheet name="Invoere 4jr vgl" sheetId="1" r:id="rId1"/>
    <sheet name="Invoere 2018_19" sheetId="2" r:id="rId2"/>
    <sheet name="Uitvoere 2018_19" sheetId="3" r:id="rId3"/>
    <sheet name="In en uitvoere 2018_19" sheetId="4" r:id="rId4"/>
    <sheet name="Data 2017_18" sheetId="5" r:id="rId5"/>
    <sheet name="Data 2018_19" sheetId="6" r:id="rId6"/>
    <sheet name="Land-Country data" sheetId="7" r:id="rId7"/>
    <sheet name="Import per harbour" sheetId="8" r:id="rId8"/>
  </sheets>
  <definedNames/>
  <calcPr fullCalcOnLoad="1"/>
</workbook>
</file>

<file path=xl/sharedStrings.xml><?xml version="1.0" encoding="utf-8"?>
<sst xmlns="http://schemas.openxmlformats.org/spreadsheetml/2006/main" count="191" uniqueCount="121">
  <si>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</si>
  <si>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</si>
  <si>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</si>
  <si>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</si>
  <si>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</si>
  <si>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</si>
  <si>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</si>
  <si>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</si>
  <si>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</si>
  <si>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</si>
  <si>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</si>
  <si>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</si>
  <si>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Swaziland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</si>
  <si>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</si>
  <si>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</si>
  <si>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</si>
  <si>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</si>
  <si>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</si>
  <si>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</si>
  <si>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</si>
  <si>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</si>
  <si>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</si>
  <si>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</si>
  <si>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</si>
  <si>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</si>
  <si>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</si>
  <si>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</si>
  <si>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</si>
  <si>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</si>
  <si>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</si>
  <si>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</si>
  <si>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</si>
  <si>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</si>
  <si>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</si>
  <si>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</si>
  <si>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KORING INVOERE EN UITVOERE PER LAND</t>
  </si>
  <si>
    <t>WHEAT IMPORTS AND EXPORTS PER COUNTRY</t>
  </si>
  <si>
    <t>Week ending</t>
  </si>
  <si>
    <t>Datum/Date</t>
  </si>
  <si>
    <t>In - uit/In-Out</t>
  </si>
  <si>
    <t>Progressief/Progressive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</si>
  <si>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</si>
  <si>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</si>
  <si>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</si>
  <si>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</si>
  <si>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</si>
  <si>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</si>
  <si>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</si>
  <si>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</si>
  <si>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</si>
  <si>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</si>
  <si>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</si>
  <si>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</si>
  <si>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</si>
  <si>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</si>
  <si>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</si>
  <si>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</si>
  <si>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</si>
  <si>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</si>
  <si>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</si>
  <si>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</si>
  <si>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</si>
  <si>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</si>
  <si>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</si>
  <si>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</si>
  <si>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</si>
  <si>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</si>
  <si>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</si>
  <si>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</si>
  <si>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</si>
  <si>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</si>
  <si>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</si>
  <si>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</si>
  <si>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</si>
  <si>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</si>
  <si>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</si>
  <si>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</si>
  <si>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</si>
  <si>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</si>
  <si>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</si>
  <si>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2015/2016</t>
  </si>
  <si>
    <t>Vanaf/From 27 Sep/Sep 2015 -              03-10-14</t>
  </si>
  <si>
    <t>2016/2017</t>
  </si>
  <si>
    <t>Opgedateer tot / Updated till:</t>
  </si>
  <si>
    <t>Durban</t>
  </si>
  <si>
    <t/>
  </si>
  <si>
    <t>Total</t>
  </si>
  <si>
    <t>SAGIS KORING WEEKLIKSE INVOERE PER HAWE/WHEAT WEEKLY IMPORTS PER HARBOUR</t>
  </si>
  <si>
    <t>Czech Republic</t>
  </si>
  <si>
    <t>Cape Town</t>
  </si>
  <si>
    <t>2017/2018</t>
  </si>
  <si>
    <t>Uitvoere/ Exports</t>
  </si>
  <si>
    <t>Invoere/Imports</t>
  </si>
  <si>
    <t>*Includes: Imports for RSA and Other Countries</t>
  </si>
  <si>
    <t>*Sluit in: Invoer vir RSA en Ander Lande</t>
  </si>
  <si>
    <t>2018/2019</t>
  </si>
  <si>
    <t>WHEAT: WEEKLY IMPORT PER HARBOUR - 2018/19 SEASON</t>
  </si>
  <si>
    <t>KORING: WEEKLIKSE INVOER PER HAWE - 2018/19 SEISOEN</t>
  </si>
  <si>
    <t>29 Sep - 05 Oct/Okt 2018</t>
  </si>
  <si>
    <t>06 Oct/Okt - 12 Oct/Okt 2018</t>
  </si>
  <si>
    <t>SAGIS: WEEKLIKSE INVOERE EN UITVOERE - KORING 2018/19</t>
  </si>
  <si>
    <t>SAGIS: WEEKLY IMPORTS AND EXPORTS - WHEAT 2018/19</t>
  </si>
  <si>
    <t>Vanaf/From 26 Sep/Sep 2016 -              02-10-15</t>
  </si>
  <si>
    <t>Vanaf/From 07 Okt/Oct 2017 -</t>
  </si>
  <si>
    <t>Port Elizabeth</t>
  </si>
  <si>
    <t>13 Oct/Okt - 19 Oct/Okt 2018</t>
  </si>
  <si>
    <t>20 Oct/Okt - 26 Oct/Okt 2018</t>
  </si>
  <si>
    <t>East London</t>
  </si>
  <si>
    <t>27 Oct/Okt - 02 Nov 2018</t>
  </si>
  <si>
    <t>03 Nov - 09 Nov 2018</t>
  </si>
  <si>
    <t>10 Nov - 16 Nov 2018</t>
  </si>
  <si>
    <t>Richards Bay</t>
  </si>
  <si>
    <t>17 Nov - 23 Nov 2018</t>
  </si>
  <si>
    <t>24 Nov - 30 Nov 2018</t>
  </si>
  <si>
    <t>01 Dec/Des - 07 Dec/Des 2018</t>
  </si>
  <si>
    <t>08 Dec/Des - 14 Dec/Des 2018</t>
  </si>
  <si>
    <t>15 Dec/Des - 21 Dec/Des 2018</t>
  </si>
  <si>
    <t>22 Dec/Des - 28 Dec/Des 2018</t>
  </si>
  <si>
    <t>29 Dec/Des - 04 Jan 2019</t>
  </si>
  <si>
    <t>*Total/Totaal</t>
  </si>
  <si>
    <t>05 Jan - 11 Jan 2019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</si>
</sst>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_ * #,##0.0_ ;_ * \-#,##0.0_ ;_ * &quot;-&quot;??_ ;_ @_ "/>
    <numFmt numFmtId="174" formatCode="_ * #,##0_ ;_ * \-#,##0_ ;_ * &quot;-&quot;??_ ;_ @_ "/>
    <numFmt numFmtId="175" formatCode="_ * #,##0.000_ ;_ * \-#,##0.000_ ;_ * &quot;-&quot;??_ ;_ @_ "/>
    <numFmt numFmtId="176" formatCode="_ * #,##0.0000_ ;_ * \-#,##0.0000_ ;_ * &quot;-&quot;??_ ;_ @_ "/>
    <numFmt numFmtId="177" formatCode="0_ ;\-0\ "/>
    <numFmt numFmtId="178" formatCode="_ * #\,##0_ ;_ * \-#\,##0_ ;_ * &quot;-&quot;??_ ;_ @_ "/>
    <numFmt numFmtId="179" formatCode="mmm\-yyyy"/>
    <numFmt numFmtId="180" formatCode="[$-1C09]dd\ mmmm\ yyyy"/>
    <numFmt numFmtId="181" formatCode="[$-F800]dddd\,\ mmmm\ dd\,\ yyyy"/>
    <numFmt numFmtId="182" formatCode="yy/mm/dd;@"/>
    <numFmt numFmtId="183" formatCode="dd/mm/yyyy;@"/>
    <numFmt numFmtId="184" formatCode="[$-436]dd\ mmmm\ yyyy"/>
    <numFmt numFmtId="185" formatCode="[$-436]dd\ mmmm\ yyyy;@"/>
    <numFmt numFmtId="186" formatCode="yyyy\-mm\-dd;@"/>
    <numFmt numFmtId="187" formatCode="d\-mmm\-yy"/>
    <numFmt numFmtId="188" formatCode="_ * #\ ##0_ ;_ * \-#\ ##0_ ;_ * &quot;-&quot;??_ ;_ @_ 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.45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74" fontId="0" fillId="0" borderId="10" xfId="42" applyNumberFormat="1" applyFont="1" applyBorder="1" applyAlignment="1">
      <alignment/>
    </xf>
    <xf numFmtId="174" fontId="2" fillId="0" borderId="10" xfId="42" applyNumberFormat="1" applyFont="1" applyBorder="1" applyAlignment="1">
      <alignment/>
    </xf>
    <xf numFmtId="174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2" fillId="0" borderId="11" xfId="42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5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174" fontId="0" fillId="0" borderId="14" xfId="42" applyNumberFormat="1" applyFon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15" xfId="42" applyNumberFormat="1" applyFont="1" applyFill="1" applyBorder="1" applyAlignment="1">
      <alignment/>
    </xf>
    <xf numFmtId="174" fontId="0" fillId="0" borderId="0" xfId="42" applyNumberFormat="1" applyFont="1" applyFill="1" applyAlignment="1">
      <alignment/>
    </xf>
    <xf numFmtId="174" fontId="1" fillId="0" borderId="0" xfId="42" applyNumberFormat="1" applyFont="1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42" applyNumberFormat="1" applyFont="1" applyFill="1" applyBorder="1" applyAlignment="1">
      <alignment/>
    </xf>
    <xf numFmtId="174" fontId="1" fillId="0" borderId="0" xfId="42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74" fontId="0" fillId="0" borderId="21" xfId="42" applyNumberFormat="1" applyFont="1" applyFill="1" applyBorder="1" applyAlignment="1">
      <alignment/>
    </xf>
    <xf numFmtId="174" fontId="0" fillId="0" borderId="22" xfId="42" applyNumberFormat="1" applyFont="1" applyFill="1" applyBorder="1" applyAlignment="1">
      <alignment/>
    </xf>
    <xf numFmtId="174" fontId="0" fillId="0" borderId="19" xfId="42" applyNumberFormat="1" applyFont="1" applyFill="1" applyBorder="1" applyAlignment="1">
      <alignment/>
    </xf>
    <xf numFmtId="174" fontId="0" fillId="0" borderId="20" xfId="42" applyNumberFormat="1" applyFont="1" applyFill="1" applyBorder="1" applyAlignment="1">
      <alignment/>
    </xf>
    <xf numFmtId="174" fontId="0" fillId="0" borderId="23" xfId="42" applyNumberFormat="1" applyFont="1" applyFill="1" applyBorder="1" applyAlignment="1">
      <alignment/>
    </xf>
    <xf numFmtId="174" fontId="0" fillId="0" borderId="24" xfId="42" applyNumberFormat="1" applyFont="1" applyFill="1" applyBorder="1" applyAlignment="1">
      <alignment/>
    </xf>
    <xf numFmtId="174" fontId="0" fillId="0" borderId="25" xfId="42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174" fontId="0" fillId="0" borderId="28" xfId="42" applyNumberFormat="1" applyFont="1" applyFill="1" applyBorder="1" applyAlignment="1">
      <alignment/>
    </xf>
    <xf numFmtId="174" fontId="0" fillId="0" borderId="27" xfId="42" applyNumberFormat="1" applyFont="1" applyFill="1" applyBorder="1" applyAlignment="1">
      <alignment/>
    </xf>
    <xf numFmtId="174" fontId="0" fillId="0" borderId="29" xfId="42" applyNumberFormat="1" applyFont="1" applyFill="1" applyBorder="1" applyAlignment="1">
      <alignment/>
    </xf>
    <xf numFmtId="174" fontId="0" fillId="0" borderId="30" xfId="42" applyNumberFormat="1" applyFont="1" applyFill="1" applyBorder="1" applyAlignment="1">
      <alignment/>
    </xf>
    <xf numFmtId="174" fontId="1" fillId="0" borderId="31" xfId="42" applyNumberFormat="1" applyFont="1" applyFill="1" applyBorder="1" applyAlignment="1">
      <alignment/>
    </xf>
    <xf numFmtId="174" fontId="1" fillId="0" borderId="13" xfId="42" applyNumberFormat="1" applyFont="1" applyFill="1" applyBorder="1" applyAlignment="1">
      <alignment/>
    </xf>
    <xf numFmtId="174" fontId="1" fillId="0" borderId="32" xfId="42" applyNumberFormat="1" applyFont="1" applyFill="1" applyBorder="1" applyAlignment="1">
      <alignment/>
    </xf>
    <xf numFmtId="174" fontId="1" fillId="0" borderId="33" xfId="42" applyNumberFormat="1" applyFont="1" applyFill="1" applyBorder="1" applyAlignment="1">
      <alignment/>
    </xf>
    <xf numFmtId="174" fontId="1" fillId="0" borderId="34" xfId="42" applyNumberFormat="1" applyFont="1" applyFill="1" applyBorder="1" applyAlignment="1">
      <alignment/>
    </xf>
    <xf numFmtId="174" fontId="1" fillId="0" borderId="35" xfId="42" applyNumberFormat="1" applyFont="1" applyFill="1" applyBorder="1" applyAlignment="1">
      <alignment/>
    </xf>
    <xf numFmtId="174" fontId="1" fillId="0" borderId="36" xfId="42" applyNumberFormat="1" applyFont="1" applyFill="1" applyBorder="1" applyAlignment="1">
      <alignment/>
    </xf>
    <xf numFmtId="174" fontId="0" fillId="0" borderId="20" xfId="42" applyNumberFormat="1" applyFont="1" applyFill="1" applyBorder="1" applyAlignment="1">
      <alignment horizontal="right"/>
    </xf>
    <xf numFmtId="174" fontId="0" fillId="0" borderId="20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4" fontId="2" fillId="0" borderId="37" xfId="42" applyNumberFormat="1" applyFont="1" applyBorder="1" applyAlignment="1">
      <alignment/>
    </xf>
    <xf numFmtId="174" fontId="0" fillId="0" borderId="37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4" fontId="1" fillId="0" borderId="38" xfId="42" applyNumberFormat="1" applyFont="1" applyFill="1" applyBorder="1" applyAlignment="1">
      <alignment/>
    </xf>
    <xf numFmtId="15" fontId="0" fillId="0" borderId="0" xfId="0" applyNumberFormat="1" applyFont="1" applyFill="1" applyAlignment="1">
      <alignment horizontal="left"/>
    </xf>
    <xf numFmtId="1" fontId="0" fillId="0" borderId="20" xfId="0" applyNumberForma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74" fontId="0" fillId="0" borderId="25" xfId="42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39" xfId="42" applyNumberFormat="1" applyFont="1" applyFill="1" applyBorder="1" applyAlignment="1">
      <alignment/>
    </xf>
    <xf numFmtId="174" fontId="0" fillId="0" borderId="40" xfId="42" applyNumberFormat="1" applyFont="1" applyFill="1" applyBorder="1" applyAlignment="1">
      <alignment/>
    </xf>
    <xf numFmtId="174" fontId="0" fillId="0" borderId="41" xfId="42" applyNumberFormat="1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174" fontId="0" fillId="0" borderId="17" xfId="42" applyNumberFormat="1" applyFont="1" applyFill="1" applyBorder="1" applyAlignment="1">
      <alignment/>
    </xf>
    <xf numFmtId="174" fontId="0" fillId="0" borderId="18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/>
    </xf>
    <xf numFmtId="174" fontId="0" fillId="0" borderId="45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174" fontId="2" fillId="0" borderId="46" xfId="42" applyNumberFormat="1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83" fontId="1" fillId="0" borderId="38" xfId="0" applyNumberFormat="1" applyFont="1" applyFill="1" applyBorder="1" applyAlignment="1">
      <alignment horizontal="left"/>
    </xf>
    <xf numFmtId="183" fontId="1" fillId="0" borderId="38" xfId="0" applyNumberFormat="1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15" fontId="6" fillId="0" borderId="12" xfId="54" applyNumberFormat="1" applyFont="1" applyFill="1" applyBorder="1" applyAlignment="1">
      <alignment horizontal="center"/>
    </xf>
    <xf numFmtId="15" fontId="6" fillId="0" borderId="10" xfId="54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left"/>
    </xf>
    <xf numFmtId="15" fontId="6" fillId="0" borderId="37" xfId="54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8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56" fillId="0" borderId="49" xfId="0" applyNumberFormat="1" applyFont="1" applyBorder="1" applyAlignment="1">
      <alignment horizontal="center"/>
    </xf>
    <xf numFmtId="0" fontId="56" fillId="0" borderId="50" xfId="0" applyNumberFormat="1" applyFont="1" applyBorder="1" applyAlignment="1">
      <alignment horizontal="center"/>
    </xf>
    <xf numFmtId="0" fontId="56" fillId="0" borderId="51" xfId="0" applyNumberFormat="1" applyFont="1" applyBorder="1" applyAlignment="1">
      <alignment horizontal="center"/>
    </xf>
    <xf numFmtId="0" fontId="57" fillId="0" borderId="49" xfId="0" applyNumberFormat="1" applyFont="1" applyBorder="1" applyAlignment="1">
      <alignment horizontal="left"/>
    </xf>
    <xf numFmtId="0" fontId="57" fillId="0" borderId="50" xfId="0" applyNumberFormat="1" applyFont="1" applyBorder="1" applyAlignment="1">
      <alignment horizontal="left"/>
    </xf>
    <xf numFmtId="0" fontId="57" fillId="0" borderId="51" xfId="0" applyNumberFormat="1" applyFont="1" applyBorder="1" applyAlignment="1">
      <alignment horizontal="left"/>
    </xf>
    <xf numFmtId="0" fontId="57" fillId="0" borderId="52" xfId="0" applyNumberFormat="1" applyFont="1" applyBorder="1" applyAlignment="1">
      <alignment horizontal="center"/>
    </xf>
    <xf numFmtId="3" fontId="57" fillId="0" borderId="52" xfId="0" applyNumberFormat="1" applyFont="1" applyBorder="1" applyAlignment="1">
      <alignment horizontal="right"/>
    </xf>
    <xf numFmtId="3" fontId="58" fillId="0" borderId="52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South African Wheat Imports /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Suid-Afrikaanse Koring Invoere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4"/>
          <c:w val="0.9465"/>
          <c:h val="0.794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'Land-Country data'!$M$23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data'!$M$24:$M$42</c:f>
              <c:numCache>
                <c:ptCount val="19"/>
                <c:pt idx="2">
                  <c:v>59769</c:v>
                </c:pt>
                <c:pt idx="3">
                  <c:v>113093</c:v>
                </c:pt>
                <c:pt idx="4">
                  <c:v>178139</c:v>
                </c:pt>
                <c:pt idx="5">
                  <c:v>794609</c:v>
                </c:pt>
                <c:pt idx="8">
                  <c:v>50595</c:v>
                </c:pt>
                <c:pt idx="9">
                  <c:v>372431</c:v>
                </c:pt>
                <c:pt idx="12">
                  <c:v>25430</c:v>
                </c:pt>
                <c:pt idx="14">
                  <c:v>22014</c:v>
                </c:pt>
                <c:pt idx="15">
                  <c:v>40532</c:v>
                </c:pt>
              </c:numCache>
            </c:numRef>
          </c:val>
        </c:ser>
        <c:ser>
          <c:idx val="11"/>
          <c:order val="1"/>
          <c:tx>
            <c:strRef>
              <c:f>'Land-Country data'!$N$23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data'!$N$24:$N$42</c:f>
              <c:numCache>
                <c:ptCount val="19"/>
                <c:pt idx="2">
                  <c:v>28311</c:v>
                </c:pt>
                <c:pt idx="3">
                  <c:v>106521</c:v>
                </c:pt>
                <c:pt idx="4">
                  <c:v>355263</c:v>
                </c:pt>
                <c:pt idx="5">
                  <c:v>667838</c:v>
                </c:pt>
                <c:pt idx="7">
                  <c:v>58987</c:v>
                </c:pt>
                <c:pt idx="8">
                  <c:v>98192</c:v>
                </c:pt>
                <c:pt idx="9">
                  <c:v>273721</c:v>
                </c:pt>
                <c:pt idx="14">
                  <c:v>61005</c:v>
                </c:pt>
                <c:pt idx="15">
                  <c:v>43791</c:v>
                </c:pt>
                <c:pt idx="16">
                  <c:v>91483</c:v>
                </c:pt>
              </c:numCache>
            </c:numRef>
          </c:val>
        </c:ser>
        <c:ser>
          <c:idx val="1"/>
          <c:order val="2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data'!$P$24:$P$42</c:f>
              <c:numCache>
                <c:ptCount val="19"/>
                <c:pt idx="2">
                  <c:v>60941</c:v>
                </c:pt>
                <c:pt idx="3">
                  <c:v>27841</c:v>
                </c:pt>
                <c:pt idx="4">
                  <c:v>237464</c:v>
                </c:pt>
                <c:pt idx="5">
                  <c:v>182961</c:v>
                </c:pt>
                <c:pt idx="7">
                  <c:v>35613</c:v>
                </c:pt>
                <c:pt idx="8">
                  <c:v>24679</c:v>
                </c:pt>
                <c:pt idx="9">
                  <c:v>10896</c:v>
                </c:pt>
                <c:pt idx="14">
                  <c:v>16905</c:v>
                </c:pt>
                <c:pt idx="16">
                  <c:v>76905</c:v>
                </c:pt>
                <c:pt idx="17">
                  <c:v>144246</c:v>
                </c:pt>
                <c:pt idx="18">
                  <c:v>112277</c:v>
                </c:pt>
              </c:numCache>
            </c:numRef>
          </c:val>
        </c:ser>
        <c:ser>
          <c:idx val="0"/>
          <c:order val="3"/>
          <c:tx>
            <c:strRef>
              <c:f>'Land-Country data'!$Q$23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data'!$Q$24:$Q$42</c:f>
              <c:numCache>
                <c:ptCount val="19"/>
                <c:pt idx="2">
                  <c:v>87032</c:v>
                </c:pt>
                <c:pt idx="3">
                  <c:v>90694</c:v>
                </c:pt>
                <c:pt idx="4">
                  <c:v>282312</c:v>
                </c:pt>
                <c:pt idx="5">
                  <c:v>957782</c:v>
                </c:pt>
                <c:pt idx="7">
                  <c:v>132433</c:v>
                </c:pt>
                <c:pt idx="9">
                  <c:v>135669</c:v>
                </c:pt>
                <c:pt idx="14">
                  <c:v>140007</c:v>
                </c:pt>
                <c:pt idx="15">
                  <c:v>184436</c:v>
                </c:pt>
                <c:pt idx="16">
                  <c:v>17514</c:v>
                </c:pt>
                <c:pt idx="17">
                  <c:v>47904</c:v>
                </c:pt>
                <c:pt idx="18">
                  <c:v>101449</c:v>
                </c:pt>
              </c:numCache>
            </c:numRef>
          </c:val>
        </c:ser>
        <c:ser>
          <c:idx val="2"/>
          <c:order val="4"/>
          <c:tx>
            <c:strRef>
              <c:f>'Land-Country data'!$R$23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data'!$R$24:$R$42</c:f>
              <c:numCache>
                <c:ptCount val="19"/>
                <c:pt idx="2">
                  <c:v>7950</c:v>
                </c:pt>
                <c:pt idx="3">
                  <c:v>34978</c:v>
                </c:pt>
                <c:pt idx="5">
                  <c:v>83276</c:v>
                </c:pt>
                <c:pt idx="7">
                  <c:v>35476</c:v>
                </c:pt>
                <c:pt idx="9">
                  <c:v>22084</c:v>
                </c:pt>
              </c:numCache>
            </c:numRef>
          </c:val>
        </c:ser>
        <c:overlap val="-25"/>
        <c:gapWidth val="75"/>
        <c:axId val="502"/>
        <c:axId val="4519"/>
      </c:barChart>
      <c:catAx>
        <c:axId val="5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9"/>
        <c:crosses val="autoZero"/>
        <c:auto val="1"/>
        <c:lblOffset val="100"/>
        <c:tickLblSkip val="1"/>
        <c:noMultiLvlLbl val="0"/>
      </c:catAx>
      <c:valAx>
        <c:axId val="45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2"/>
        <c:crossesAt val="1"/>
        <c:crossBetween val="between"/>
        <c:dispUnits/>
        <c:majorUnit val="50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75"/>
          <c:y val="0.94175"/>
          <c:w val="0.0662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Koringinvoere/Wheat imports - 2018/2019 (ton) </a:t>
            </a:r>
          </a:p>
        </c:rich>
      </c:tx>
      <c:layout>
        <c:manualLayout>
          <c:xMode val="factor"/>
          <c:yMode val="factor"/>
          <c:x val="-0.003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5"/>
          <c:y val="0.15425"/>
          <c:w val="0.46775"/>
          <c:h val="0.7625"/>
        </c:manualLayout>
      </c:layout>
      <c:pieChart>
        <c:varyColors val="1"/>
        <c:ser>
          <c:idx val="0"/>
          <c:order val="0"/>
          <c:tx>
            <c:strRef>
              <c:f>'Land-Country data'!$R$23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data'!$R$24:$R$42</c:f>
              <c:numCache>
                <c:ptCount val="19"/>
                <c:pt idx="2">
                  <c:v>7950</c:v>
                </c:pt>
                <c:pt idx="3">
                  <c:v>34978</c:v>
                </c:pt>
                <c:pt idx="5">
                  <c:v>83276</c:v>
                </c:pt>
                <c:pt idx="7">
                  <c:v>35476</c:v>
                </c:pt>
                <c:pt idx="9">
                  <c:v>22084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Koringuitvoere/Wheat exports - 2018/2019 (ton)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825"/>
          <c:y val="0.19825"/>
          <c:w val="0.44175"/>
          <c:h val="0.72"/>
        </c:manualLayout>
      </c:layout>
      <c:pieChart>
        <c:varyColors val="1"/>
        <c:ser>
          <c:idx val="0"/>
          <c:order val="0"/>
          <c:tx>
            <c:strRef>
              <c:f>'Land-Country data'!$Q$50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data'!$A$51:$A$62</c:f>
              <c:strCache>
                <c:ptCount val="12"/>
                <c:pt idx="0">
                  <c:v>Swaziland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data'!$R$51:$R$63</c:f>
              <c:numCache>
                <c:ptCount val="13"/>
                <c:pt idx="1">
                  <c:v>1688</c:v>
                </c:pt>
                <c:pt idx="2">
                  <c:v>2029</c:v>
                </c:pt>
                <c:pt idx="3">
                  <c:v>4784</c:v>
                </c:pt>
                <c:pt idx="4">
                  <c:v>5141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KORING: IN EN UITVOERE (2018/2019)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: IMPORTS AND EXPORTS (2016/2017)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1025"/>
          <c:w val="0.980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'Data 2017_18'!$C$7</c:f>
              <c:strCache>
                <c:ptCount val="1"/>
                <c:pt idx="0">
                  <c:v>Uitvoere/ 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2017_18'!$B$10:$B$61</c:f>
              <c:strCache>
                <c:ptCount val="52"/>
                <c:pt idx="0">
                  <c:v>43014</c:v>
                </c:pt>
                <c:pt idx="1">
                  <c:v>43021</c:v>
                </c:pt>
                <c:pt idx="2">
                  <c:v>43028</c:v>
                </c:pt>
                <c:pt idx="3">
                  <c:v>43035</c:v>
                </c:pt>
                <c:pt idx="4">
                  <c:v>43042</c:v>
                </c:pt>
                <c:pt idx="5">
                  <c:v>43049</c:v>
                </c:pt>
                <c:pt idx="6">
                  <c:v>43056</c:v>
                </c:pt>
                <c:pt idx="7">
                  <c:v>43063</c:v>
                </c:pt>
                <c:pt idx="8">
                  <c:v>43070</c:v>
                </c:pt>
                <c:pt idx="9">
                  <c:v>43077</c:v>
                </c:pt>
                <c:pt idx="10">
                  <c:v>43084</c:v>
                </c:pt>
                <c:pt idx="11">
                  <c:v>43091</c:v>
                </c:pt>
                <c:pt idx="12">
                  <c:v>43098</c:v>
                </c:pt>
                <c:pt idx="13">
                  <c:v>43105</c:v>
                </c:pt>
                <c:pt idx="14">
                  <c:v>43112</c:v>
                </c:pt>
                <c:pt idx="15">
                  <c:v>43119</c:v>
                </c:pt>
                <c:pt idx="16">
                  <c:v>43126</c:v>
                </c:pt>
                <c:pt idx="17">
                  <c:v>43133</c:v>
                </c:pt>
                <c:pt idx="18">
                  <c:v>43140</c:v>
                </c:pt>
                <c:pt idx="19">
                  <c:v>43147</c:v>
                </c:pt>
                <c:pt idx="20">
                  <c:v>43154</c:v>
                </c:pt>
                <c:pt idx="21">
                  <c:v>43161</c:v>
                </c:pt>
                <c:pt idx="22">
                  <c:v>43168</c:v>
                </c:pt>
                <c:pt idx="23">
                  <c:v>43175</c:v>
                </c:pt>
                <c:pt idx="24">
                  <c:v>43182</c:v>
                </c:pt>
                <c:pt idx="25">
                  <c:v>43189</c:v>
                </c:pt>
                <c:pt idx="26">
                  <c:v>43196</c:v>
                </c:pt>
                <c:pt idx="27">
                  <c:v>43203</c:v>
                </c:pt>
                <c:pt idx="28">
                  <c:v>43210</c:v>
                </c:pt>
                <c:pt idx="29">
                  <c:v>43217</c:v>
                </c:pt>
                <c:pt idx="30">
                  <c:v>43224</c:v>
                </c:pt>
                <c:pt idx="31">
                  <c:v>43231</c:v>
                </c:pt>
                <c:pt idx="32">
                  <c:v>43238</c:v>
                </c:pt>
                <c:pt idx="33">
                  <c:v>43245</c:v>
                </c:pt>
                <c:pt idx="34">
                  <c:v>43252</c:v>
                </c:pt>
                <c:pt idx="35">
                  <c:v>43259</c:v>
                </c:pt>
                <c:pt idx="36">
                  <c:v>43266</c:v>
                </c:pt>
                <c:pt idx="37">
                  <c:v>43273</c:v>
                </c:pt>
                <c:pt idx="38">
                  <c:v>43280</c:v>
                </c:pt>
                <c:pt idx="39">
                  <c:v>43287</c:v>
                </c:pt>
                <c:pt idx="40">
                  <c:v>43294</c:v>
                </c:pt>
                <c:pt idx="41">
                  <c:v>43301</c:v>
                </c:pt>
                <c:pt idx="42">
                  <c:v>43308</c:v>
                </c:pt>
                <c:pt idx="43">
                  <c:v>43315</c:v>
                </c:pt>
                <c:pt idx="44">
                  <c:v>43322</c:v>
                </c:pt>
                <c:pt idx="45">
                  <c:v>43329</c:v>
                </c:pt>
                <c:pt idx="46">
                  <c:v>43336</c:v>
                </c:pt>
                <c:pt idx="47">
                  <c:v>43343</c:v>
                </c:pt>
                <c:pt idx="48">
                  <c:v>43350</c:v>
                </c:pt>
                <c:pt idx="49">
                  <c:v>43357</c:v>
                </c:pt>
                <c:pt idx="50">
                  <c:v>43364</c:v>
                </c:pt>
                <c:pt idx="51">
                  <c:v>43371</c:v>
                </c:pt>
              </c:strCache>
            </c:strRef>
          </c:cat>
          <c:val>
            <c:numRef>
              <c:f>'Data 2017_18'!$C$10:$C$61</c:f>
              <c:numCache>
                <c:ptCount val="52"/>
                <c:pt idx="0">
                  <c:v>67</c:v>
                </c:pt>
                <c:pt idx="1">
                  <c:v>766</c:v>
                </c:pt>
                <c:pt idx="2">
                  <c:v>572</c:v>
                </c:pt>
                <c:pt idx="3">
                  <c:v>242</c:v>
                </c:pt>
                <c:pt idx="4">
                  <c:v>33</c:v>
                </c:pt>
                <c:pt idx="5">
                  <c:v>34</c:v>
                </c:pt>
                <c:pt idx="6">
                  <c:v>854</c:v>
                </c:pt>
                <c:pt idx="7">
                  <c:v>626</c:v>
                </c:pt>
                <c:pt idx="8">
                  <c:v>99</c:v>
                </c:pt>
                <c:pt idx="9">
                  <c:v>401</c:v>
                </c:pt>
                <c:pt idx="10">
                  <c:v>0</c:v>
                </c:pt>
                <c:pt idx="11">
                  <c:v>0</c:v>
                </c:pt>
                <c:pt idx="12">
                  <c:v>1265</c:v>
                </c:pt>
                <c:pt idx="13">
                  <c:v>425</c:v>
                </c:pt>
                <c:pt idx="14">
                  <c:v>0</c:v>
                </c:pt>
                <c:pt idx="15">
                  <c:v>101</c:v>
                </c:pt>
                <c:pt idx="16">
                  <c:v>4651</c:v>
                </c:pt>
                <c:pt idx="17">
                  <c:v>1324</c:v>
                </c:pt>
                <c:pt idx="18">
                  <c:v>542</c:v>
                </c:pt>
                <c:pt idx="19">
                  <c:v>1822</c:v>
                </c:pt>
                <c:pt idx="20">
                  <c:v>2560</c:v>
                </c:pt>
                <c:pt idx="21">
                  <c:v>802</c:v>
                </c:pt>
                <c:pt idx="22">
                  <c:v>67</c:v>
                </c:pt>
                <c:pt idx="23">
                  <c:v>663</c:v>
                </c:pt>
                <c:pt idx="24">
                  <c:v>1227</c:v>
                </c:pt>
                <c:pt idx="25">
                  <c:v>2280</c:v>
                </c:pt>
                <c:pt idx="26">
                  <c:v>3178</c:v>
                </c:pt>
                <c:pt idx="27">
                  <c:v>4316</c:v>
                </c:pt>
                <c:pt idx="28">
                  <c:v>2463</c:v>
                </c:pt>
                <c:pt idx="29">
                  <c:v>2443</c:v>
                </c:pt>
                <c:pt idx="30">
                  <c:v>1870</c:v>
                </c:pt>
                <c:pt idx="31">
                  <c:v>2133</c:v>
                </c:pt>
                <c:pt idx="32">
                  <c:v>2165</c:v>
                </c:pt>
                <c:pt idx="33">
                  <c:v>2135</c:v>
                </c:pt>
                <c:pt idx="34">
                  <c:v>1754</c:v>
                </c:pt>
                <c:pt idx="35">
                  <c:v>719</c:v>
                </c:pt>
                <c:pt idx="36">
                  <c:v>2904</c:v>
                </c:pt>
                <c:pt idx="37">
                  <c:v>3433</c:v>
                </c:pt>
                <c:pt idx="38">
                  <c:v>3548</c:v>
                </c:pt>
                <c:pt idx="39">
                  <c:v>2551</c:v>
                </c:pt>
                <c:pt idx="40">
                  <c:v>1410</c:v>
                </c:pt>
                <c:pt idx="41">
                  <c:v>59</c:v>
                </c:pt>
                <c:pt idx="42">
                  <c:v>1208</c:v>
                </c:pt>
                <c:pt idx="43">
                  <c:v>2051</c:v>
                </c:pt>
                <c:pt idx="44">
                  <c:v>1332</c:v>
                </c:pt>
                <c:pt idx="45">
                  <c:v>3135</c:v>
                </c:pt>
                <c:pt idx="46">
                  <c:v>1443</c:v>
                </c:pt>
                <c:pt idx="47">
                  <c:v>2092</c:v>
                </c:pt>
                <c:pt idx="48">
                  <c:v>2438</c:v>
                </c:pt>
                <c:pt idx="49">
                  <c:v>1827</c:v>
                </c:pt>
                <c:pt idx="50">
                  <c:v>453</c:v>
                </c:pt>
                <c:pt idx="51">
                  <c:v>1052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2017_18'!$E$7</c:f>
              <c:strCache>
                <c:ptCount val="1"/>
                <c:pt idx="0">
                  <c:v>Invoere/Imports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2017_18'!$B$10:$B$61</c:f>
              <c:strCache>
                <c:ptCount val="52"/>
                <c:pt idx="0">
                  <c:v>43014</c:v>
                </c:pt>
                <c:pt idx="1">
                  <c:v>43021</c:v>
                </c:pt>
                <c:pt idx="2">
                  <c:v>43028</c:v>
                </c:pt>
                <c:pt idx="3">
                  <c:v>43035</c:v>
                </c:pt>
                <c:pt idx="4">
                  <c:v>43042</c:v>
                </c:pt>
                <c:pt idx="5">
                  <c:v>43049</c:v>
                </c:pt>
                <c:pt idx="6">
                  <c:v>43056</c:v>
                </c:pt>
                <c:pt idx="7">
                  <c:v>43063</c:v>
                </c:pt>
                <c:pt idx="8">
                  <c:v>43070</c:v>
                </c:pt>
                <c:pt idx="9">
                  <c:v>43077</c:v>
                </c:pt>
                <c:pt idx="10">
                  <c:v>43084</c:v>
                </c:pt>
                <c:pt idx="11">
                  <c:v>43091</c:v>
                </c:pt>
                <c:pt idx="12">
                  <c:v>43098</c:v>
                </c:pt>
                <c:pt idx="13">
                  <c:v>43105</c:v>
                </c:pt>
                <c:pt idx="14">
                  <c:v>43112</c:v>
                </c:pt>
                <c:pt idx="15">
                  <c:v>43119</c:v>
                </c:pt>
                <c:pt idx="16">
                  <c:v>43126</c:v>
                </c:pt>
                <c:pt idx="17">
                  <c:v>43133</c:v>
                </c:pt>
                <c:pt idx="18">
                  <c:v>43140</c:v>
                </c:pt>
                <c:pt idx="19">
                  <c:v>43147</c:v>
                </c:pt>
                <c:pt idx="20">
                  <c:v>43154</c:v>
                </c:pt>
                <c:pt idx="21">
                  <c:v>43161</c:v>
                </c:pt>
                <c:pt idx="22">
                  <c:v>43168</c:v>
                </c:pt>
                <c:pt idx="23">
                  <c:v>43175</c:v>
                </c:pt>
                <c:pt idx="24">
                  <c:v>43182</c:v>
                </c:pt>
                <c:pt idx="25">
                  <c:v>43189</c:v>
                </c:pt>
                <c:pt idx="26">
                  <c:v>43196</c:v>
                </c:pt>
                <c:pt idx="27">
                  <c:v>43203</c:v>
                </c:pt>
                <c:pt idx="28">
                  <c:v>43210</c:v>
                </c:pt>
                <c:pt idx="29">
                  <c:v>43217</c:v>
                </c:pt>
                <c:pt idx="30">
                  <c:v>43224</c:v>
                </c:pt>
                <c:pt idx="31">
                  <c:v>43231</c:v>
                </c:pt>
                <c:pt idx="32">
                  <c:v>43238</c:v>
                </c:pt>
                <c:pt idx="33">
                  <c:v>43245</c:v>
                </c:pt>
                <c:pt idx="34">
                  <c:v>43252</c:v>
                </c:pt>
                <c:pt idx="35">
                  <c:v>43259</c:v>
                </c:pt>
                <c:pt idx="36">
                  <c:v>43266</c:v>
                </c:pt>
                <c:pt idx="37">
                  <c:v>43273</c:v>
                </c:pt>
                <c:pt idx="38">
                  <c:v>43280</c:v>
                </c:pt>
                <c:pt idx="39">
                  <c:v>43287</c:v>
                </c:pt>
                <c:pt idx="40">
                  <c:v>43294</c:v>
                </c:pt>
                <c:pt idx="41">
                  <c:v>43301</c:v>
                </c:pt>
                <c:pt idx="42">
                  <c:v>43308</c:v>
                </c:pt>
                <c:pt idx="43">
                  <c:v>43315</c:v>
                </c:pt>
                <c:pt idx="44">
                  <c:v>43322</c:v>
                </c:pt>
                <c:pt idx="45">
                  <c:v>43329</c:v>
                </c:pt>
                <c:pt idx="46">
                  <c:v>43336</c:v>
                </c:pt>
                <c:pt idx="47">
                  <c:v>43343</c:v>
                </c:pt>
                <c:pt idx="48">
                  <c:v>43350</c:v>
                </c:pt>
                <c:pt idx="49">
                  <c:v>43357</c:v>
                </c:pt>
                <c:pt idx="50">
                  <c:v>43364</c:v>
                </c:pt>
                <c:pt idx="51">
                  <c:v>43371</c:v>
                </c:pt>
              </c:strCache>
            </c:strRef>
          </c:cat>
          <c:val>
            <c:numRef>
              <c:f>'Data 2017_18'!$E$10:$E$61</c:f>
              <c:numCache>
                <c:ptCount val="52"/>
                <c:pt idx="0">
                  <c:v>34766</c:v>
                </c:pt>
                <c:pt idx="1">
                  <c:v>84743</c:v>
                </c:pt>
                <c:pt idx="2">
                  <c:v>129545</c:v>
                </c:pt>
                <c:pt idx="3">
                  <c:v>63087</c:v>
                </c:pt>
                <c:pt idx="4">
                  <c:v>83673</c:v>
                </c:pt>
                <c:pt idx="5">
                  <c:v>34585</c:v>
                </c:pt>
                <c:pt idx="6">
                  <c:v>32641</c:v>
                </c:pt>
                <c:pt idx="7">
                  <c:v>57195</c:v>
                </c:pt>
                <c:pt idx="8">
                  <c:v>55969</c:v>
                </c:pt>
                <c:pt idx="9">
                  <c:v>1714</c:v>
                </c:pt>
                <c:pt idx="10">
                  <c:v>0</c:v>
                </c:pt>
                <c:pt idx="11">
                  <c:v>0</c:v>
                </c:pt>
                <c:pt idx="12">
                  <c:v>41416</c:v>
                </c:pt>
                <c:pt idx="13">
                  <c:v>0</c:v>
                </c:pt>
                <c:pt idx="14">
                  <c:v>10007</c:v>
                </c:pt>
                <c:pt idx="15">
                  <c:v>44561</c:v>
                </c:pt>
                <c:pt idx="16">
                  <c:v>22419</c:v>
                </c:pt>
                <c:pt idx="17">
                  <c:v>58722</c:v>
                </c:pt>
                <c:pt idx="18">
                  <c:v>64065</c:v>
                </c:pt>
                <c:pt idx="19">
                  <c:v>95837</c:v>
                </c:pt>
                <c:pt idx="20">
                  <c:v>56786</c:v>
                </c:pt>
                <c:pt idx="21">
                  <c:v>101115</c:v>
                </c:pt>
                <c:pt idx="22">
                  <c:v>53262</c:v>
                </c:pt>
                <c:pt idx="23">
                  <c:v>21627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16405</c:v>
                </c:pt>
                <c:pt idx="32">
                  <c:v>57876</c:v>
                </c:pt>
                <c:pt idx="33">
                  <c:v>21482</c:v>
                </c:pt>
                <c:pt idx="34">
                  <c:v>53271</c:v>
                </c:pt>
                <c:pt idx="35">
                  <c:v>29017</c:v>
                </c:pt>
                <c:pt idx="36">
                  <c:v>101572</c:v>
                </c:pt>
                <c:pt idx="37">
                  <c:v>79636</c:v>
                </c:pt>
                <c:pt idx="38">
                  <c:v>58725</c:v>
                </c:pt>
                <c:pt idx="39">
                  <c:v>56011</c:v>
                </c:pt>
                <c:pt idx="40">
                  <c:v>25524</c:v>
                </c:pt>
                <c:pt idx="41">
                  <c:v>56667</c:v>
                </c:pt>
                <c:pt idx="42">
                  <c:v>21699</c:v>
                </c:pt>
                <c:pt idx="43">
                  <c:v>64132</c:v>
                </c:pt>
                <c:pt idx="44">
                  <c:v>22900</c:v>
                </c:pt>
                <c:pt idx="45">
                  <c:v>37529</c:v>
                </c:pt>
                <c:pt idx="46">
                  <c:v>48962</c:v>
                </c:pt>
                <c:pt idx="47">
                  <c:v>75307</c:v>
                </c:pt>
                <c:pt idx="48">
                  <c:v>85086</c:v>
                </c:pt>
                <c:pt idx="49">
                  <c:v>41299</c:v>
                </c:pt>
                <c:pt idx="50">
                  <c:v>52951</c:v>
                </c:pt>
                <c:pt idx="51">
                  <c:v>23446</c:v>
                </c:pt>
              </c:numCache>
            </c:numRef>
          </c:val>
          <c:smooth val="0"/>
        </c:ser>
        <c:marker val="1"/>
        <c:axId val="40672"/>
        <c:axId val="366049"/>
      </c:lineChart>
      <c:dateAx>
        <c:axId val="40672"/>
        <c:scaling>
          <c:orientation val="minMax"/>
          <c:max val="43496"/>
        </c:scaling>
        <c:axPos val="b"/>
        <c:delete val="0"/>
        <c:numFmt formatCode="d\-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4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6049"/>
        <c:scaling>
          <c:orientation val="minMax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"/>
          <c:y val="0.9415"/>
          <c:w val="0.795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53150"/>
    <xdr:graphicFrame>
      <xdr:nvGraphicFramePr>
        <xdr:cNvPr id="1" name="Chart 1"/>
        <xdr:cNvGraphicFramePr/>
      </xdr:nvGraphicFramePr>
      <xdr:xfrm>
        <a:off x="0" y="0"/>
        <a:ext cx="102298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8" sqref="K18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100</v>
      </c>
    </row>
    <row r="2" ht="12.75">
      <c r="C2" s="5" t="s">
        <v>101</v>
      </c>
    </row>
    <row r="3" ht="12.75">
      <c r="C3" s="5"/>
    </row>
    <row r="4" spans="2:4" ht="12.75">
      <c r="B4" s="13" t="s">
        <v>83</v>
      </c>
      <c r="C4" s="5"/>
      <c r="D4" s="106">
        <f>B61</f>
        <v>43371</v>
      </c>
    </row>
    <row r="5" ht="12.75">
      <c r="C5" s="5"/>
    </row>
    <row r="6" ht="13.5" thickBot="1"/>
    <row r="7" spans="1:8" ht="12.75">
      <c r="A7" s="61"/>
      <c r="B7" s="9" t="s">
        <v>38</v>
      </c>
      <c r="C7" s="9" t="s">
        <v>91</v>
      </c>
      <c r="D7" s="9" t="s">
        <v>91</v>
      </c>
      <c r="E7" s="9" t="s">
        <v>92</v>
      </c>
      <c r="F7" s="9" t="s">
        <v>92</v>
      </c>
      <c r="G7" s="9" t="s">
        <v>2</v>
      </c>
      <c r="H7" s="9" t="s">
        <v>2</v>
      </c>
    </row>
    <row r="8" spans="1:8" ht="12.75">
      <c r="A8" s="62"/>
      <c r="B8" s="10" t="s">
        <v>16</v>
      </c>
      <c r="C8" s="10" t="s">
        <v>0</v>
      </c>
      <c r="D8" s="10" t="s">
        <v>40</v>
      </c>
      <c r="E8" s="11"/>
      <c r="F8" s="10" t="s">
        <v>40</v>
      </c>
      <c r="G8" s="10" t="s">
        <v>39</v>
      </c>
      <c r="H8" s="10" t="s">
        <v>40</v>
      </c>
    </row>
    <row r="9" spans="1:8" ht="13.5" thickBot="1">
      <c r="A9" s="62" t="s">
        <v>21</v>
      </c>
      <c r="B9" s="59" t="s">
        <v>37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5">
      <c r="A10" s="60">
        <v>1</v>
      </c>
      <c r="B10" s="107">
        <v>43014</v>
      </c>
      <c r="C10" s="1">
        <v>67</v>
      </c>
      <c r="D10" s="93">
        <f>C10</f>
        <v>67</v>
      </c>
      <c r="E10" s="12">
        <v>34766</v>
      </c>
      <c r="F10" s="3">
        <f>E10</f>
        <v>34766</v>
      </c>
      <c r="G10" s="7">
        <f>+C10-E10</f>
        <v>-34699</v>
      </c>
      <c r="H10" s="2">
        <f>G10</f>
        <v>-34699</v>
      </c>
    </row>
    <row r="11" spans="1:8" ht="15">
      <c r="A11" s="60">
        <v>2</v>
      </c>
      <c r="B11" s="108">
        <v>43021</v>
      </c>
      <c r="C11" s="1">
        <v>766</v>
      </c>
      <c r="D11" s="93">
        <f>D10+C11</f>
        <v>833</v>
      </c>
      <c r="E11" s="1">
        <v>84743</v>
      </c>
      <c r="F11" s="3">
        <f aca="true" t="shared" si="0" ref="F11:F61">F10+E11</f>
        <v>119509</v>
      </c>
      <c r="G11" s="7">
        <f>+C11-E11</f>
        <v>-83977</v>
      </c>
      <c r="H11" s="2">
        <f>H10+G11</f>
        <v>-118676</v>
      </c>
    </row>
    <row r="12" spans="1:8" ht="15">
      <c r="A12" s="60">
        <v>3</v>
      </c>
      <c r="B12" s="108">
        <v>43028</v>
      </c>
      <c r="C12" s="1">
        <v>572</v>
      </c>
      <c r="D12" s="93">
        <f>D11+C12</f>
        <v>1405</v>
      </c>
      <c r="E12" s="1">
        <v>129545</v>
      </c>
      <c r="F12" s="3">
        <f t="shared" si="0"/>
        <v>249054</v>
      </c>
      <c r="G12" s="7">
        <f>+C12-E12</f>
        <v>-128973</v>
      </c>
      <c r="H12" s="2">
        <f aca="true" t="shared" si="1" ref="H12:H19">H11+G12</f>
        <v>-247649</v>
      </c>
    </row>
    <row r="13" spans="1:8" ht="15">
      <c r="A13" s="60">
        <v>4</v>
      </c>
      <c r="B13" s="108">
        <v>43035</v>
      </c>
      <c r="C13" s="1">
        <v>242</v>
      </c>
      <c r="D13" s="93">
        <f aca="true" t="shared" si="2" ref="D13:D36">C13+D12</f>
        <v>1647</v>
      </c>
      <c r="E13" s="1">
        <v>63087</v>
      </c>
      <c r="F13" s="3">
        <f t="shared" si="0"/>
        <v>312141</v>
      </c>
      <c r="G13" s="7">
        <f aca="true" t="shared" si="3" ref="G13:G61">+C13-E13</f>
        <v>-62845</v>
      </c>
      <c r="H13" s="2">
        <f t="shared" si="1"/>
        <v>-310494</v>
      </c>
    </row>
    <row r="14" spans="1:8" ht="15">
      <c r="A14" s="60">
        <v>5</v>
      </c>
      <c r="B14" s="108">
        <v>43042</v>
      </c>
      <c r="C14" s="1">
        <v>33</v>
      </c>
      <c r="D14" s="93">
        <f t="shared" si="2"/>
        <v>1680</v>
      </c>
      <c r="E14" s="1">
        <v>83673</v>
      </c>
      <c r="F14" s="3">
        <f t="shared" si="0"/>
        <v>395814</v>
      </c>
      <c r="G14" s="7">
        <f t="shared" si="3"/>
        <v>-83640</v>
      </c>
      <c r="H14" s="2">
        <f t="shared" si="1"/>
        <v>-394134</v>
      </c>
    </row>
    <row r="15" spans="1:8" ht="15">
      <c r="A15" s="60">
        <v>6</v>
      </c>
      <c r="B15" s="108">
        <v>43049</v>
      </c>
      <c r="C15" s="1">
        <v>34</v>
      </c>
      <c r="D15" s="93">
        <f t="shared" si="2"/>
        <v>1714</v>
      </c>
      <c r="E15" s="1">
        <v>34585</v>
      </c>
      <c r="F15" s="3">
        <f t="shared" si="0"/>
        <v>430399</v>
      </c>
      <c r="G15" s="7">
        <f t="shared" si="3"/>
        <v>-34551</v>
      </c>
      <c r="H15" s="2">
        <f t="shared" si="1"/>
        <v>-428685</v>
      </c>
    </row>
    <row r="16" spans="1:8" ht="15">
      <c r="A16" s="60">
        <v>7</v>
      </c>
      <c r="B16" s="108">
        <v>43056</v>
      </c>
      <c r="C16" s="1">
        <v>854</v>
      </c>
      <c r="D16" s="93">
        <f t="shared" si="2"/>
        <v>2568</v>
      </c>
      <c r="E16" s="1">
        <v>32641</v>
      </c>
      <c r="F16" s="3">
        <f t="shared" si="0"/>
        <v>463040</v>
      </c>
      <c r="G16" s="7">
        <f t="shared" si="3"/>
        <v>-31787</v>
      </c>
      <c r="H16" s="2">
        <f t="shared" si="1"/>
        <v>-460472</v>
      </c>
    </row>
    <row r="17" spans="1:8" ht="15">
      <c r="A17" s="60">
        <v>8</v>
      </c>
      <c r="B17" s="108">
        <v>43063</v>
      </c>
      <c r="C17" s="1">
        <v>626</v>
      </c>
      <c r="D17" s="93">
        <f t="shared" si="2"/>
        <v>3194</v>
      </c>
      <c r="E17" s="1">
        <v>57195</v>
      </c>
      <c r="F17" s="3">
        <f t="shared" si="0"/>
        <v>520235</v>
      </c>
      <c r="G17" s="7">
        <f t="shared" si="3"/>
        <v>-56569</v>
      </c>
      <c r="H17" s="2">
        <f t="shared" si="1"/>
        <v>-517041</v>
      </c>
    </row>
    <row r="18" spans="1:8" ht="15">
      <c r="A18" s="60">
        <v>9</v>
      </c>
      <c r="B18" s="108">
        <v>43070</v>
      </c>
      <c r="C18" s="1">
        <v>99</v>
      </c>
      <c r="D18" s="93">
        <f t="shared" si="2"/>
        <v>3293</v>
      </c>
      <c r="E18" s="1">
        <v>55969</v>
      </c>
      <c r="F18" s="3">
        <f t="shared" si="0"/>
        <v>576204</v>
      </c>
      <c r="G18" s="7">
        <f t="shared" si="3"/>
        <v>-55870</v>
      </c>
      <c r="H18" s="2">
        <f t="shared" si="1"/>
        <v>-572911</v>
      </c>
    </row>
    <row r="19" spans="1:8" ht="15">
      <c r="A19" s="60">
        <v>10</v>
      </c>
      <c r="B19" s="108">
        <v>43077</v>
      </c>
      <c r="C19" s="1">
        <v>401</v>
      </c>
      <c r="D19" s="93">
        <f t="shared" si="2"/>
        <v>3694</v>
      </c>
      <c r="E19" s="1">
        <v>1714</v>
      </c>
      <c r="F19" s="3">
        <f t="shared" si="0"/>
        <v>577918</v>
      </c>
      <c r="G19" s="7">
        <f>+C19-E19</f>
        <v>-1313</v>
      </c>
      <c r="H19" s="2">
        <f t="shared" si="1"/>
        <v>-574224</v>
      </c>
    </row>
    <row r="20" spans="1:8" ht="15">
      <c r="A20" s="60">
        <v>11</v>
      </c>
      <c r="B20" s="108">
        <v>43084</v>
      </c>
      <c r="C20" s="1">
        <v>0</v>
      </c>
      <c r="D20" s="93">
        <f t="shared" si="2"/>
        <v>3694</v>
      </c>
      <c r="E20" s="1">
        <v>0</v>
      </c>
      <c r="F20" s="3">
        <f t="shared" si="0"/>
        <v>577918</v>
      </c>
      <c r="G20" s="7">
        <f t="shared" si="3"/>
        <v>0</v>
      </c>
      <c r="H20" s="2">
        <f aca="true" t="shared" si="4" ref="H20:H61">G20</f>
        <v>0</v>
      </c>
    </row>
    <row r="21" spans="1:8" ht="15">
      <c r="A21" s="60">
        <v>12</v>
      </c>
      <c r="B21" s="108">
        <v>43091</v>
      </c>
      <c r="C21" s="1">
        <v>0</v>
      </c>
      <c r="D21" s="93">
        <f t="shared" si="2"/>
        <v>3694</v>
      </c>
      <c r="E21" s="1">
        <v>0</v>
      </c>
      <c r="F21" s="3">
        <f t="shared" si="0"/>
        <v>577918</v>
      </c>
      <c r="G21" s="7">
        <f t="shared" si="3"/>
        <v>0</v>
      </c>
      <c r="H21" s="2">
        <f t="shared" si="4"/>
        <v>0</v>
      </c>
    </row>
    <row r="22" spans="1:8" ht="15">
      <c r="A22" s="60">
        <v>13</v>
      </c>
      <c r="B22" s="108">
        <v>43098</v>
      </c>
      <c r="C22" s="1">
        <v>1265</v>
      </c>
      <c r="D22" s="93">
        <f t="shared" si="2"/>
        <v>4959</v>
      </c>
      <c r="E22" s="1">
        <v>41416</v>
      </c>
      <c r="F22" s="3">
        <f t="shared" si="0"/>
        <v>619334</v>
      </c>
      <c r="G22" s="7">
        <f t="shared" si="3"/>
        <v>-40151</v>
      </c>
      <c r="H22" s="2">
        <f t="shared" si="4"/>
        <v>-40151</v>
      </c>
    </row>
    <row r="23" spans="1:8" ht="15">
      <c r="A23" s="60">
        <v>14</v>
      </c>
      <c r="B23" s="108">
        <v>43105</v>
      </c>
      <c r="C23" s="1">
        <v>425</v>
      </c>
      <c r="D23" s="93">
        <f t="shared" si="2"/>
        <v>5384</v>
      </c>
      <c r="E23" s="1">
        <v>0</v>
      </c>
      <c r="F23" s="3">
        <f t="shared" si="0"/>
        <v>619334</v>
      </c>
      <c r="G23" s="7">
        <f t="shared" si="3"/>
        <v>425</v>
      </c>
      <c r="H23" s="2">
        <f t="shared" si="4"/>
        <v>425</v>
      </c>
    </row>
    <row r="24" spans="1:8" ht="15">
      <c r="A24" s="60">
        <v>15</v>
      </c>
      <c r="B24" s="108">
        <v>43112</v>
      </c>
      <c r="C24" s="1">
        <v>0</v>
      </c>
      <c r="D24" s="93">
        <f t="shared" si="2"/>
        <v>5384</v>
      </c>
      <c r="E24" s="1">
        <v>10007</v>
      </c>
      <c r="F24" s="3">
        <f t="shared" si="0"/>
        <v>629341</v>
      </c>
      <c r="G24" s="7">
        <f t="shared" si="3"/>
        <v>-10007</v>
      </c>
      <c r="H24" s="2">
        <f t="shared" si="4"/>
        <v>-10007</v>
      </c>
    </row>
    <row r="25" spans="1:8" ht="15">
      <c r="A25" s="60">
        <v>16</v>
      </c>
      <c r="B25" s="108">
        <v>43119</v>
      </c>
      <c r="C25" s="1">
        <v>101</v>
      </c>
      <c r="D25" s="93">
        <f t="shared" si="2"/>
        <v>5485</v>
      </c>
      <c r="E25" s="1">
        <v>44561</v>
      </c>
      <c r="F25" s="3">
        <f t="shared" si="0"/>
        <v>673902</v>
      </c>
      <c r="G25" s="7">
        <f t="shared" si="3"/>
        <v>-44460</v>
      </c>
      <c r="H25" s="2">
        <f t="shared" si="4"/>
        <v>-44460</v>
      </c>
    </row>
    <row r="26" spans="1:14" ht="15">
      <c r="A26" s="60">
        <v>17</v>
      </c>
      <c r="B26" s="108">
        <v>43126</v>
      </c>
      <c r="C26" s="1">
        <v>4651</v>
      </c>
      <c r="D26" s="93">
        <f t="shared" si="2"/>
        <v>10136</v>
      </c>
      <c r="E26" s="1">
        <v>22419</v>
      </c>
      <c r="F26" s="3">
        <f t="shared" si="0"/>
        <v>696321</v>
      </c>
      <c r="G26" s="7">
        <f t="shared" si="3"/>
        <v>-17768</v>
      </c>
      <c r="H26" s="2">
        <f t="shared" si="4"/>
        <v>-17768</v>
      </c>
      <c r="N26" s="92"/>
    </row>
    <row r="27" spans="1:8" ht="15">
      <c r="A27" s="60">
        <v>18</v>
      </c>
      <c r="B27" s="108">
        <v>43133</v>
      </c>
      <c r="C27" s="1">
        <v>1324</v>
      </c>
      <c r="D27" s="93">
        <f t="shared" si="2"/>
        <v>11460</v>
      </c>
      <c r="E27" s="1">
        <v>58722</v>
      </c>
      <c r="F27" s="3">
        <f t="shared" si="0"/>
        <v>755043</v>
      </c>
      <c r="G27" s="7">
        <f t="shared" si="3"/>
        <v>-57398</v>
      </c>
      <c r="H27" s="2">
        <f t="shared" si="4"/>
        <v>-57398</v>
      </c>
    </row>
    <row r="28" spans="1:8" ht="15">
      <c r="A28" s="60">
        <v>19</v>
      </c>
      <c r="B28" s="108">
        <v>43140</v>
      </c>
      <c r="C28" s="1">
        <v>542</v>
      </c>
      <c r="D28" s="93">
        <f t="shared" si="2"/>
        <v>12002</v>
      </c>
      <c r="E28" s="1">
        <v>64065</v>
      </c>
      <c r="F28" s="3">
        <f t="shared" si="0"/>
        <v>819108</v>
      </c>
      <c r="G28" s="7">
        <f t="shared" si="3"/>
        <v>-63523</v>
      </c>
      <c r="H28" s="2">
        <f t="shared" si="4"/>
        <v>-63523</v>
      </c>
    </row>
    <row r="29" spans="1:8" ht="15">
      <c r="A29" s="60">
        <v>20</v>
      </c>
      <c r="B29" s="108">
        <v>43147</v>
      </c>
      <c r="C29" s="1">
        <v>1822</v>
      </c>
      <c r="D29" s="93">
        <f t="shared" si="2"/>
        <v>13824</v>
      </c>
      <c r="E29" s="1">
        <v>95837</v>
      </c>
      <c r="F29" s="3">
        <f t="shared" si="0"/>
        <v>914945</v>
      </c>
      <c r="G29" s="7">
        <f t="shared" si="3"/>
        <v>-94015</v>
      </c>
      <c r="H29" s="2">
        <f t="shared" si="4"/>
        <v>-94015</v>
      </c>
    </row>
    <row r="30" spans="1:8" ht="15">
      <c r="A30" s="60">
        <v>21</v>
      </c>
      <c r="B30" s="108">
        <v>43154</v>
      </c>
      <c r="C30" s="1">
        <v>2560</v>
      </c>
      <c r="D30" s="93">
        <f t="shared" si="2"/>
        <v>16384</v>
      </c>
      <c r="E30" s="1">
        <v>56786</v>
      </c>
      <c r="F30" s="3">
        <f t="shared" si="0"/>
        <v>971731</v>
      </c>
      <c r="G30" s="7">
        <f t="shared" si="3"/>
        <v>-54226</v>
      </c>
      <c r="H30" s="2">
        <f t="shared" si="4"/>
        <v>-54226</v>
      </c>
    </row>
    <row r="31" spans="1:8" ht="15">
      <c r="A31" s="60">
        <v>22</v>
      </c>
      <c r="B31" s="108">
        <v>43161</v>
      </c>
      <c r="C31" s="1">
        <v>802</v>
      </c>
      <c r="D31" s="93">
        <f t="shared" si="2"/>
        <v>17186</v>
      </c>
      <c r="E31" s="1">
        <v>101115</v>
      </c>
      <c r="F31" s="3">
        <f t="shared" si="0"/>
        <v>1072846</v>
      </c>
      <c r="G31" s="7">
        <f t="shared" si="3"/>
        <v>-100313</v>
      </c>
      <c r="H31" s="2">
        <f t="shared" si="4"/>
        <v>-100313</v>
      </c>
    </row>
    <row r="32" spans="1:8" ht="15">
      <c r="A32" s="60">
        <v>23</v>
      </c>
      <c r="B32" s="108">
        <v>43168</v>
      </c>
      <c r="C32" s="1">
        <v>67</v>
      </c>
      <c r="D32" s="93">
        <f t="shared" si="2"/>
        <v>17253</v>
      </c>
      <c r="E32" s="1">
        <v>53262</v>
      </c>
      <c r="F32" s="3">
        <f t="shared" si="0"/>
        <v>1126108</v>
      </c>
      <c r="G32" s="7">
        <f t="shared" si="3"/>
        <v>-53195</v>
      </c>
      <c r="H32" s="2">
        <f t="shared" si="4"/>
        <v>-53195</v>
      </c>
    </row>
    <row r="33" spans="1:8" ht="15">
      <c r="A33" s="60">
        <v>24</v>
      </c>
      <c r="B33" s="108">
        <v>43175</v>
      </c>
      <c r="C33" s="1">
        <v>663</v>
      </c>
      <c r="D33" s="93">
        <f t="shared" si="2"/>
        <v>17916</v>
      </c>
      <c r="E33" s="1">
        <v>21627</v>
      </c>
      <c r="F33" s="3">
        <f t="shared" si="0"/>
        <v>1147735</v>
      </c>
      <c r="G33" s="7">
        <f t="shared" si="3"/>
        <v>-20964</v>
      </c>
      <c r="H33" s="2">
        <f t="shared" si="4"/>
        <v>-20964</v>
      </c>
    </row>
    <row r="34" spans="1:8" ht="15">
      <c r="A34" s="60">
        <v>25</v>
      </c>
      <c r="B34" s="108">
        <v>43182</v>
      </c>
      <c r="C34" s="1">
        <v>1227</v>
      </c>
      <c r="D34" s="93">
        <f t="shared" si="2"/>
        <v>19143</v>
      </c>
      <c r="E34" s="1">
        <v>0</v>
      </c>
      <c r="F34" s="3">
        <f t="shared" si="0"/>
        <v>1147735</v>
      </c>
      <c r="G34" s="7">
        <f t="shared" si="3"/>
        <v>1227</v>
      </c>
      <c r="H34" s="2">
        <f t="shared" si="4"/>
        <v>1227</v>
      </c>
    </row>
    <row r="35" spans="1:8" ht="15">
      <c r="A35" s="60">
        <v>26</v>
      </c>
      <c r="B35" s="108">
        <v>43189</v>
      </c>
      <c r="C35" s="1">
        <v>2280</v>
      </c>
      <c r="D35" s="93">
        <f t="shared" si="2"/>
        <v>21423</v>
      </c>
      <c r="E35" s="1">
        <v>0</v>
      </c>
      <c r="F35" s="3">
        <f t="shared" si="0"/>
        <v>1147735</v>
      </c>
      <c r="G35" s="7">
        <f t="shared" si="3"/>
        <v>2280</v>
      </c>
      <c r="H35" s="2">
        <f t="shared" si="4"/>
        <v>2280</v>
      </c>
    </row>
    <row r="36" spans="1:8" ht="15">
      <c r="A36" s="60">
        <v>27</v>
      </c>
      <c r="B36" s="108">
        <v>43196</v>
      </c>
      <c r="C36" s="1">
        <v>3178</v>
      </c>
      <c r="D36" s="93">
        <f t="shared" si="2"/>
        <v>24601</v>
      </c>
      <c r="E36" s="1">
        <v>0</v>
      </c>
      <c r="F36" s="3">
        <f t="shared" si="0"/>
        <v>1147735</v>
      </c>
      <c r="G36" s="7">
        <f t="shared" si="3"/>
        <v>3178</v>
      </c>
      <c r="H36" s="2">
        <f t="shared" si="4"/>
        <v>3178</v>
      </c>
    </row>
    <row r="37" spans="1:8" ht="15">
      <c r="A37" s="60">
        <v>28</v>
      </c>
      <c r="B37" s="108">
        <v>43203</v>
      </c>
      <c r="C37" s="1">
        <v>4316</v>
      </c>
      <c r="D37" s="93">
        <f aca="true" t="shared" si="5" ref="D37:D61">C37+D36</f>
        <v>28917</v>
      </c>
      <c r="E37" s="1">
        <v>0</v>
      </c>
      <c r="F37" s="3">
        <f t="shared" si="0"/>
        <v>1147735</v>
      </c>
      <c r="G37" s="7">
        <f t="shared" si="3"/>
        <v>4316</v>
      </c>
      <c r="H37" s="2">
        <f t="shared" si="4"/>
        <v>4316</v>
      </c>
    </row>
    <row r="38" spans="1:8" ht="15">
      <c r="A38" s="60">
        <v>29</v>
      </c>
      <c r="B38" s="108">
        <v>43210</v>
      </c>
      <c r="C38" s="1">
        <v>2463</v>
      </c>
      <c r="D38" s="93">
        <f t="shared" si="5"/>
        <v>31380</v>
      </c>
      <c r="E38" s="1">
        <v>0</v>
      </c>
      <c r="F38" s="3">
        <f t="shared" si="0"/>
        <v>1147735</v>
      </c>
      <c r="G38" s="7">
        <f t="shared" si="3"/>
        <v>2463</v>
      </c>
      <c r="H38" s="2">
        <f t="shared" si="4"/>
        <v>2463</v>
      </c>
    </row>
    <row r="39" spans="1:8" ht="15">
      <c r="A39" s="60">
        <v>30</v>
      </c>
      <c r="B39" s="108">
        <v>43217</v>
      </c>
      <c r="C39" s="1">
        <v>2443</v>
      </c>
      <c r="D39" s="93">
        <f t="shared" si="5"/>
        <v>33823</v>
      </c>
      <c r="E39" s="1">
        <v>0</v>
      </c>
      <c r="F39" s="3">
        <f t="shared" si="0"/>
        <v>1147735</v>
      </c>
      <c r="G39" s="7">
        <f t="shared" si="3"/>
        <v>2443</v>
      </c>
      <c r="H39" s="2">
        <f t="shared" si="4"/>
        <v>2443</v>
      </c>
    </row>
    <row r="40" spans="1:8" ht="15">
      <c r="A40" s="60">
        <v>31</v>
      </c>
      <c r="B40" s="108">
        <v>43224</v>
      </c>
      <c r="C40" s="1">
        <v>1870</v>
      </c>
      <c r="D40" s="93">
        <f t="shared" si="5"/>
        <v>35693</v>
      </c>
      <c r="E40" s="1">
        <v>0</v>
      </c>
      <c r="F40" s="3">
        <f t="shared" si="0"/>
        <v>1147735</v>
      </c>
      <c r="G40" s="7">
        <f t="shared" si="3"/>
        <v>1870</v>
      </c>
      <c r="H40" s="2">
        <f t="shared" si="4"/>
        <v>1870</v>
      </c>
    </row>
    <row r="41" spans="1:8" ht="15">
      <c r="A41" s="60">
        <v>32</v>
      </c>
      <c r="B41" s="108">
        <v>43231</v>
      </c>
      <c r="C41" s="1">
        <v>2133</v>
      </c>
      <c r="D41" s="93">
        <f t="shared" si="5"/>
        <v>37826</v>
      </c>
      <c r="E41" s="1">
        <v>16405</v>
      </c>
      <c r="F41" s="3">
        <f t="shared" si="0"/>
        <v>1164140</v>
      </c>
      <c r="G41" s="7">
        <f t="shared" si="3"/>
        <v>-14272</v>
      </c>
      <c r="H41" s="2">
        <f t="shared" si="4"/>
        <v>-14272</v>
      </c>
    </row>
    <row r="42" spans="1:8" ht="15">
      <c r="A42" s="60">
        <v>33</v>
      </c>
      <c r="B42" s="108">
        <v>43238</v>
      </c>
      <c r="C42" s="1">
        <v>2165</v>
      </c>
      <c r="D42" s="93">
        <f t="shared" si="5"/>
        <v>39991</v>
      </c>
      <c r="E42" s="1">
        <v>57876</v>
      </c>
      <c r="F42" s="3">
        <f t="shared" si="0"/>
        <v>1222016</v>
      </c>
      <c r="G42" s="7">
        <f t="shared" si="3"/>
        <v>-55711</v>
      </c>
      <c r="H42" s="2">
        <f t="shared" si="4"/>
        <v>-55711</v>
      </c>
    </row>
    <row r="43" spans="1:8" ht="15">
      <c r="A43" s="60">
        <v>34</v>
      </c>
      <c r="B43" s="108">
        <v>43245</v>
      </c>
      <c r="C43" s="1">
        <v>2135</v>
      </c>
      <c r="D43" s="93">
        <f t="shared" si="5"/>
        <v>42126</v>
      </c>
      <c r="E43" s="1">
        <v>21482</v>
      </c>
      <c r="F43" s="3">
        <f t="shared" si="0"/>
        <v>1243498</v>
      </c>
      <c r="G43" s="7">
        <f t="shared" si="3"/>
        <v>-19347</v>
      </c>
      <c r="H43" s="2">
        <f t="shared" si="4"/>
        <v>-19347</v>
      </c>
    </row>
    <row r="44" spans="1:8" ht="15">
      <c r="A44" s="60">
        <v>35</v>
      </c>
      <c r="B44" s="108">
        <v>43252</v>
      </c>
      <c r="C44" s="1">
        <v>1754</v>
      </c>
      <c r="D44" s="93">
        <f t="shared" si="5"/>
        <v>43880</v>
      </c>
      <c r="E44" s="1">
        <v>53271</v>
      </c>
      <c r="F44" s="3">
        <f t="shared" si="0"/>
        <v>1296769</v>
      </c>
      <c r="G44" s="7">
        <f t="shared" si="3"/>
        <v>-51517</v>
      </c>
      <c r="H44" s="2">
        <f t="shared" si="4"/>
        <v>-51517</v>
      </c>
    </row>
    <row r="45" spans="1:8" ht="15">
      <c r="A45" s="60">
        <v>36</v>
      </c>
      <c r="B45" s="108">
        <v>43259</v>
      </c>
      <c r="C45" s="1">
        <v>719</v>
      </c>
      <c r="D45" s="93">
        <f t="shared" si="5"/>
        <v>44599</v>
      </c>
      <c r="E45" s="1">
        <v>29017</v>
      </c>
      <c r="F45" s="3">
        <f t="shared" si="0"/>
        <v>1325786</v>
      </c>
      <c r="G45" s="7">
        <f t="shared" si="3"/>
        <v>-28298</v>
      </c>
      <c r="H45" s="2">
        <f t="shared" si="4"/>
        <v>-28298</v>
      </c>
    </row>
    <row r="46" spans="1:8" ht="15">
      <c r="A46" s="60">
        <v>37</v>
      </c>
      <c r="B46" s="108">
        <v>43266</v>
      </c>
      <c r="C46" s="1">
        <v>2904</v>
      </c>
      <c r="D46" s="93">
        <f t="shared" si="5"/>
        <v>47503</v>
      </c>
      <c r="E46" s="1">
        <v>101572</v>
      </c>
      <c r="F46" s="3">
        <f t="shared" si="0"/>
        <v>1427358</v>
      </c>
      <c r="G46" s="7">
        <f t="shared" si="3"/>
        <v>-98668</v>
      </c>
      <c r="H46" s="2">
        <f t="shared" si="4"/>
        <v>-98668</v>
      </c>
    </row>
    <row r="47" spans="1:8" ht="15">
      <c r="A47" s="60">
        <v>38</v>
      </c>
      <c r="B47" s="108">
        <v>43273</v>
      </c>
      <c r="C47" s="1">
        <v>3433</v>
      </c>
      <c r="D47" s="93">
        <f t="shared" si="5"/>
        <v>50936</v>
      </c>
      <c r="E47" s="1">
        <v>79636</v>
      </c>
      <c r="F47" s="3">
        <f t="shared" si="0"/>
        <v>1506994</v>
      </c>
      <c r="G47" s="7">
        <f t="shared" si="3"/>
        <v>-76203</v>
      </c>
      <c r="H47" s="2">
        <f t="shared" si="4"/>
        <v>-76203</v>
      </c>
    </row>
    <row r="48" spans="1:11" ht="15">
      <c r="A48" s="60">
        <v>39</v>
      </c>
      <c r="B48" s="108">
        <v>43280</v>
      </c>
      <c r="C48" s="1">
        <v>3548</v>
      </c>
      <c r="D48" s="93">
        <f t="shared" si="5"/>
        <v>54484</v>
      </c>
      <c r="E48" s="1">
        <v>58725</v>
      </c>
      <c r="F48" s="3">
        <f t="shared" si="0"/>
        <v>1565719</v>
      </c>
      <c r="G48" s="7">
        <f t="shared" si="3"/>
        <v>-55177</v>
      </c>
      <c r="H48" s="2">
        <f t="shared" si="4"/>
        <v>-55177</v>
      </c>
      <c r="K48" s="13"/>
    </row>
    <row r="49" spans="1:8" ht="15">
      <c r="A49" s="60">
        <v>40</v>
      </c>
      <c r="B49" s="108">
        <v>43287</v>
      </c>
      <c r="C49" s="1">
        <v>2551</v>
      </c>
      <c r="D49" s="93">
        <f t="shared" si="5"/>
        <v>57035</v>
      </c>
      <c r="E49" s="1">
        <v>56011</v>
      </c>
      <c r="F49" s="3">
        <f t="shared" si="0"/>
        <v>1621730</v>
      </c>
      <c r="G49" s="7">
        <f t="shared" si="3"/>
        <v>-53460</v>
      </c>
      <c r="H49" s="2">
        <f t="shared" si="4"/>
        <v>-53460</v>
      </c>
    </row>
    <row r="50" spans="1:8" ht="15">
      <c r="A50" s="60">
        <v>41</v>
      </c>
      <c r="B50" s="108">
        <v>43294</v>
      </c>
      <c r="C50" s="1">
        <v>1410</v>
      </c>
      <c r="D50" s="93">
        <f t="shared" si="5"/>
        <v>58445</v>
      </c>
      <c r="E50" s="1">
        <v>25524</v>
      </c>
      <c r="F50" s="3">
        <f t="shared" si="0"/>
        <v>1647254</v>
      </c>
      <c r="G50" s="7">
        <f t="shared" si="3"/>
        <v>-24114</v>
      </c>
      <c r="H50" s="2">
        <f t="shared" si="4"/>
        <v>-24114</v>
      </c>
    </row>
    <row r="51" spans="1:8" ht="15">
      <c r="A51" s="60">
        <v>42</v>
      </c>
      <c r="B51" s="108">
        <v>43301</v>
      </c>
      <c r="C51" s="1">
        <v>59</v>
      </c>
      <c r="D51" s="93">
        <f t="shared" si="5"/>
        <v>58504</v>
      </c>
      <c r="E51" s="1">
        <v>56667</v>
      </c>
      <c r="F51" s="3">
        <f t="shared" si="0"/>
        <v>1703921</v>
      </c>
      <c r="G51" s="7">
        <f t="shared" si="3"/>
        <v>-56608</v>
      </c>
      <c r="H51" s="2">
        <f t="shared" si="4"/>
        <v>-56608</v>
      </c>
    </row>
    <row r="52" spans="1:8" ht="15">
      <c r="A52" s="60">
        <v>43</v>
      </c>
      <c r="B52" s="108">
        <v>43308</v>
      </c>
      <c r="C52" s="1">
        <v>1208</v>
      </c>
      <c r="D52" s="93">
        <f t="shared" si="5"/>
        <v>59712</v>
      </c>
      <c r="E52" s="1">
        <v>21699</v>
      </c>
      <c r="F52" s="3">
        <f t="shared" si="0"/>
        <v>1725620</v>
      </c>
      <c r="G52" s="7">
        <f t="shared" si="3"/>
        <v>-20491</v>
      </c>
      <c r="H52" s="2">
        <f t="shared" si="4"/>
        <v>-20491</v>
      </c>
    </row>
    <row r="53" spans="1:8" ht="15">
      <c r="A53" s="60">
        <v>44</v>
      </c>
      <c r="B53" s="108">
        <v>43315</v>
      </c>
      <c r="C53" s="1">
        <v>2051</v>
      </c>
      <c r="D53" s="93">
        <f t="shared" si="5"/>
        <v>61763</v>
      </c>
      <c r="E53" s="1">
        <v>64132</v>
      </c>
      <c r="F53" s="3">
        <f t="shared" si="0"/>
        <v>1789752</v>
      </c>
      <c r="G53" s="7">
        <f t="shared" si="3"/>
        <v>-62081</v>
      </c>
      <c r="H53" s="2">
        <f t="shared" si="4"/>
        <v>-62081</v>
      </c>
    </row>
    <row r="54" spans="1:8" ht="15">
      <c r="A54" s="60">
        <v>45</v>
      </c>
      <c r="B54" s="108">
        <v>43322</v>
      </c>
      <c r="C54" s="1">
        <v>1332</v>
      </c>
      <c r="D54" s="93">
        <f t="shared" si="5"/>
        <v>63095</v>
      </c>
      <c r="E54" s="1">
        <v>22900</v>
      </c>
      <c r="F54" s="3">
        <f t="shared" si="0"/>
        <v>1812652</v>
      </c>
      <c r="G54" s="7">
        <f t="shared" si="3"/>
        <v>-21568</v>
      </c>
      <c r="H54" s="2">
        <f t="shared" si="4"/>
        <v>-21568</v>
      </c>
    </row>
    <row r="55" spans="1:8" ht="15">
      <c r="A55" s="60">
        <v>46</v>
      </c>
      <c r="B55" s="108">
        <v>43329</v>
      </c>
      <c r="C55" s="1">
        <v>3135</v>
      </c>
      <c r="D55" s="93">
        <f t="shared" si="5"/>
        <v>66230</v>
      </c>
      <c r="E55" s="1">
        <v>37529</v>
      </c>
      <c r="F55" s="3">
        <f t="shared" si="0"/>
        <v>1850181</v>
      </c>
      <c r="G55" s="7">
        <f t="shared" si="3"/>
        <v>-34394</v>
      </c>
      <c r="H55" s="2">
        <f t="shared" si="4"/>
        <v>-34394</v>
      </c>
    </row>
    <row r="56" spans="1:8" ht="15">
      <c r="A56" s="60">
        <v>47</v>
      </c>
      <c r="B56" s="108">
        <v>43336</v>
      </c>
      <c r="C56" s="1">
        <v>1443</v>
      </c>
      <c r="D56" s="93">
        <f t="shared" si="5"/>
        <v>67673</v>
      </c>
      <c r="E56" s="1">
        <v>48962</v>
      </c>
      <c r="F56" s="3">
        <f t="shared" si="0"/>
        <v>1899143</v>
      </c>
      <c r="G56" s="7">
        <f t="shared" si="3"/>
        <v>-47519</v>
      </c>
      <c r="H56" s="2">
        <f t="shared" si="4"/>
        <v>-47519</v>
      </c>
    </row>
    <row r="57" spans="1:8" ht="15">
      <c r="A57" s="60">
        <v>48</v>
      </c>
      <c r="B57" s="108">
        <v>43343</v>
      </c>
      <c r="C57" s="1">
        <v>2092</v>
      </c>
      <c r="D57" s="93">
        <f t="shared" si="5"/>
        <v>69765</v>
      </c>
      <c r="E57" s="1">
        <v>75307</v>
      </c>
      <c r="F57" s="3">
        <f t="shared" si="0"/>
        <v>1974450</v>
      </c>
      <c r="G57" s="7">
        <f t="shared" si="3"/>
        <v>-73215</v>
      </c>
      <c r="H57" s="2">
        <f t="shared" si="4"/>
        <v>-73215</v>
      </c>
    </row>
    <row r="58" spans="1:8" ht="15">
      <c r="A58" s="60">
        <v>49</v>
      </c>
      <c r="B58" s="108">
        <v>43350</v>
      </c>
      <c r="C58" s="1">
        <v>2438</v>
      </c>
      <c r="D58" s="93">
        <f t="shared" si="5"/>
        <v>72203</v>
      </c>
      <c r="E58" s="1">
        <v>85086</v>
      </c>
      <c r="F58" s="3">
        <f t="shared" si="0"/>
        <v>2059536</v>
      </c>
      <c r="G58" s="7">
        <f t="shared" si="3"/>
        <v>-82648</v>
      </c>
      <c r="H58" s="2">
        <f t="shared" si="4"/>
        <v>-82648</v>
      </c>
    </row>
    <row r="59" spans="1:8" ht="15">
      <c r="A59" s="60">
        <v>50</v>
      </c>
      <c r="B59" s="108">
        <v>43357</v>
      </c>
      <c r="C59" s="1">
        <v>1827</v>
      </c>
      <c r="D59" s="93">
        <f t="shared" si="5"/>
        <v>74030</v>
      </c>
      <c r="E59" s="1">
        <v>41299</v>
      </c>
      <c r="F59" s="3">
        <f t="shared" si="0"/>
        <v>2100835</v>
      </c>
      <c r="G59" s="7">
        <f t="shared" si="3"/>
        <v>-39472</v>
      </c>
      <c r="H59" s="2">
        <f t="shared" si="4"/>
        <v>-39472</v>
      </c>
    </row>
    <row r="60" spans="1:8" ht="15">
      <c r="A60" s="60">
        <v>51</v>
      </c>
      <c r="B60" s="108">
        <v>43364</v>
      </c>
      <c r="C60" s="1">
        <v>453</v>
      </c>
      <c r="D60" s="93">
        <f t="shared" si="5"/>
        <v>74483</v>
      </c>
      <c r="E60" s="1">
        <v>52951</v>
      </c>
      <c r="F60" s="3">
        <f t="shared" si="0"/>
        <v>2153786</v>
      </c>
      <c r="G60" s="7">
        <f t="shared" si="3"/>
        <v>-52498</v>
      </c>
      <c r="H60" s="2">
        <f t="shared" si="4"/>
        <v>-52498</v>
      </c>
    </row>
    <row r="61" spans="1:8" ht="15.75" thickBot="1">
      <c r="A61" s="60">
        <v>52</v>
      </c>
      <c r="B61" s="110">
        <v>43371</v>
      </c>
      <c r="C61" s="64">
        <v>1052</v>
      </c>
      <c r="D61" s="63">
        <f t="shared" si="5"/>
        <v>75535</v>
      </c>
      <c r="E61" s="64">
        <v>23446</v>
      </c>
      <c r="F61" s="63">
        <f t="shared" si="0"/>
        <v>2177232</v>
      </c>
      <c r="G61" s="63">
        <f t="shared" si="3"/>
        <v>-22394</v>
      </c>
      <c r="H61" s="63">
        <f t="shared" si="4"/>
        <v>-22394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1"/>
  <sheetViews>
    <sheetView tabSelected="1" zoomScalePageLayoutView="0" workbookViewId="0" topLeftCell="A4">
      <selection activeCell="L25" sqref="L25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100</v>
      </c>
    </row>
    <row r="2" ht="12.75">
      <c r="C2" s="5" t="s">
        <v>101</v>
      </c>
    </row>
    <row r="3" ht="12.75">
      <c r="C3" s="5"/>
    </row>
    <row r="4" spans="2:4" ht="12.75">
      <c r="B4" s="13" t="s">
        <v>83</v>
      </c>
      <c r="C4" s="5"/>
      <c r="D4" s="106">
        <f>B24</f>
        <v>43476</v>
      </c>
    </row>
    <row r="5" ht="12.75">
      <c r="C5" s="5"/>
    </row>
    <row r="6" ht="13.5" thickBot="1"/>
    <row r="7" spans="1:8" ht="12.75">
      <c r="A7" s="61"/>
      <c r="B7" s="9" t="s">
        <v>38</v>
      </c>
      <c r="C7" s="9" t="s">
        <v>91</v>
      </c>
      <c r="D7" s="9" t="s">
        <v>91</v>
      </c>
      <c r="E7" s="9" t="s">
        <v>92</v>
      </c>
      <c r="F7" s="9" t="s">
        <v>92</v>
      </c>
      <c r="G7" s="9" t="s">
        <v>2</v>
      </c>
      <c r="H7" s="9" t="s">
        <v>2</v>
      </c>
    </row>
    <row r="8" spans="1:8" ht="12.75">
      <c r="A8" s="62"/>
      <c r="B8" s="10" t="s">
        <v>16</v>
      </c>
      <c r="C8" s="10" t="s">
        <v>0</v>
      </c>
      <c r="D8" s="10" t="s">
        <v>40</v>
      </c>
      <c r="E8" s="11"/>
      <c r="F8" s="10" t="s">
        <v>40</v>
      </c>
      <c r="G8" s="10" t="s">
        <v>39</v>
      </c>
      <c r="H8" s="10" t="s">
        <v>40</v>
      </c>
    </row>
    <row r="9" spans="1:8" ht="13.5" thickBot="1">
      <c r="A9" s="62" t="s">
        <v>21</v>
      </c>
      <c r="B9" s="59" t="s">
        <v>37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5">
      <c r="A10" s="60">
        <v>1</v>
      </c>
      <c r="B10" s="107">
        <v>43378</v>
      </c>
      <c r="C10" s="1">
        <v>871</v>
      </c>
      <c r="D10" s="93">
        <f>C10</f>
        <v>871</v>
      </c>
      <c r="E10" s="12">
        <v>4656</v>
      </c>
      <c r="F10" s="3">
        <f>E10</f>
        <v>4656</v>
      </c>
      <c r="G10" s="7">
        <f>+C10-E10</f>
        <v>-3785</v>
      </c>
      <c r="H10" s="2">
        <f>G10</f>
        <v>-3785</v>
      </c>
    </row>
    <row r="11" spans="1:8" ht="15">
      <c r="A11" s="60">
        <v>2</v>
      </c>
      <c r="B11" s="108">
        <v>43385</v>
      </c>
      <c r="C11" s="1">
        <v>1331</v>
      </c>
      <c r="D11" s="93">
        <f>D10+C11</f>
        <v>2202</v>
      </c>
      <c r="E11" s="1">
        <v>12557</v>
      </c>
      <c r="F11" s="3">
        <f aca="true" t="shared" si="0" ref="F11:F61">F10+E11</f>
        <v>17213</v>
      </c>
      <c r="G11" s="7">
        <f>+C11-E11</f>
        <v>-11226</v>
      </c>
      <c r="H11" s="2">
        <f>H10+G11</f>
        <v>-15011</v>
      </c>
    </row>
    <row r="12" spans="1:8" ht="15">
      <c r="A12" s="60">
        <v>3</v>
      </c>
      <c r="B12" s="108">
        <v>43392</v>
      </c>
      <c r="C12" s="1">
        <v>0</v>
      </c>
      <c r="D12" s="93">
        <f>D11+C12</f>
        <v>2202</v>
      </c>
      <c r="E12" s="1">
        <v>6688</v>
      </c>
      <c r="F12" s="3">
        <f t="shared" si="0"/>
        <v>23901</v>
      </c>
      <c r="G12" s="7">
        <f>+C12-E12</f>
        <v>-6688</v>
      </c>
      <c r="H12" s="2">
        <f aca="true" t="shared" si="1" ref="H12:H19">H11+G12</f>
        <v>-21699</v>
      </c>
    </row>
    <row r="13" spans="1:8" ht="15">
      <c r="A13" s="60">
        <v>4</v>
      </c>
      <c r="B13" s="108">
        <v>43399</v>
      </c>
      <c r="C13" s="1">
        <v>30</v>
      </c>
      <c r="D13" s="93">
        <f aca="true" t="shared" si="2" ref="D13:D61">C13+D12</f>
        <v>2232</v>
      </c>
      <c r="E13" s="1">
        <v>32133</v>
      </c>
      <c r="F13" s="3">
        <f t="shared" si="0"/>
        <v>56034</v>
      </c>
      <c r="G13" s="7">
        <f aca="true" t="shared" si="3" ref="G13:G61">+C13-E13</f>
        <v>-32103</v>
      </c>
      <c r="H13" s="2">
        <f t="shared" si="1"/>
        <v>-53802</v>
      </c>
    </row>
    <row r="14" spans="1:8" ht="15">
      <c r="A14" s="60">
        <v>5</v>
      </c>
      <c r="B14" s="108">
        <v>43406</v>
      </c>
      <c r="C14" s="1">
        <v>646</v>
      </c>
      <c r="D14" s="93">
        <f t="shared" si="2"/>
        <v>2878</v>
      </c>
      <c r="E14" s="1">
        <v>10115</v>
      </c>
      <c r="F14" s="3">
        <f t="shared" si="0"/>
        <v>66149</v>
      </c>
      <c r="G14" s="7">
        <f t="shared" si="3"/>
        <v>-9469</v>
      </c>
      <c r="H14" s="2">
        <f t="shared" si="1"/>
        <v>-63271</v>
      </c>
    </row>
    <row r="15" spans="1:8" ht="15">
      <c r="A15" s="60">
        <v>6</v>
      </c>
      <c r="B15" s="108">
        <v>43413</v>
      </c>
      <c r="C15" s="1">
        <v>469</v>
      </c>
      <c r="D15" s="93">
        <f t="shared" si="2"/>
        <v>3347</v>
      </c>
      <c r="E15" s="1">
        <v>17084</v>
      </c>
      <c r="F15" s="3">
        <f t="shared" si="0"/>
        <v>83233</v>
      </c>
      <c r="G15" s="7">
        <f t="shared" si="3"/>
        <v>-16615</v>
      </c>
      <c r="H15" s="2">
        <f t="shared" si="1"/>
        <v>-79886</v>
      </c>
    </row>
    <row r="16" spans="1:8" ht="15">
      <c r="A16" s="60">
        <v>7</v>
      </c>
      <c r="B16" s="108">
        <v>43420</v>
      </c>
      <c r="C16" s="1">
        <v>383</v>
      </c>
      <c r="D16" s="93">
        <f t="shared" si="2"/>
        <v>3730</v>
      </c>
      <c r="E16" s="1">
        <v>0</v>
      </c>
      <c r="F16" s="3">
        <f t="shared" si="0"/>
        <v>83233</v>
      </c>
      <c r="G16" s="7">
        <f t="shared" si="3"/>
        <v>383</v>
      </c>
      <c r="H16" s="2">
        <f t="shared" si="1"/>
        <v>-79503</v>
      </c>
    </row>
    <row r="17" spans="1:8" ht="15">
      <c r="A17" s="60">
        <v>8</v>
      </c>
      <c r="B17" s="108">
        <v>43427</v>
      </c>
      <c r="C17" s="1">
        <v>0</v>
      </c>
      <c r="D17" s="93">
        <f t="shared" si="2"/>
        <v>3730</v>
      </c>
      <c r="E17" s="1">
        <v>2915</v>
      </c>
      <c r="F17" s="3">
        <f t="shared" si="0"/>
        <v>86148</v>
      </c>
      <c r="G17" s="7">
        <f t="shared" si="3"/>
        <v>-2915</v>
      </c>
      <c r="H17" s="2">
        <f t="shared" si="1"/>
        <v>-82418</v>
      </c>
    </row>
    <row r="18" spans="1:8" ht="15">
      <c r="A18" s="60">
        <v>9</v>
      </c>
      <c r="B18" s="108">
        <v>43434</v>
      </c>
      <c r="C18" s="1">
        <v>334</v>
      </c>
      <c r="D18" s="93">
        <f t="shared" si="2"/>
        <v>4064</v>
      </c>
      <c r="E18" s="1">
        <v>54190</v>
      </c>
      <c r="F18" s="3">
        <f t="shared" si="0"/>
        <v>140338</v>
      </c>
      <c r="G18" s="7">
        <f t="shared" si="3"/>
        <v>-53856</v>
      </c>
      <c r="H18" s="2">
        <f t="shared" si="1"/>
        <v>-136274</v>
      </c>
    </row>
    <row r="19" spans="1:8" ht="15">
      <c r="A19" s="60">
        <v>10</v>
      </c>
      <c r="B19" s="108">
        <v>43441</v>
      </c>
      <c r="C19" s="1">
        <v>964</v>
      </c>
      <c r="D19" s="93">
        <f t="shared" si="2"/>
        <v>5028</v>
      </c>
      <c r="E19" s="1">
        <v>7950</v>
      </c>
      <c r="F19" s="3">
        <f t="shared" si="0"/>
        <v>148288</v>
      </c>
      <c r="G19" s="7">
        <f>+C19-E19</f>
        <v>-6986</v>
      </c>
      <c r="H19" s="2">
        <f t="shared" si="1"/>
        <v>-143260</v>
      </c>
    </row>
    <row r="20" spans="1:8" ht="15">
      <c r="A20" s="60">
        <v>11</v>
      </c>
      <c r="B20" s="108">
        <v>43448</v>
      </c>
      <c r="C20" s="1">
        <v>2754</v>
      </c>
      <c r="D20" s="93">
        <f t="shared" si="2"/>
        <v>7782</v>
      </c>
      <c r="E20" s="1">
        <v>0</v>
      </c>
      <c r="F20" s="3">
        <f t="shared" si="0"/>
        <v>148288</v>
      </c>
      <c r="G20" s="7">
        <f t="shared" si="3"/>
        <v>2754</v>
      </c>
      <c r="H20" s="2">
        <f aca="true" t="shared" si="4" ref="H20:H61">G20</f>
        <v>2754</v>
      </c>
    </row>
    <row r="21" spans="1:8" ht="15">
      <c r="A21" s="60">
        <v>12</v>
      </c>
      <c r="B21" s="108">
        <v>43455</v>
      </c>
      <c r="C21" s="1">
        <v>1836</v>
      </c>
      <c r="D21" s="93">
        <f t="shared" si="2"/>
        <v>9618</v>
      </c>
      <c r="E21" s="1">
        <v>0</v>
      </c>
      <c r="F21" s="3">
        <f t="shared" si="0"/>
        <v>148288</v>
      </c>
      <c r="G21" s="7">
        <f t="shared" si="3"/>
        <v>1836</v>
      </c>
      <c r="H21" s="2">
        <f t="shared" si="4"/>
        <v>1836</v>
      </c>
    </row>
    <row r="22" spans="1:8" ht="15">
      <c r="A22" s="60">
        <v>13</v>
      </c>
      <c r="B22" s="108">
        <v>43462</v>
      </c>
      <c r="C22" s="1">
        <v>675</v>
      </c>
      <c r="D22" s="93">
        <f t="shared" si="2"/>
        <v>10293</v>
      </c>
      <c r="E22" s="1">
        <v>2071</v>
      </c>
      <c r="F22" s="3">
        <f t="shared" si="0"/>
        <v>150359</v>
      </c>
      <c r="G22" s="7">
        <f t="shared" si="3"/>
        <v>-1396</v>
      </c>
      <c r="H22" s="2">
        <f t="shared" si="4"/>
        <v>-1396</v>
      </c>
    </row>
    <row r="23" spans="1:8" ht="15">
      <c r="A23" s="60">
        <v>14</v>
      </c>
      <c r="B23" s="108">
        <v>43469</v>
      </c>
      <c r="C23" s="1">
        <v>529</v>
      </c>
      <c r="D23" s="93">
        <f t="shared" si="2"/>
        <v>10822</v>
      </c>
      <c r="E23" s="1">
        <v>11611</v>
      </c>
      <c r="F23" s="3">
        <f t="shared" si="0"/>
        <v>161970</v>
      </c>
      <c r="G23" s="7">
        <f t="shared" si="3"/>
        <v>-11082</v>
      </c>
      <c r="H23" s="2">
        <f t="shared" si="4"/>
        <v>-11082</v>
      </c>
    </row>
    <row r="24" spans="1:8" ht="15">
      <c r="A24" s="60">
        <v>15</v>
      </c>
      <c r="B24" s="108">
        <v>43476</v>
      </c>
      <c r="C24" s="1">
        <v>2820</v>
      </c>
      <c r="D24" s="93">
        <f t="shared" si="2"/>
        <v>13642</v>
      </c>
      <c r="E24" s="1">
        <v>21794</v>
      </c>
      <c r="F24" s="3">
        <f t="shared" si="0"/>
        <v>183764</v>
      </c>
      <c r="G24" s="7">
        <f t="shared" si="3"/>
        <v>-18974</v>
      </c>
      <c r="H24" s="2">
        <f t="shared" si="4"/>
        <v>-18974</v>
      </c>
    </row>
    <row r="25" spans="1:8" ht="15">
      <c r="A25" s="60">
        <v>16</v>
      </c>
      <c r="B25" s="108"/>
      <c r="C25" s="1"/>
      <c r="D25" s="93">
        <f t="shared" si="2"/>
        <v>13642</v>
      </c>
      <c r="E25" s="1"/>
      <c r="F25" s="3">
        <f t="shared" si="0"/>
        <v>183764</v>
      </c>
      <c r="G25" s="7">
        <f t="shared" si="3"/>
        <v>0</v>
      </c>
      <c r="H25" s="2">
        <f t="shared" si="4"/>
        <v>0</v>
      </c>
    </row>
    <row r="26" spans="1:14" ht="15">
      <c r="A26" s="60">
        <v>17</v>
      </c>
      <c r="B26" s="108"/>
      <c r="C26" s="1"/>
      <c r="D26" s="93">
        <f t="shared" si="2"/>
        <v>13642</v>
      </c>
      <c r="E26" s="1"/>
      <c r="F26" s="3">
        <f t="shared" si="0"/>
        <v>183764</v>
      </c>
      <c r="G26" s="7">
        <f t="shared" si="3"/>
        <v>0</v>
      </c>
      <c r="H26" s="2">
        <f t="shared" si="4"/>
        <v>0</v>
      </c>
      <c r="N26" s="92"/>
    </row>
    <row r="27" spans="1:8" ht="15">
      <c r="A27" s="60">
        <v>18</v>
      </c>
      <c r="B27" s="108"/>
      <c r="C27" s="1"/>
      <c r="D27" s="93">
        <f t="shared" si="2"/>
        <v>13642</v>
      </c>
      <c r="E27" s="1"/>
      <c r="F27" s="3">
        <f t="shared" si="0"/>
        <v>183764</v>
      </c>
      <c r="G27" s="7">
        <f t="shared" si="3"/>
        <v>0</v>
      </c>
      <c r="H27" s="2">
        <f t="shared" si="4"/>
        <v>0</v>
      </c>
    </row>
    <row r="28" spans="1:8" ht="15">
      <c r="A28" s="60">
        <v>19</v>
      </c>
      <c r="B28" s="108"/>
      <c r="C28" s="1"/>
      <c r="D28" s="93">
        <f t="shared" si="2"/>
        <v>13642</v>
      </c>
      <c r="E28" s="1"/>
      <c r="F28" s="3">
        <f t="shared" si="0"/>
        <v>183764</v>
      </c>
      <c r="G28" s="7">
        <f t="shared" si="3"/>
        <v>0</v>
      </c>
      <c r="H28" s="2">
        <f t="shared" si="4"/>
        <v>0</v>
      </c>
    </row>
    <row r="29" spans="1:8" ht="15">
      <c r="A29" s="60">
        <v>20</v>
      </c>
      <c r="B29" s="108"/>
      <c r="C29" s="1"/>
      <c r="D29" s="93">
        <f t="shared" si="2"/>
        <v>13642</v>
      </c>
      <c r="E29" s="1"/>
      <c r="F29" s="3">
        <f t="shared" si="0"/>
        <v>183764</v>
      </c>
      <c r="G29" s="7">
        <f t="shared" si="3"/>
        <v>0</v>
      </c>
      <c r="H29" s="2">
        <f t="shared" si="4"/>
        <v>0</v>
      </c>
    </row>
    <row r="30" spans="1:8" ht="15">
      <c r="A30" s="60">
        <v>21</v>
      </c>
      <c r="B30" s="108"/>
      <c r="C30" s="1"/>
      <c r="D30" s="93">
        <f t="shared" si="2"/>
        <v>13642</v>
      </c>
      <c r="E30" s="1"/>
      <c r="F30" s="3">
        <f t="shared" si="0"/>
        <v>183764</v>
      </c>
      <c r="G30" s="7">
        <f t="shared" si="3"/>
        <v>0</v>
      </c>
      <c r="H30" s="2">
        <f t="shared" si="4"/>
        <v>0</v>
      </c>
    </row>
    <row r="31" spans="1:8" ht="15">
      <c r="A31" s="60">
        <v>22</v>
      </c>
      <c r="B31" s="108"/>
      <c r="C31" s="1"/>
      <c r="D31" s="93">
        <f t="shared" si="2"/>
        <v>13642</v>
      </c>
      <c r="E31" s="1"/>
      <c r="F31" s="3">
        <f t="shared" si="0"/>
        <v>183764</v>
      </c>
      <c r="G31" s="7">
        <f t="shared" si="3"/>
        <v>0</v>
      </c>
      <c r="H31" s="2">
        <f t="shared" si="4"/>
        <v>0</v>
      </c>
    </row>
    <row r="32" spans="1:8" ht="15">
      <c r="A32" s="60">
        <v>23</v>
      </c>
      <c r="B32" s="108"/>
      <c r="C32" s="1"/>
      <c r="D32" s="93">
        <f t="shared" si="2"/>
        <v>13642</v>
      </c>
      <c r="E32" s="1"/>
      <c r="F32" s="3">
        <f t="shared" si="0"/>
        <v>183764</v>
      </c>
      <c r="G32" s="7">
        <f t="shared" si="3"/>
        <v>0</v>
      </c>
      <c r="H32" s="2">
        <f t="shared" si="4"/>
        <v>0</v>
      </c>
    </row>
    <row r="33" spans="1:8" ht="15">
      <c r="A33" s="60">
        <v>24</v>
      </c>
      <c r="B33" s="108"/>
      <c r="C33" s="1"/>
      <c r="D33" s="93">
        <f t="shared" si="2"/>
        <v>13642</v>
      </c>
      <c r="E33" s="1"/>
      <c r="F33" s="3">
        <f t="shared" si="0"/>
        <v>183764</v>
      </c>
      <c r="G33" s="7">
        <f t="shared" si="3"/>
        <v>0</v>
      </c>
      <c r="H33" s="2">
        <f t="shared" si="4"/>
        <v>0</v>
      </c>
    </row>
    <row r="34" spans="1:8" ht="15">
      <c r="A34" s="60">
        <v>25</v>
      </c>
      <c r="B34" s="108"/>
      <c r="C34" s="1"/>
      <c r="D34" s="93">
        <f t="shared" si="2"/>
        <v>13642</v>
      </c>
      <c r="E34" s="1"/>
      <c r="F34" s="3">
        <f t="shared" si="0"/>
        <v>183764</v>
      </c>
      <c r="G34" s="7">
        <f t="shared" si="3"/>
        <v>0</v>
      </c>
      <c r="H34" s="2">
        <f t="shared" si="4"/>
        <v>0</v>
      </c>
    </row>
    <row r="35" spans="1:8" ht="15">
      <c r="A35" s="60">
        <v>26</v>
      </c>
      <c r="B35" s="108"/>
      <c r="C35" s="1"/>
      <c r="D35" s="93">
        <f t="shared" si="2"/>
        <v>13642</v>
      </c>
      <c r="E35" s="1"/>
      <c r="F35" s="3">
        <f t="shared" si="0"/>
        <v>183764</v>
      </c>
      <c r="G35" s="7">
        <f t="shared" si="3"/>
        <v>0</v>
      </c>
      <c r="H35" s="2">
        <f t="shared" si="4"/>
        <v>0</v>
      </c>
    </row>
    <row r="36" spans="1:8" ht="15">
      <c r="A36" s="60">
        <v>27</v>
      </c>
      <c r="B36" s="108"/>
      <c r="C36" s="1"/>
      <c r="D36" s="93">
        <f t="shared" si="2"/>
        <v>13642</v>
      </c>
      <c r="E36" s="1"/>
      <c r="F36" s="3">
        <f t="shared" si="0"/>
        <v>183764</v>
      </c>
      <c r="G36" s="7">
        <f t="shared" si="3"/>
        <v>0</v>
      </c>
      <c r="H36" s="2">
        <f t="shared" si="4"/>
        <v>0</v>
      </c>
    </row>
    <row r="37" spans="1:8" ht="15">
      <c r="A37" s="60">
        <v>28</v>
      </c>
      <c r="B37" s="108"/>
      <c r="C37" s="1"/>
      <c r="D37" s="93">
        <f t="shared" si="2"/>
        <v>13642</v>
      </c>
      <c r="E37" s="1"/>
      <c r="F37" s="3">
        <f t="shared" si="0"/>
        <v>183764</v>
      </c>
      <c r="G37" s="7">
        <f t="shared" si="3"/>
        <v>0</v>
      </c>
      <c r="H37" s="2">
        <f t="shared" si="4"/>
        <v>0</v>
      </c>
    </row>
    <row r="38" spans="1:8" ht="15">
      <c r="A38" s="60">
        <v>29</v>
      </c>
      <c r="B38" s="108"/>
      <c r="C38" s="1"/>
      <c r="D38" s="93">
        <f t="shared" si="2"/>
        <v>13642</v>
      </c>
      <c r="E38" s="1"/>
      <c r="F38" s="3">
        <f t="shared" si="0"/>
        <v>183764</v>
      </c>
      <c r="G38" s="7">
        <f t="shared" si="3"/>
        <v>0</v>
      </c>
      <c r="H38" s="2">
        <f t="shared" si="4"/>
        <v>0</v>
      </c>
    </row>
    <row r="39" spans="1:8" ht="15">
      <c r="A39" s="60">
        <v>30</v>
      </c>
      <c r="B39" s="108"/>
      <c r="C39" s="1"/>
      <c r="D39" s="93">
        <f t="shared" si="2"/>
        <v>13642</v>
      </c>
      <c r="E39" s="1"/>
      <c r="F39" s="3">
        <f t="shared" si="0"/>
        <v>183764</v>
      </c>
      <c r="G39" s="7">
        <f t="shared" si="3"/>
        <v>0</v>
      </c>
      <c r="H39" s="2">
        <f t="shared" si="4"/>
        <v>0</v>
      </c>
    </row>
    <row r="40" spans="1:8" ht="15">
      <c r="A40" s="60">
        <v>31</v>
      </c>
      <c r="B40" s="108"/>
      <c r="C40" s="1"/>
      <c r="D40" s="93">
        <f t="shared" si="2"/>
        <v>13642</v>
      </c>
      <c r="E40" s="1"/>
      <c r="F40" s="3">
        <f t="shared" si="0"/>
        <v>183764</v>
      </c>
      <c r="G40" s="7">
        <f t="shared" si="3"/>
        <v>0</v>
      </c>
      <c r="H40" s="2">
        <f t="shared" si="4"/>
        <v>0</v>
      </c>
    </row>
    <row r="41" spans="1:8" ht="15">
      <c r="A41" s="60">
        <v>32</v>
      </c>
      <c r="B41" s="108"/>
      <c r="C41" s="1"/>
      <c r="D41" s="93">
        <f t="shared" si="2"/>
        <v>13642</v>
      </c>
      <c r="E41" s="1"/>
      <c r="F41" s="3">
        <f t="shared" si="0"/>
        <v>183764</v>
      </c>
      <c r="G41" s="7">
        <f t="shared" si="3"/>
        <v>0</v>
      </c>
      <c r="H41" s="2">
        <f t="shared" si="4"/>
        <v>0</v>
      </c>
    </row>
    <row r="42" spans="1:8" ht="15">
      <c r="A42" s="60">
        <v>33</v>
      </c>
      <c r="B42" s="108"/>
      <c r="C42" s="1"/>
      <c r="D42" s="93">
        <f t="shared" si="2"/>
        <v>13642</v>
      </c>
      <c r="E42" s="1"/>
      <c r="F42" s="3">
        <f t="shared" si="0"/>
        <v>183764</v>
      </c>
      <c r="G42" s="7">
        <f t="shared" si="3"/>
        <v>0</v>
      </c>
      <c r="H42" s="2">
        <f t="shared" si="4"/>
        <v>0</v>
      </c>
    </row>
    <row r="43" spans="1:8" ht="15">
      <c r="A43" s="60">
        <v>34</v>
      </c>
      <c r="B43" s="108"/>
      <c r="C43" s="1"/>
      <c r="D43" s="93">
        <f t="shared" si="2"/>
        <v>13642</v>
      </c>
      <c r="E43" s="1"/>
      <c r="F43" s="3">
        <f t="shared" si="0"/>
        <v>183764</v>
      </c>
      <c r="G43" s="7">
        <f t="shared" si="3"/>
        <v>0</v>
      </c>
      <c r="H43" s="2">
        <f t="shared" si="4"/>
        <v>0</v>
      </c>
    </row>
    <row r="44" spans="1:8" ht="15">
      <c r="A44" s="60">
        <v>35</v>
      </c>
      <c r="B44" s="108"/>
      <c r="C44" s="1"/>
      <c r="D44" s="93">
        <f t="shared" si="2"/>
        <v>13642</v>
      </c>
      <c r="E44" s="1"/>
      <c r="F44" s="3">
        <f t="shared" si="0"/>
        <v>183764</v>
      </c>
      <c r="G44" s="7">
        <f t="shared" si="3"/>
        <v>0</v>
      </c>
      <c r="H44" s="2">
        <f t="shared" si="4"/>
        <v>0</v>
      </c>
    </row>
    <row r="45" spans="1:8" ht="15">
      <c r="A45" s="60">
        <v>36</v>
      </c>
      <c r="B45" s="108"/>
      <c r="C45" s="1"/>
      <c r="D45" s="93">
        <f t="shared" si="2"/>
        <v>13642</v>
      </c>
      <c r="E45" s="1"/>
      <c r="F45" s="3">
        <f t="shared" si="0"/>
        <v>183764</v>
      </c>
      <c r="G45" s="7">
        <f t="shared" si="3"/>
        <v>0</v>
      </c>
      <c r="H45" s="2">
        <f t="shared" si="4"/>
        <v>0</v>
      </c>
    </row>
    <row r="46" spans="1:8" ht="15">
      <c r="A46" s="60">
        <v>37</v>
      </c>
      <c r="B46" s="108"/>
      <c r="C46" s="1"/>
      <c r="D46" s="93">
        <f t="shared" si="2"/>
        <v>13642</v>
      </c>
      <c r="E46" s="1"/>
      <c r="F46" s="3">
        <f t="shared" si="0"/>
        <v>183764</v>
      </c>
      <c r="G46" s="7">
        <f t="shared" si="3"/>
        <v>0</v>
      </c>
      <c r="H46" s="2">
        <f t="shared" si="4"/>
        <v>0</v>
      </c>
    </row>
    <row r="47" spans="1:8" ht="15">
      <c r="A47" s="60">
        <v>38</v>
      </c>
      <c r="B47" s="108"/>
      <c r="C47" s="1"/>
      <c r="D47" s="93">
        <f t="shared" si="2"/>
        <v>13642</v>
      </c>
      <c r="E47" s="1"/>
      <c r="F47" s="3">
        <f t="shared" si="0"/>
        <v>183764</v>
      </c>
      <c r="G47" s="7">
        <f t="shared" si="3"/>
        <v>0</v>
      </c>
      <c r="H47" s="2">
        <f t="shared" si="4"/>
        <v>0</v>
      </c>
    </row>
    <row r="48" spans="1:11" ht="15">
      <c r="A48" s="60">
        <v>39</v>
      </c>
      <c r="B48" s="108"/>
      <c r="C48" s="1"/>
      <c r="D48" s="93">
        <f t="shared" si="2"/>
        <v>13642</v>
      </c>
      <c r="E48" s="1"/>
      <c r="F48" s="3">
        <f t="shared" si="0"/>
        <v>183764</v>
      </c>
      <c r="G48" s="7">
        <f t="shared" si="3"/>
        <v>0</v>
      </c>
      <c r="H48" s="2">
        <f t="shared" si="4"/>
        <v>0</v>
      </c>
      <c r="K48" s="13"/>
    </row>
    <row r="49" spans="1:8" ht="15">
      <c r="A49" s="60">
        <v>40</v>
      </c>
      <c r="B49" s="108"/>
      <c r="C49" s="1"/>
      <c r="D49" s="93">
        <f t="shared" si="2"/>
        <v>13642</v>
      </c>
      <c r="E49" s="1"/>
      <c r="F49" s="3">
        <f t="shared" si="0"/>
        <v>183764</v>
      </c>
      <c r="G49" s="7">
        <f t="shared" si="3"/>
        <v>0</v>
      </c>
      <c r="H49" s="2">
        <f t="shared" si="4"/>
        <v>0</v>
      </c>
    </row>
    <row r="50" spans="1:8" ht="15">
      <c r="A50" s="60">
        <v>41</v>
      </c>
      <c r="B50" s="108"/>
      <c r="C50" s="1"/>
      <c r="D50" s="93">
        <f t="shared" si="2"/>
        <v>13642</v>
      </c>
      <c r="E50" s="1"/>
      <c r="F50" s="3">
        <f t="shared" si="0"/>
        <v>183764</v>
      </c>
      <c r="G50" s="7">
        <f t="shared" si="3"/>
        <v>0</v>
      </c>
      <c r="H50" s="2">
        <f t="shared" si="4"/>
        <v>0</v>
      </c>
    </row>
    <row r="51" spans="1:8" ht="15">
      <c r="A51" s="60">
        <v>42</v>
      </c>
      <c r="B51" s="108"/>
      <c r="C51" s="1"/>
      <c r="D51" s="93">
        <f t="shared" si="2"/>
        <v>13642</v>
      </c>
      <c r="E51" s="1"/>
      <c r="F51" s="3">
        <f t="shared" si="0"/>
        <v>183764</v>
      </c>
      <c r="G51" s="7">
        <f t="shared" si="3"/>
        <v>0</v>
      </c>
      <c r="H51" s="2">
        <f t="shared" si="4"/>
        <v>0</v>
      </c>
    </row>
    <row r="52" spans="1:8" ht="15">
      <c r="A52" s="60">
        <v>43</v>
      </c>
      <c r="B52" s="108"/>
      <c r="C52" s="1"/>
      <c r="D52" s="93">
        <f t="shared" si="2"/>
        <v>13642</v>
      </c>
      <c r="E52" s="1"/>
      <c r="F52" s="3">
        <f t="shared" si="0"/>
        <v>183764</v>
      </c>
      <c r="G52" s="7">
        <f t="shared" si="3"/>
        <v>0</v>
      </c>
      <c r="H52" s="2">
        <f t="shared" si="4"/>
        <v>0</v>
      </c>
    </row>
    <row r="53" spans="1:8" ht="15">
      <c r="A53" s="60">
        <v>44</v>
      </c>
      <c r="B53" s="108"/>
      <c r="C53" s="1"/>
      <c r="D53" s="93">
        <f t="shared" si="2"/>
        <v>13642</v>
      </c>
      <c r="E53" s="1"/>
      <c r="F53" s="3">
        <f t="shared" si="0"/>
        <v>183764</v>
      </c>
      <c r="G53" s="7">
        <f t="shared" si="3"/>
        <v>0</v>
      </c>
      <c r="H53" s="2">
        <f t="shared" si="4"/>
        <v>0</v>
      </c>
    </row>
    <row r="54" spans="1:8" ht="15">
      <c r="A54" s="60">
        <v>45</v>
      </c>
      <c r="B54" s="108"/>
      <c r="C54" s="1"/>
      <c r="D54" s="93">
        <f t="shared" si="2"/>
        <v>13642</v>
      </c>
      <c r="E54" s="1"/>
      <c r="F54" s="3">
        <f t="shared" si="0"/>
        <v>183764</v>
      </c>
      <c r="G54" s="7">
        <f t="shared" si="3"/>
        <v>0</v>
      </c>
      <c r="H54" s="2">
        <f t="shared" si="4"/>
        <v>0</v>
      </c>
    </row>
    <row r="55" spans="1:8" ht="15">
      <c r="A55" s="60">
        <v>46</v>
      </c>
      <c r="B55" s="108"/>
      <c r="C55" s="1"/>
      <c r="D55" s="93">
        <f t="shared" si="2"/>
        <v>13642</v>
      </c>
      <c r="E55" s="1"/>
      <c r="F55" s="3">
        <f t="shared" si="0"/>
        <v>183764</v>
      </c>
      <c r="G55" s="7">
        <f t="shared" si="3"/>
        <v>0</v>
      </c>
      <c r="H55" s="2">
        <f t="shared" si="4"/>
        <v>0</v>
      </c>
    </row>
    <row r="56" spans="1:8" ht="15">
      <c r="A56" s="60">
        <v>47</v>
      </c>
      <c r="B56" s="108"/>
      <c r="C56" s="1"/>
      <c r="D56" s="93">
        <f t="shared" si="2"/>
        <v>13642</v>
      </c>
      <c r="E56" s="1"/>
      <c r="F56" s="3">
        <f t="shared" si="0"/>
        <v>183764</v>
      </c>
      <c r="G56" s="7">
        <f t="shared" si="3"/>
        <v>0</v>
      </c>
      <c r="H56" s="2">
        <f t="shared" si="4"/>
        <v>0</v>
      </c>
    </row>
    <row r="57" spans="1:8" ht="15">
      <c r="A57" s="60">
        <v>48</v>
      </c>
      <c r="B57" s="108"/>
      <c r="C57" s="1"/>
      <c r="D57" s="93">
        <f t="shared" si="2"/>
        <v>13642</v>
      </c>
      <c r="E57" s="1"/>
      <c r="F57" s="3">
        <f t="shared" si="0"/>
        <v>183764</v>
      </c>
      <c r="G57" s="7">
        <f t="shared" si="3"/>
        <v>0</v>
      </c>
      <c r="H57" s="2">
        <f t="shared" si="4"/>
        <v>0</v>
      </c>
    </row>
    <row r="58" spans="1:8" ht="15">
      <c r="A58" s="60">
        <v>49</v>
      </c>
      <c r="B58" s="108"/>
      <c r="C58" s="1"/>
      <c r="D58" s="93">
        <f t="shared" si="2"/>
        <v>13642</v>
      </c>
      <c r="E58" s="1"/>
      <c r="F58" s="3">
        <f t="shared" si="0"/>
        <v>183764</v>
      </c>
      <c r="G58" s="7">
        <f t="shared" si="3"/>
        <v>0</v>
      </c>
      <c r="H58" s="2">
        <f t="shared" si="4"/>
        <v>0</v>
      </c>
    </row>
    <row r="59" spans="1:8" ht="15">
      <c r="A59" s="60">
        <v>50</v>
      </c>
      <c r="B59" s="108"/>
      <c r="C59" s="1"/>
      <c r="D59" s="93">
        <f t="shared" si="2"/>
        <v>13642</v>
      </c>
      <c r="E59" s="1"/>
      <c r="F59" s="3">
        <f t="shared" si="0"/>
        <v>183764</v>
      </c>
      <c r="G59" s="7">
        <f t="shared" si="3"/>
        <v>0</v>
      </c>
      <c r="H59" s="2">
        <f t="shared" si="4"/>
        <v>0</v>
      </c>
    </row>
    <row r="60" spans="1:8" ht="15">
      <c r="A60" s="60">
        <v>51</v>
      </c>
      <c r="B60" s="108"/>
      <c r="C60" s="1"/>
      <c r="D60" s="93">
        <f t="shared" si="2"/>
        <v>13642</v>
      </c>
      <c r="E60" s="1"/>
      <c r="F60" s="3">
        <f t="shared" si="0"/>
        <v>183764</v>
      </c>
      <c r="G60" s="7">
        <f t="shared" si="3"/>
        <v>0</v>
      </c>
      <c r="H60" s="2">
        <f t="shared" si="4"/>
        <v>0</v>
      </c>
    </row>
    <row r="61" spans="1:8" ht="15.75" thickBot="1">
      <c r="A61" s="60">
        <v>52</v>
      </c>
      <c r="B61" s="110"/>
      <c r="C61" s="64"/>
      <c r="D61" s="63">
        <f t="shared" si="2"/>
        <v>13642</v>
      </c>
      <c r="E61" s="64"/>
      <c r="F61" s="63">
        <f t="shared" si="0"/>
        <v>183764</v>
      </c>
      <c r="G61" s="63">
        <f t="shared" si="3"/>
        <v>0</v>
      </c>
      <c r="H61" s="63">
        <f t="shared" si="4"/>
        <v>0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="81" zoomScaleNormal="81" zoomScalePageLayoutView="0" workbookViewId="0" topLeftCell="A43">
      <pane xSplit="1" topLeftCell="B1" activePane="topRight" state="frozen"/>
      <selection pane="topLeft" activeCell="A1" sqref="A1"/>
      <selection pane="topRight" activeCell="R56" sqref="R56"/>
    </sheetView>
  </sheetViews>
  <sheetFormatPr defaultColWidth="9.140625" defaultRowHeight="12.75"/>
  <cols>
    <col min="1" max="1" width="15.7109375" style="15" customWidth="1"/>
    <col min="2" max="2" width="10.00390625" style="15" customWidth="1"/>
    <col min="3" max="3" width="10.7109375" style="15" customWidth="1"/>
    <col min="4" max="4" width="13.140625" style="15" customWidth="1"/>
    <col min="5" max="5" width="17.57421875" style="15" bestFit="1" customWidth="1"/>
    <col min="6" max="6" width="9.57421875" style="15" hidden="1" customWidth="1"/>
    <col min="7" max="7" width="11.7109375" style="15" hidden="1" customWidth="1"/>
    <col min="8" max="8" width="10.7109375" style="15" hidden="1" customWidth="1"/>
    <col min="9" max="12" width="12.00390625" style="15" hidden="1" customWidth="1"/>
    <col min="13" max="18" width="12.00390625" style="15" customWidth="1"/>
    <col min="19" max="16384" width="9.140625" style="15" customWidth="1"/>
  </cols>
  <sheetData>
    <row r="1" ht="12.75">
      <c r="A1" s="16" t="s">
        <v>35</v>
      </c>
    </row>
    <row r="2" ht="12.75">
      <c r="A2" s="14" t="s">
        <v>36</v>
      </c>
    </row>
    <row r="4" ht="12.75">
      <c r="A4" s="16" t="s">
        <v>3</v>
      </c>
    </row>
    <row r="5" ht="12.75">
      <c r="A5" s="16"/>
    </row>
    <row r="6" spans="1:2" ht="12.75">
      <c r="A6" s="15" t="s">
        <v>46</v>
      </c>
      <c r="B6" s="65" t="s">
        <v>68</v>
      </c>
    </row>
    <row r="7" spans="1:2" ht="12.75">
      <c r="A7" s="17" t="s">
        <v>31</v>
      </c>
      <c r="B7" s="15" t="s">
        <v>27</v>
      </c>
    </row>
    <row r="8" spans="1:5" ht="12.75">
      <c r="A8" s="17" t="s">
        <v>25</v>
      </c>
      <c r="B8" s="18" t="s">
        <v>28</v>
      </c>
      <c r="C8" s="18"/>
      <c r="D8" s="18"/>
      <c r="E8" s="18"/>
    </row>
    <row r="9" spans="1:5" ht="12.75">
      <c r="A9" s="17" t="s">
        <v>26</v>
      </c>
      <c r="B9" s="18" t="s">
        <v>48</v>
      </c>
      <c r="C9" s="18"/>
      <c r="D9" s="18"/>
      <c r="E9" s="17"/>
    </row>
    <row r="10" spans="1:5" ht="12.75">
      <c r="A10" s="17" t="s">
        <v>49</v>
      </c>
      <c r="B10" s="18" t="s">
        <v>47</v>
      </c>
      <c r="C10" s="18"/>
      <c r="D10" s="18"/>
      <c r="E10" s="19"/>
    </row>
    <row r="11" spans="1:5" ht="12.75">
      <c r="A11" s="17" t="s">
        <v>50</v>
      </c>
      <c r="B11" s="18" t="s">
        <v>53</v>
      </c>
      <c r="C11" s="18"/>
      <c r="D11" s="18"/>
      <c r="E11" s="19"/>
    </row>
    <row r="12" spans="1:5" ht="12.75">
      <c r="A12" s="17" t="s">
        <v>52</v>
      </c>
      <c r="B12" s="17" t="s">
        <v>57</v>
      </c>
      <c r="C12" s="17"/>
      <c r="D12" s="17"/>
      <c r="E12" s="19"/>
    </row>
    <row r="13" spans="1:5" ht="12.75">
      <c r="A13" s="17" t="s">
        <v>58</v>
      </c>
      <c r="B13" s="17" t="s">
        <v>59</v>
      </c>
      <c r="C13" s="17"/>
      <c r="D13" s="17"/>
      <c r="E13" s="19">
        <v>40450</v>
      </c>
    </row>
    <row r="14" spans="1:5" ht="12.75">
      <c r="A14" s="15" t="s">
        <v>61</v>
      </c>
      <c r="B14" s="17" t="s">
        <v>62</v>
      </c>
      <c r="C14" s="17"/>
      <c r="D14" s="17"/>
      <c r="E14" s="19">
        <v>40816</v>
      </c>
    </row>
    <row r="15" spans="1:5" ht="12.75">
      <c r="A15" s="15" t="s">
        <v>64</v>
      </c>
      <c r="B15" s="17" t="s">
        <v>65</v>
      </c>
      <c r="C15" s="17"/>
      <c r="D15" s="17"/>
      <c r="E15" s="19">
        <v>41180</v>
      </c>
    </row>
    <row r="16" spans="1:5" ht="12.75">
      <c r="A16" s="65" t="s">
        <v>69</v>
      </c>
      <c r="B16" s="66" t="s">
        <v>70</v>
      </c>
      <c r="C16" s="17"/>
      <c r="D16" s="17"/>
      <c r="E16" s="68">
        <v>41544</v>
      </c>
    </row>
    <row r="17" spans="1:5" ht="12.75">
      <c r="A17" s="65" t="s">
        <v>72</v>
      </c>
      <c r="B17" s="66" t="s">
        <v>73</v>
      </c>
      <c r="C17" s="17"/>
      <c r="D17" s="17"/>
      <c r="E17" s="68">
        <v>41908</v>
      </c>
    </row>
    <row r="18" spans="1:5" ht="12.75">
      <c r="A18" s="65" t="s">
        <v>76</v>
      </c>
      <c r="B18" s="66" t="s">
        <v>81</v>
      </c>
      <c r="C18" s="17"/>
      <c r="D18" s="17"/>
      <c r="E18" s="68">
        <v>42272</v>
      </c>
    </row>
    <row r="19" spans="1:5" ht="12.75">
      <c r="A19" s="65" t="s">
        <v>80</v>
      </c>
      <c r="B19" s="66" t="s">
        <v>102</v>
      </c>
      <c r="C19" s="17"/>
      <c r="D19" s="17"/>
      <c r="E19" s="68">
        <v>42643</v>
      </c>
    </row>
    <row r="20" spans="1:5" ht="13.5" thickBot="1">
      <c r="A20" s="65" t="s">
        <v>82</v>
      </c>
      <c r="B20" s="66" t="s">
        <v>103</v>
      </c>
      <c r="C20" s="17"/>
      <c r="D20" s="17"/>
      <c r="E20" s="109">
        <f>'Data 2018_19'!B24</f>
        <v>43476</v>
      </c>
    </row>
    <row r="21" spans="1:18" ht="12.75">
      <c r="A21" s="99" t="s">
        <v>30</v>
      </c>
      <c r="B21" s="119" t="s">
        <v>32</v>
      </c>
      <c r="C21" s="120"/>
      <c r="D21" s="120"/>
      <c r="E21" s="104">
        <f>E20</f>
        <v>43476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116"/>
    </row>
    <row r="22" spans="1:18" s="16" customFormat="1" ht="13.5" thickBot="1">
      <c r="A22" s="101" t="s">
        <v>29</v>
      </c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00"/>
      <c r="M22" s="100"/>
      <c r="N22" s="100"/>
      <c r="O22" s="102"/>
      <c r="P22" s="102"/>
      <c r="Q22" s="102"/>
      <c r="R22" s="113"/>
    </row>
    <row r="23" spans="1:18" ht="13.5" thickBot="1">
      <c r="A23" s="87"/>
      <c r="B23" s="82" t="s">
        <v>18</v>
      </c>
      <c r="C23" s="83" t="s">
        <v>17</v>
      </c>
      <c r="D23" s="83" t="s">
        <v>20</v>
      </c>
      <c r="E23" s="84" t="s">
        <v>23</v>
      </c>
      <c r="F23" s="83" t="s">
        <v>41</v>
      </c>
      <c r="G23" s="85" t="s">
        <v>44</v>
      </c>
      <c r="H23" s="81" t="s">
        <v>51</v>
      </c>
      <c r="I23" s="86" t="s">
        <v>56</v>
      </c>
      <c r="J23" s="86" t="s">
        <v>61</v>
      </c>
      <c r="K23" s="85" t="s">
        <v>64</v>
      </c>
      <c r="L23" s="82" t="s">
        <v>69</v>
      </c>
      <c r="M23" s="81" t="s">
        <v>72</v>
      </c>
      <c r="N23" s="81" t="s">
        <v>76</v>
      </c>
      <c r="O23" s="103" t="s">
        <v>80</v>
      </c>
      <c r="P23" s="103" t="s">
        <v>82</v>
      </c>
      <c r="Q23" s="103" t="s">
        <v>90</v>
      </c>
      <c r="R23" s="103" t="s">
        <v>95</v>
      </c>
    </row>
    <row r="24" spans="1:18" ht="12.75">
      <c r="A24" s="31" t="s">
        <v>12</v>
      </c>
      <c r="B24" s="33"/>
      <c r="C24" s="35"/>
      <c r="D24" s="37"/>
      <c r="E24" s="35"/>
      <c r="F24" s="41"/>
      <c r="G24" s="35"/>
      <c r="H24" s="41"/>
      <c r="I24" s="39"/>
      <c r="J24" s="22"/>
      <c r="K24" s="78"/>
      <c r="L24" s="88">
        <f>288</f>
        <v>288</v>
      </c>
      <c r="M24" s="41"/>
      <c r="N24" s="41"/>
      <c r="O24" s="41"/>
      <c r="P24" s="41"/>
      <c r="Q24" s="41"/>
      <c r="R24" s="41"/>
    </row>
    <row r="25" spans="1:18" ht="12.75">
      <c r="A25" s="32" t="s">
        <v>11</v>
      </c>
      <c r="B25" s="34"/>
      <c r="C25" s="36"/>
      <c r="D25" s="38"/>
      <c r="E25" s="36"/>
      <c r="F25" s="38"/>
      <c r="G25" s="36"/>
      <c r="H25" s="38"/>
      <c r="I25" s="40"/>
      <c r="J25" s="24"/>
      <c r="K25" s="79"/>
      <c r="L25" s="89">
        <f>106+278</f>
        <v>384</v>
      </c>
      <c r="M25" s="38"/>
      <c r="N25" s="38"/>
      <c r="O25" s="38"/>
      <c r="P25" s="38"/>
      <c r="Q25" s="38"/>
      <c r="R25" s="38"/>
    </row>
    <row r="26" spans="1:18" ht="12.75">
      <c r="A26" s="32" t="s">
        <v>4</v>
      </c>
      <c r="B26" s="34" t="s">
        <v>0</v>
      </c>
      <c r="C26" s="36">
        <f>383710+11574+18145</f>
        <v>413429</v>
      </c>
      <c r="D26" s="38">
        <f>23707+11660+16810+22498+18515+20763+8366+6437+17854+27033+5767+960+104177</f>
        <v>284547</v>
      </c>
      <c r="E26" s="36">
        <f>7158+6302+1385+23292+1074+8500+7888+7087+17536+25000+11750</f>
        <v>116972</v>
      </c>
      <c r="F26" s="69">
        <f>30695+20109+9297+24369+23267+15469+10019+13945+12000+14465+17199+3688+10055+4998+8777+5433+5910+6571</f>
        <v>236266</v>
      </c>
      <c r="G26" s="36">
        <f>6975+517+17523+9977+24648+15873+4756+11888+17368+32282+16100+27193+11610+15165+13045+77466+11127+12100+16418+31906+30465-926</f>
        <v>403476</v>
      </c>
      <c r="H26" s="38">
        <f>26607+23467+36337+22435</f>
        <v>108846</v>
      </c>
      <c r="I26" s="40">
        <f>17068+4193+3945+23081+26992+17014+6044+3110+4942+27000+31941</f>
        <v>165330</v>
      </c>
      <c r="J26" s="24">
        <f>29836+4292+11816+10000+17553+5701+6358+37587+10000+30908+12216+18751+28983+16500+10000+21077+7395+13511+12039+43857+5920+7954+51190+11681+42334+8545+8807+10000+3054+18456+7500+8572+53907</f>
        <v>586300</v>
      </c>
      <c r="K26" s="79">
        <f>19464+601+6205+12620+15684+58341</f>
        <v>112915</v>
      </c>
      <c r="L26" s="89">
        <f>22942+5289+7758+6583</f>
        <v>42572</v>
      </c>
      <c r="M26" s="38">
        <f>10417+7985+13274+507+10495+7258+3526+6307</f>
        <v>59769</v>
      </c>
      <c r="N26" s="38">
        <f>6501+9025+10253+2532</f>
        <v>28311</v>
      </c>
      <c r="O26" s="38">
        <f>20069+11405+36055+19966+13907+23284+10687+6868+920+8799+12089+6599+7259</f>
        <v>177907</v>
      </c>
      <c r="P26" s="38">
        <f>29767+6099+7192+5900+5861+94+6028</f>
        <v>60941</v>
      </c>
      <c r="Q26" s="38">
        <f>8817+7710+6804+9209+296+29102+2223+22871</f>
        <v>87032</v>
      </c>
      <c r="R26" s="38">
        <f>7950</f>
        <v>7950</v>
      </c>
    </row>
    <row r="27" spans="1:18" ht="12.75">
      <c r="A27" s="32" t="s">
        <v>22</v>
      </c>
      <c r="B27" s="34"/>
      <c r="C27" s="36"/>
      <c r="D27" s="38">
        <f>24250+10120</f>
        <v>34370</v>
      </c>
      <c r="E27" s="36">
        <f>19957+4969+10567+23879</f>
        <v>59372</v>
      </c>
      <c r="F27" s="38">
        <f>29005+10671+9376+13678+32660+27857+31572</f>
        <v>154819</v>
      </c>
      <c r="G27" s="36">
        <f>27997+9703+20683+2547+24672+26711+26930+4759+6014+10618+24749+7321+381</f>
        <v>193085</v>
      </c>
      <c r="H27" s="38">
        <f>20262+18184+13178+3207</f>
        <v>54831</v>
      </c>
      <c r="I27" s="40">
        <f>12561+33000+27350</f>
        <v>72911</v>
      </c>
      <c r="J27" s="24">
        <f>32850+8621+29004+3352+5870</f>
        <v>79697</v>
      </c>
      <c r="K27" s="79">
        <f>2988+42264</f>
        <v>45252</v>
      </c>
      <c r="L27" s="89">
        <f>13402+16500+18681</f>
        <v>48583</v>
      </c>
      <c r="M27" s="38">
        <f>16155+6502+21750+42348+6231+20107</f>
        <v>113093</v>
      </c>
      <c r="N27" s="38">
        <f>7644+8704+34793+3001+25666+945+24056+1712</f>
        <v>106521</v>
      </c>
      <c r="O27" s="38">
        <f>5500+24568+15868+2903+29827+24150</f>
        <v>102816</v>
      </c>
      <c r="P27" s="38">
        <f>7743+5948+7146+7004</f>
        <v>27841</v>
      </c>
      <c r="Q27" s="38">
        <f>37529+9986+8004+35175</f>
        <v>90694</v>
      </c>
      <c r="R27" s="38">
        <f>15972+6449+12557</f>
        <v>34978</v>
      </c>
    </row>
    <row r="28" spans="1:18" ht="12.75">
      <c r="A28" s="32" t="s">
        <v>8</v>
      </c>
      <c r="B28" s="34" t="s">
        <v>0</v>
      </c>
      <c r="C28" s="36">
        <v>12199</v>
      </c>
      <c r="D28" s="38">
        <f>14413+10506+2271+18723+3110+11793+22061+3641+850+26432</f>
        <v>113800</v>
      </c>
      <c r="E28" s="36">
        <f>1182+422+42143+2324+9006+34350+4991+13915+10598+9709+26155+10762+29807+5001+16111+5514+10859+13682+10047+4799+8798+6513+8244+2758+12144+11929+16850+3143+23412</f>
        <v>355168</v>
      </c>
      <c r="F28" s="38">
        <f>26624+21955+9497+4013+18560</f>
        <v>80649</v>
      </c>
      <c r="G28" s="36">
        <f>43623+13604+20980+13228+14560+5018</f>
        <v>111013</v>
      </c>
      <c r="H28" s="38">
        <f>6275+28993+34852+10270+3295+16707+30167+9300+7338+9339+6963+8888+19851+19160+17574+15323+809+7001+1426+12500+18997+5003+44564+27267+13306+418+26383+9558+11581+9361+5088+20798+15135+29083+12016</f>
        <v>514589</v>
      </c>
      <c r="I28" s="40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28" s="24">
        <f>8462+4499+13500+8863+8080+10000+3865+31329</f>
        <v>88598</v>
      </c>
      <c r="K28" s="79">
        <f>66657+4809+34498</f>
        <v>105964</v>
      </c>
      <c r="L28" s="89">
        <f>35028+7939+1797+9715+33755+7242</f>
        <v>95476</v>
      </c>
      <c r="M28" s="38">
        <f>56443+13231+2841+10649+18299+38245+24562+13869</f>
        <v>178139</v>
      </c>
      <c r="N28" s="38">
        <f>33450+5586+7870+41872+4422+43953+30880+41634+26219+12779+24827+33477+22181+11964+12930+1219</f>
        <v>355263</v>
      </c>
      <c r="O28" s="38">
        <f>7173+27357+22125+11893+27130+8009+40817+44545+11918+22081+15304+43272+1827</f>
        <v>283451</v>
      </c>
      <c r="P28" s="38">
        <f>2000+26007+11408+6795+32900+7888+1776+17045+29807+26337+10461+25696+15900+23444</f>
        <v>237464</v>
      </c>
      <c r="Q28" s="38">
        <f>19852+39789+50778+1538+10343+14886+10948+13755+48182+59376+12865</f>
        <v>282312</v>
      </c>
      <c r="R28" s="38"/>
    </row>
    <row r="29" spans="1:18" ht="12.75">
      <c r="A29" s="32" t="s">
        <v>66</v>
      </c>
      <c r="B29" s="34"/>
      <c r="C29" s="36"/>
      <c r="D29" s="38"/>
      <c r="E29" s="36"/>
      <c r="F29" s="38"/>
      <c r="G29" s="36"/>
      <c r="H29" s="38">
        <f>5000+8013</f>
        <v>13013</v>
      </c>
      <c r="I29" s="40"/>
      <c r="J29" s="24"/>
      <c r="K29" s="79">
        <f>24133+9633+15919+6797+26440+2738+47261+16150</f>
        <v>149071</v>
      </c>
      <c r="L29" s="89">
        <f>25501+39215+6889+31512+4736+30417+10022+26462+41146</f>
        <v>215900</v>
      </c>
      <c r="M29" s="38">
        <f>9245+38320+43020+10739+34520+53977+24569+40828+48683+89614+31105+17807+2439+23975+20568+21689+21723+3072+106245+30818+23148+24947+24607+33656+15295</f>
        <v>794609</v>
      </c>
      <c r="N29" s="38">
        <f>62854+40562+59490+7585+28712+45900+20173+59569+15864+10759+33670+17940+19686+13496+38202+5090+28204+29726+14713+38096+62485+15062</f>
        <v>667838</v>
      </c>
      <c r="O29" s="38">
        <f>51141+47960+29825+57439+34089+47563+20488+67796+38848+24795+16572+45994+2313+12460+19901+13982+5602+73341+21956+901+15026+4909+435+36649+51310+106455+73969+9625</f>
        <v>931344</v>
      </c>
      <c r="P29" s="38">
        <f>25552+14569+40517+2013+30722+16501+9000+4721+584+11967+24915+1900</f>
        <v>182961</v>
      </c>
      <c r="Q29" s="38">
        <f>23446+52951+41299+85086+75307+48962+22900+26983+5629+25524+56011+27541+39847+50794+27479+16880+38109+31083+20485+46164+32641+721+13458+99555+48927</f>
        <v>957782</v>
      </c>
      <c r="R29" s="38">
        <f>54190+2915+5115+16161+239+4656</f>
        <v>83276</v>
      </c>
    </row>
    <row r="30" spans="1:18" ht="12.75">
      <c r="A30" s="32" t="s">
        <v>63</v>
      </c>
      <c r="B30" s="34"/>
      <c r="C30" s="36"/>
      <c r="D30" s="38"/>
      <c r="E30" s="36"/>
      <c r="F30" s="38"/>
      <c r="G30" s="36"/>
      <c r="H30" s="38"/>
      <c r="I30" s="40"/>
      <c r="J30" s="24">
        <f>9218+16031</f>
        <v>25249</v>
      </c>
      <c r="K30" s="79">
        <f>26566+7720+10964</f>
        <v>45250</v>
      </c>
      <c r="L30" s="89">
        <f>14054+12007+16524+9935+19621+4171+10721+12000</f>
        <v>99033</v>
      </c>
      <c r="M30" s="38"/>
      <c r="N30" s="38"/>
      <c r="O30" s="38"/>
      <c r="P30" s="38"/>
      <c r="Q30" s="38"/>
      <c r="R30" s="38"/>
    </row>
    <row r="31" spans="1:18" ht="12.75">
      <c r="A31" s="32" t="s">
        <v>5</v>
      </c>
      <c r="B31" s="34" t="s">
        <v>0</v>
      </c>
      <c r="C31" s="36">
        <f>199845+28450+22906+2295+10139</f>
        <v>263635</v>
      </c>
      <c r="D31" s="38">
        <f>5493+6391+6116+6082+15056+10215+3558+20939+15133+20681+14386+3500+20762+18353+20190+10544+10949+6537+44240+37479+38680+6232+46416+9697+27776+137668-3576+1056+12525+2076</f>
        <v>575154</v>
      </c>
      <c r="E31" s="36">
        <f>18000+14806+5060+4744+20216+7000+6945+12061+19832+36895+6976+20391+9750+19195+10979+7805+9255+22854+3917+8133+2514+11877+32802+8559+5213+12170+19341+4551+2028+8573+16460</f>
        <v>388902</v>
      </c>
      <c r="F31" s="38">
        <f>11144+5482+2134+7617+17247+26014+4998+7054+4546+27570+11706+12700+8448+7279+4596+10949+6300+4493+11125+4255+15454+4723+9732+12970+16850+12963+7002+11988+23185</f>
        <v>310524</v>
      </c>
      <c r="G31" s="36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1" s="38">
        <f>5156+10508+29738+8207+13815+9136+9730+7224+4645+10189+10015+6359+19536+20134+882+9930+30000+6000+10705+12245+17046+32074+15531+33672+12529+6956+3339+19216</f>
        <v>374517</v>
      </c>
      <c r="I31" s="40"/>
      <c r="J31" s="24">
        <f>18123+31308+15208+8012+21750+37154+20783+6440+8255+26500+23360+6807+44046+43257+10000+19838+72838+36819+10000+26634+27250+40232+22731+10000+10805+7833+9603+2419</f>
        <v>618005</v>
      </c>
      <c r="K31" s="79">
        <f>18447+29324+3723+8502+48094+29548+29633+22246+9055+41958+18420+24047+39613+20575+29704+12000+4990+20688+5167+13853+16994+30416+9332+21814+54804+58537+7976+22508</f>
        <v>651968</v>
      </c>
      <c r="L31" s="89">
        <f>10685+14965+24369+8867+4041+17959+8004+9139</f>
        <v>98029</v>
      </c>
      <c r="M31" s="38"/>
      <c r="N31" s="38">
        <f>38442+20545</f>
        <v>58987</v>
      </c>
      <c r="O31" s="38">
        <f>9405+8665+9936+18116+3394</f>
        <v>49516</v>
      </c>
      <c r="P31" s="38">
        <f>17999+17614</f>
        <v>35613</v>
      </c>
      <c r="Q31" s="38">
        <f>10088+28465+2135+535+10611+14280+44561+10007+10037+1714</f>
        <v>132433</v>
      </c>
      <c r="R31" s="38">
        <f>21794+11611+2071</f>
        <v>35476</v>
      </c>
    </row>
    <row r="32" spans="1:18" ht="12.75">
      <c r="A32" s="32" t="s">
        <v>6</v>
      </c>
      <c r="B32" s="34" t="s">
        <v>0</v>
      </c>
      <c r="C32" s="36">
        <f>272711+25793</f>
        <v>298504</v>
      </c>
      <c r="D32" s="38">
        <f>24482+22680+2305+27463+27404+49778</f>
        <v>154112</v>
      </c>
      <c r="E32" s="36">
        <f>16062+1348+12938+29579</f>
        <v>59927</v>
      </c>
      <c r="F32" s="38"/>
      <c r="G32" s="36"/>
      <c r="H32" s="38">
        <f>12969+364+12320+32960+16101</f>
        <v>74714</v>
      </c>
      <c r="I32" s="40">
        <f>10866+19297+23776</f>
        <v>53939</v>
      </c>
      <c r="J32" s="24">
        <f>28424+2576+15671+44761+8200+28807+12016+4993+23323+4561+20321</f>
        <v>193653</v>
      </c>
      <c r="K32" s="79">
        <f>17917+12965+13209+14438+15395+7848+16514+6582+30000+49327+10660+331+11452+7865+3135+30037</f>
        <v>247675</v>
      </c>
      <c r="L32" s="89">
        <f>14974+11347+5089+18493+5808+3246+34211+21281+11808+13582+18163+665+20477+1282+9499</f>
        <v>189925</v>
      </c>
      <c r="M32" s="38">
        <f>24819+4764+21012</f>
        <v>50595</v>
      </c>
      <c r="N32" s="38">
        <f>26869+12013+5500+36406+17404</f>
        <v>98192</v>
      </c>
      <c r="O32" s="38">
        <f>16193+22252</f>
        <v>38445</v>
      </c>
      <c r="P32" s="38">
        <f>3850+3925+16904</f>
        <v>24679</v>
      </c>
      <c r="Q32" s="38"/>
      <c r="R32" s="38"/>
    </row>
    <row r="33" spans="1:18" ht="12.75">
      <c r="A33" s="32" t="s">
        <v>24</v>
      </c>
      <c r="B33" s="34"/>
      <c r="C33" s="36"/>
      <c r="D33" s="38">
        <v>29935</v>
      </c>
      <c r="E33" s="36">
        <f>25225+7523+18400+21575+13256</f>
        <v>85979</v>
      </c>
      <c r="F33" s="38"/>
      <c r="G33" s="36"/>
      <c r="H33" s="38">
        <f>13521</f>
        <v>13521</v>
      </c>
      <c r="I33" s="40">
        <f>24541+14508+2181</f>
        <v>41230</v>
      </c>
      <c r="J33" s="24"/>
      <c r="K33" s="79">
        <f>20023+4653+14340</f>
        <v>39016</v>
      </c>
      <c r="L33" s="89">
        <f>17812+40053+53647+34072+7850+2121+23948+13570+13222+7442+3136+27174+15010+20175+7181+25810+29753</f>
        <v>341976</v>
      </c>
      <c r="M33" s="38">
        <f>43740+47120+23889+4292+45057+25284+7059+32259+44321+42684+42647+14079</f>
        <v>372431</v>
      </c>
      <c r="N33" s="38">
        <f>5808+10719+12250+31201+34256+12094+30654+6054+31445+15754+29623+9922+36905+7036</f>
        <v>273721</v>
      </c>
      <c r="O33" s="38">
        <f>33272+14949+21474+3588+2195+27838+6034</f>
        <v>109350</v>
      </c>
      <c r="P33" s="38">
        <f>10896</f>
        <v>10896</v>
      </c>
      <c r="Q33" s="38">
        <f>11332+28991+15082+35376+10122+34766</f>
        <v>135669</v>
      </c>
      <c r="R33" s="38">
        <f>17084+5000</f>
        <v>22084</v>
      </c>
    </row>
    <row r="34" spans="1:18" ht="12.75">
      <c r="A34" s="32" t="s">
        <v>55</v>
      </c>
      <c r="B34" s="34"/>
      <c r="C34" s="36"/>
      <c r="D34" s="38"/>
      <c r="E34" s="36"/>
      <c r="F34" s="38"/>
      <c r="G34" s="36"/>
      <c r="H34" s="38">
        <f>27116+17250</f>
        <v>44366</v>
      </c>
      <c r="I34" s="40">
        <f>26784+26327+35741+12957+22135</f>
        <v>123944</v>
      </c>
      <c r="J34" s="24">
        <f>29951+28600</f>
        <v>58551</v>
      </c>
      <c r="K34" s="79">
        <f>23638+16435+3499+27431+15102+19169+6505+35151+6442+3359+30958+8892+16808+63031</f>
        <v>276420</v>
      </c>
      <c r="L34" s="89">
        <f>24026+11006+10404+56680+6343+7620+5800+45330+37904+8321+11310+9989</f>
        <v>234733</v>
      </c>
      <c r="M34" s="38"/>
      <c r="N34" s="38"/>
      <c r="O34" s="38"/>
      <c r="P34" s="38"/>
      <c r="Q34" s="38"/>
      <c r="R34" s="38"/>
    </row>
    <row r="35" spans="1:18" ht="13.5" customHeight="1">
      <c r="A35" s="32" t="s">
        <v>7</v>
      </c>
      <c r="B35" s="34" t="s">
        <v>0</v>
      </c>
      <c r="C35" s="36">
        <v>22420</v>
      </c>
      <c r="D35" s="38">
        <v>27586</v>
      </c>
      <c r="E35" s="36"/>
      <c r="F35" s="38"/>
      <c r="G35" s="36"/>
      <c r="H35" s="38"/>
      <c r="I35" s="40"/>
      <c r="J35" s="24"/>
      <c r="K35" s="79"/>
      <c r="L35" s="89"/>
      <c r="M35" s="38"/>
      <c r="N35" s="38"/>
      <c r="O35" s="38"/>
      <c r="P35" s="38"/>
      <c r="Q35" s="38"/>
      <c r="R35" s="38"/>
    </row>
    <row r="36" spans="1:18" ht="13.5" customHeight="1">
      <c r="A36" s="42" t="s">
        <v>74</v>
      </c>
      <c r="B36" s="43"/>
      <c r="C36" s="44"/>
      <c r="D36" s="45"/>
      <c r="E36" s="44"/>
      <c r="F36" s="45"/>
      <c r="G36" s="44"/>
      <c r="H36" s="45"/>
      <c r="I36" s="46"/>
      <c r="J36" s="47"/>
      <c r="K36" s="80"/>
      <c r="L36" s="90"/>
      <c r="M36" s="38">
        <v>25430</v>
      </c>
      <c r="N36" s="38"/>
      <c r="O36" s="38"/>
      <c r="P36" s="38"/>
      <c r="Q36" s="38"/>
      <c r="R36" s="38"/>
    </row>
    <row r="37" spans="1:18" ht="12.75">
      <c r="A37" s="42" t="s">
        <v>19</v>
      </c>
      <c r="B37" s="43" t="s">
        <v>0</v>
      </c>
      <c r="C37" s="44">
        <v>25016</v>
      </c>
      <c r="D37" s="45">
        <v>0</v>
      </c>
      <c r="E37" s="44">
        <f>9920</f>
        <v>9920</v>
      </c>
      <c r="F37" s="45"/>
      <c r="G37" s="44"/>
      <c r="H37" s="45"/>
      <c r="I37" s="46"/>
      <c r="J37" s="47"/>
      <c r="K37" s="80"/>
      <c r="L37" s="90"/>
      <c r="M37" s="38"/>
      <c r="N37" s="38"/>
      <c r="O37" s="38"/>
      <c r="P37" s="38"/>
      <c r="Q37" s="38"/>
      <c r="R37" s="38"/>
    </row>
    <row r="38" spans="1:18" ht="12.75">
      <c r="A38" s="42" t="s">
        <v>75</v>
      </c>
      <c r="B38" s="43"/>
      <c r="C38" s="44"/>
      <c r="D38" s="45"/>
      <c r="E38" s="44"/>
      <c r="F38" s="45"/>
      <c r="G38" s="44"/>
      <c r="H38" s="45"/>
      <c r="I38" s="46"/>
      <c r="J38" s="47"/>
      <c r="K38" s="80"/>
      <c r="L38" s="90"/>
      <c r="M38" s="38">
        <f>10002+12012</f>
        <v>22014</v>
      </c>
      <c r="N38" s="38">
        <f>7941+11133+29926+12005</f>
        <v>61005</v>
      </c>
      <c r="O38" s="38"/>
      <c r="P38" s="38">
        <f>16905</f>
        <v>16905</v>
      </c>
      <c r="Q38" s="38">
        <f>10780+21627+14478+35988+6469+50665</f>
        <v>140007</v>
      </c>
      <c r="R38" s="38"/>
    </row>
    <row r="39" spans="1:18" ht="12.75">
      <c r="A39" s="42" t="s">
        <v>60</v>
      </c>
      <c r="B39" s="43"/>
      <c r="C39" s="44"/>
      <c r="D39" s="45"/>
      <c r="E39" s="44"/>
      <c r="F39" s="45"/>
      <c r="G39" s="44"/>
      <c r="H39" s="45"/>
      <c r="I39" s="46">
        <f>3526</f>
        <v>3526</v>
      </c>
      <c r="J39" s="47"/>
      <c r="K39" s="80">
        <f>8880</f>
        <v>8880</v>
      </c>
      <c r="L39" s="90"/>
      <c r="M39" s="38">
        <f>20795+19737</f>
        <v>40532</v>
      </c>
      <c r="N39" s="38">
        <f>28798+6675+8318</f>
        <v>43791</v>
      </c>
      <c r="O39" s="38">
        <f>14937+23339+21136+45628+985+18880+9408+16701</f>
        <v>151014</v>
      </c>
      <c r="P39" s="38"/>
      <c r="Q39" s="38">
        <f>15268+6596+29657+38902+8139+35484+11031+4873+34486</f>
        <v>184436</v>
      </c>
      <c r="R39" s="38"/>
    </row>
    <row r="40" spans="1:18" ht="12.75">
      <c r="A40" s="42" t="s">
        <v>77</v>
      </c>
      <c r="B40" s="43"/>
      <c r="C40" s="44"/>
      <c r="D40" s="45"/>
      <c r="E40" s="44"/>
      <c r="F40" s="45"/>
      <c r="G40" s="44"/>
      <c r="H40" s="45"/>
      <c r="I40" s="46"/>
      <c r="J40" s="47"/>
      <c r="K40" s="80"/>
      <c r="L40" s="90"/>
      <c r="M40" s="45"/>
      <c r="N40" s="45">
        <f>38816+11342+2678+38647</f>
        <v>91483</v>
      </c>
      <c r="O40" s="45">
        <f>30625+15752+21000+49361+2003+18005+48290</f>
        <v>185036</v>
      </c>
      <c r="P40" s="45">
        <f>15872+28534+9895+22604</f>
        <v>76905</v>
      </c>
      <c r="Q40" s="45">
        <f>8819+8695</f>
        <v>17514</v>
      </c>
      <c r="R40" s="45"/>
    </row>
    <row r="41" spans="1:18" ht="12.75">
      <c r="A41" s="42" t="s">
        <v>88</v>
      </c>
      <c r="B41" s="43"/>
      <c r="C41" s="44"/>
      <c r="D41" s="45"/>
      <c r="E41" s="44"/>
      <c r="F41" s="45"/>
      <c r="G41" s="44"/>
      <c r="H41" s="45"/>
      <c r="I41" s="46"/>
      <c r="J41" s="47"/>
      <c r="K41" s="80"/>
      <c r="L41" s="90"/>
      <c r="M41" s="45"/>
      <c r="N41" s="45"/>
      <c r="O41" s="45"/>
      <c r="P41" s="45">
        <f>6098+11148+32451+903+13473+30928+23269+25976</f>
        <v>144246</v>
      </c>
      <c r="Q41" s="45">
        <f>18346+13695+15863</f>
        <v>47904</v>
      </c>
      <c r="R41" s="45"/>
    </row>
    <row r="42" spans="1:18" ht="13.5" thickBot="1">
      <c r="A42" s="42" t="s">
        <v>67</v>
      </c>
      <c r="B42" s="43"/>
      <c r="C42" s="44"/>
      <c r="D42" s="45"/>
      <c r="E42" s="44"/>
      <c r="F42" s="45"/>
      <c r="G42" s="44"/>
      <c r="H42" s="45"/>
      <c r="I42" s="46"/>
      <c r="J42" s="47"/>
      <c r="K42" s="80">
        <f>17490+18581</f>
        <v>36071</v>
      </c>
      <c r="L42" s="90"/>
      <c r="M42" s="91"/>
      <c r="N42" s="91"/>
      <c r="O42" s="91"/>
      <c r="P42" s="91">
        <f>13178+21879+14876+45792+16552</f>
        <v>112277</v>
      </c>
      <c r="Q42" s="91">
        <f>28696+22907+5003+12030+19868+12945</f>
        <v>101449</v>
      </c>
      <c r="R42" s="91"/>
    </row>
    <row r="43" spans="1:18" ht="13.5" thickBot="1">
      <c r="A43" s="30" t="s">
        <v>33</v>
      </c>
      <c r="B43" s="21">
        <f>SUM(B24:B30)</f>
        <v>0</v>
      </c>
      <c r="C43" s="48">
        <f>SUM(C24:C30)</f>
        <v>425628</v>
      </c>
      <c r="D43" s="49">
        <f aca="true" t="shared" si="0" ref="D43:N43">SUM(D24:D42)</f>
        <v>1219504</v>
      </c>
      <c r="E43" s="50">
        <f t="shared" si="0"/>
        <v>1076240</v>
      </c>
      <c r="F43" s="51">
        <f t="shared" si="0"/>
        <v>782258</v>
      </c>
      <c r="G43" s="52">
        <f t="shared" si="0"/>
        <v>1386094</v>
      </c>
      <c r="H43" s="49">
        <f t="shared" si="0"/>
        <v>1198397</v>
      </c>
      <c r="I43" s="53">
        <f t="shared" si="0"/>
        <v>1283229</v>
      </c>
      <c r="J43" s="54">
        <f t="shared" si="0"/>
        <v>1650053</v>
      </c>
      <c r="K43" s="52">
        <f t="shared" si="0"/>
        <v>1718482</v>
      </c>
      <c r="L43" s="49">
        <f t="shared" si="0"/>
        <v>1366899</v>
      </c>
      <c r="M43" s="49">
        <f t="shared" si="0"/>
        <v>1656612</v>
      </c>
      <c r="N43" s="49">
        <f t="shared" si="0"/>
        <v>1785112</v>
      </c>
      <c r="O43" s="49">
        <f>SUM(O24:O42)</f>
        <v>2028879</v>
      </c>
      <c r="P43" s="49">
        <f>SUM(P24:P42)</f>
        <v>930728</v>
      </c>
      <c r="Q43" s="49">
        <f>SUM(Q24:Q42)</f>
        <v>2177232</v>
      </c>
      <c r="R43" s="49">
        <f>SUM(R24:R42)</f>
        <v>183764</v>
      </c>
    </row>
    <row r="44" spans="5:18" ht="12.75"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5:18" ht="12.75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ht="12.75">
      <c r="A46" s="16" t="s">
        <v>9</v>
      </c>
    </row>
    <row r="47" ht="13.5" thickBot="1"/>
    <row r="48" spans="1:18" ht="13.5" thickBot="1">
      <c r="A48" s="97" t="s">
        <v>79</v>
      </c>
      <c r="B48" s="98"/>
      <c r="C48" s="98"/>
      <c r="D48" s="98"/>
      <c r="E48" s="105">
        <f>E21</f>
        <v>43476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111"/>
      <c r="Q48" s="111"/>
      <c r="R48" s="112"/>
    </row>
    <row r="49" spans="1:18" s="16" customFormat="1" ht="13.5" thickBot="1">
      <c r="A49" s="117" t="s">
        <v>34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95"/>
      <c r="M49" s="95"/>
      <c r="N49" s="95"/>
      <c r="O49" s="95"/>
      <c r="P49" s="95"/>
      <c r="Q49" s="95"/>
      <c r="R49" s="96"/>
    </row>
    <row r="50" spans="1:18" ht="13.5" thickBot="1">
      <c r="A50" s="87"/>
      <c r="B50" s="81" t="s">
        <v>18</v>
      </c>
      <c r="C50" s="84" t="s">
        <v>17</v>
      </c>
      <c r="D50" s="83" t="s">
        <v>20</v>
      </c>
      <c r="E50" s="84" t="s">
        <v>23</v>
      </c>
      <c r="F50" s="83" t="s">
        <v>41</v>
      </c>
      <c r="G50" s="84" t="s">
        <v>44</v>
      </c>
      <c r="H50" s="83" t="s">
        <v>51</v>
      </c>
      <c r="I50" s="86" t="s">
        <v>56</v>
      </c>
      <c r="J50" s="81" t="s">
        <v>61</v>
      </c>
      <c r="K50" s="86" t="s">
        <v>64</v>
      </c>
      <c r="L50" s="85" t="s">
        <v>69</v>
      </c>
      <c r="M50" s="81" t="s">
        <v>71</v>
      </c>
      <c r="N50" s="81" t="s">
        <v>76</v>
      </c>
      <c r="O50" s="81" t="s">
        <v>80</v>
      </c>
      <c r="P50" s="81" t="s">
        <v>82</v>
      </c>
      <c r="Q50" s="81" t="s">
        <v>90</v>
      </c>
      <c r="R50" s="81" t="s">
        <v>95</v>
      </c>
    </row>
    <row r="51" spans="1:18" ht="12.75">
      <c r="A51" s="31" t="s">
        <v>12</v>
      </c>
      <c r="B51" s="41">
        <f>1492+164+249+155+153</f>
        <v>2213</v>
      </c>
      <c r="C51" s="35">
        <v>0</v>
      </c>
      <c r="D51" s="72">
        <v>68</v>
      </c>
      <c r="E51" s="35"/>
      <c r="F51" s="41">
        <f>169+169+460+585+573+480+829+820+321+170+247+325+713+890+188+35+35+220+148+495+850</f>
        <v>8722</v>
      </c>
      <c r="G51" s="35">
        <f>226+397+56+118+696+362+202+152+383+286+115+171+140+130+169+153+143+288+36+251+425+75+214</f>
        <v>5188</v>
      </c>
      <c r="H51" s="41">
        <f>306+591+478+485+291+245+318+431+228+317+229+100+1456+1105+708+240+133+200+261+206+177+192+32+147+61+58+219+62+156+152+122+30+32+32+203+193+31+173+54+97+31</f>
        <v>10582</v>
      </c>
      <c r="I51" s="39">
        <f>67+171+743+137+520+281+192+240+129+128+159+312+113+257+75+482+468+516+219+425+491+190+526+414+331+252+201+326+599+732+267+275+271+605+288+324+523+521+837+260+172+219+257+197+67+151+121+203+301</f>
        <v>15555</v>
      </c>
      <c r="J51" s="41">
        <f>35+69+183+106+309+71+137+178+108+36+140+211+105+44+35+102+34+34+170+722+894+1084+888+66+35+70+71+132+101+68+464+133+35+101+84+497+172+209+391+98+211+246+104+418</f>
        <v>9401</v>
      </c>
      <c r="K51" s="22">
        <f>414+1153+302+70+335+1295+122+228+317+263+33+549+570+539+660+674+424+841+909+641+592+564+613+961+724+815+562+661+1564+237+206+65+144+69+102+87+524+422+198+119+421+174+116+228+375+137</f>
        <v>21019</v>
      </c>
      <c r="L51" s="78">
        <f>65+34+1090+811+337+1056+293+627+1796+433+286+292+595+648+632+603+1065+1131+908+729+181+109+532+898+289+431+295+326+640+272+1198+283+313+186+126+294+634+330+184+80+484</f>
        <v>21516</v>
      </c>
      <c r="M51" s="41">
        <f>106+140+482+100+213+292+660+948+701+309+144+446+295+149+597+517+377+76+146+149+371+585+993+141+34+74+144+34+446+351+440+211+70+334+497+503+33+34</f>
        <v>12142</v>
      </c>
      <c r="N51" s="41">
        <f>70+31+39+436+104+68+105+34+103+90+100+135+494+456+392+246+1310+895+394+496+135+354+326+184+283+544+550+257+665+635+860+67+307+745+1632+901+227+294+327+435+111+322+36+312+217</f>
        <v>16724</v>
      </c>
      <c r="O51" s="41">
        <f>66+33+65+34+67+34+300+100+102+34+36+34+69+37</f>
        <v>1011</v>
      </c>
      <c r="P51" s="41">
        <f>69+104+71+668+280+33+1+65+186+34+251+400+168+66+66+67</f>
        <v>2529</v>
      </c>
      <c r="Q51" s="41">
        <f>72+33+101+486+655+921+825+669+38+445+667+854+484+407+369+816+743+1078+1117+34+129</f>
        <v>10943</v>
      </c>
      <c r="R51" s="41"/>
    </row>
    <row r="52" spans="1:18" ht="12.75">
      <c r="A52" s="32" t="s">
        <v>15</v>
      </c>
      <c r="B52" s="38">
        <v>572</v>
      </c>
      <c r="C52" s="36">
        <f>396+437+484+132+968+1408+1050+530+676+528+88+528+220+88+264+44+484+132+528+528+132+616+88+440</f>
        <v>10789</v>
      </c>
      <c r="D52" s="55">
        <f>440+748+1276+528+660+616+176+572+572+132+88+616+792+572+484+616+572+792+792+700+2772</f>
        <v>14516</v>
      </c>
      <c r="E52" s="36">
        <f>528+704+528+528+528+572+616+484+396+615+660+880+484+528+308+924+704+176+440+528+704+792+964+352+1188+220+176+264+220+176</f>
        <v>16187</v>
      </c>
      <c r="F52" s="38">
        <f>440+220+271+660+33+8+729+308+660+264+440+467+660+220+1192+220+528+300+660+660+662+484+529+660+26+705+1149+530+750+528</f>
        <v>14963</v>
      </c>
      <c r="G52" s="36">
        <f>396+572+572+1654+150+756+528+974+440+1100+868+660+1542+2201+1716+660+352+528+704+264+1232+1232+704+528+308+308+40+616+532</f>
        <v>22137</v>
      </c>
      <c r="H52" s="38">
        <f>640+270+376+471+392+390+210+141+37+450+167+141+568+880+1489+767+440+528+1149+528+616+1362+792+220+1100+405+878+575+36+528+176+352+704+658+219+308+264</f>
        <v>19227</v>
      </c>
      <c r="I52" s="40">
        <f>425+642+678+389+673+621+388+348+411+581+308+98+176+172+531+656+264+100+1701+69+758+213+387+316+777+339+692+633+416+27+416+205+106+947+308+873+353+425</f>
        <v>17422</v>
      </c>
      <c r="J52" s="38">
        <f>205+1522+2237+1180+548+695+492+105+551+1207+464+358+382+254+399+388+175+132+519+339+456+213+104+54+39+289+210+349+142+282+420+102+311+808+173+384+1405+995+599+106+210</f>
        <v>19803</v>
      </c>
      <c r="K52" s="24">
        <f>1677+2244+803+386+344+790+753+464+497+1213+36+280+248+392+432+564+524+208+139+524+808+312+205+138+103+729+663+797+451+483+312+37+536+35+249+813+444+510+749+172</f>
        <v>21064</v>
      </c>
      <c r="L52" s="79">
        <f>440+856+687+290+355+617+293+473+943+293+511+840+367+511+657+538+540+602+538+901+414+566+635+630+726+636+627+656+547+253+1928+700+1279+988+511+288+108+177+107+1232+1188+62</f>
        <v>25510</v>
      </c>
      <c r="M52" s="38">
        <f>473+1150+734+510+1343+550+1559+323+692+284+1325+799+1036+741+776+873+798+545+547+512+1239+1377+1827+603+1205+435+607+438+472+774+843+816+514+475+330+1401+1375+977+513+791+277+715+888+717+668+714+213</f>
        <v>36774</v>
      </c>
      <c r="N52" s="38">
        <f>407+733+108+1058+221+179+689+362+892+255+293+541+1034+791+727+328+781+467+327+507+363+1088+693+70+286+770+685+326+477+580+108+696+619+733+836+325+1200+308+725+308+72+446</f>
        <v>22414</v>
      </c>
      <c r="O52" s="38">
        <f>1029+106+900+581+1384+363+212+672+470+36+880+264+103+635+105+70+351+36+67+962+440+572+255+704+440+110+73+259+478+308</f>
        <v>12865</v>
      </c>
      <c r="P52" s="38">
        <f>111+289+284+176+73+1+34+323+35+145+294+357+71+342+185+223+223+343+421+181+149+186+329+371+34+68+143+513+571+1052+74+520+222+404+48+567</f>
        <v>9362</v>
      </c>
      <c r="Q52" s="38">
        <f>686+109+217+291+185+298+334+37+334+148+34+616+1100+562+440+440+421+704+528+616+34+308+298+704+425+109+401+34+616+34+176+572+562</f>
        <v>12373</v>
      </c>
      <c r="R52" s="38">
        <f>383+440+616+249</f>
        <v>1688</v>
      </c>
    </row>
    <row r="53" spans="1:18" ht="12.75">
      <c r="A53" s="32" t="s">
        <v>14</v>
      </c>
      <c r="B53" s="38">
        <f>810+248+26</f>
        <v>1084</v>
      </c>
      <c r="C53" s="36">
        <f>1505+198+650+1652+42+3569+533+704+58+29+1666+3417+351+1144+30+1537+507+89+1063+58+926+138+103+117+1124+29</f>
        <v>21239</v>
      </c>
      <c r="D53" s="55">
        <f>126+1000+28+30+703+3353</f>
        <v>5240</v>
      </c>
      <c r="E53" s="36">
        <f>33+60+121+347+59+289</f>
        <v>909</v>
      </c>
      <c r="F53" s="38">
        <f>239+1224+418+2313+628+1497+3239+1226+836+484+944+1903+29+30+121+409</f>
        <v>15540</v>
      </c>
      <c r="G53" s="36">
        <f>13+616+318+1286+1014+220+607+226+1540+2777+836+1012</f>
        <v>10465</v>
      </c>
      <c r="H53" s="38">
        <f>187+756+1340+476+93+609+364+1110+225+1228+2162+354+1379+247+68+2008+438+1147+1308+586+809+398+68+924+1016+214+276+2116+610+882+35+694+481+140+1749+250+132+769+1232</f>
        <v>28880</v>
      </c>
      <c r="I53" s="40">
        <f>62+28+28+1024+807+320+56+56+920+380+260+1008+56+28+612+728+1376+1958+604+1061+862+514+200+298+296+420+422+392+1066+712+1758+3271+1211+880+55+28+28+34+620+540+364+660+64+128+183+1784+191+996+561</f>
        <v>29910</v>
      </c>
      <c r="J53" s="38">
        <f>48+700+28+28+28+28+28+28+56+168+84+56+28+28+88+516+427+322</f>
        <v>2689</v>
      </c>
      <c r="K53" s="24">
        <f>176+376+1326+1410+1540+1948+198+1314+1847+265+1408+748+1936+1848+2553+264+684+455+1652+245+528+1578+43+133+264+236+380+125+288+91+286</f>
        <v>26145</v>
      </c>
      <c r="L53" s="79">
        <f>2030+1066+762+2720+4766+5650+634+955+871+201+1726+5+1452+1285+1438+2463+2640+69+1649+4204+269+1466+2112+1926+1276+1173+2194+3116+3166+2420+1012+1080+2477+2+200+34+101+1584+2386+97+432</f>
        <v>65109</v>
      </c>
      <c r="M53" s="38">
        <f>34+3248+1161+2816+2508+484+2023+2383+398+1244+101+1387+757+673+522+1566+1104+1276+2101+263+2222+2587+1408+2597+2883+507+2024+1232+606+3124+3013+849+1427+35+528+2948+440+620+170+205+100+235+1110</f>
        <v>56919</v>
      </c>
      <c r="N53" s="38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3" s="38">
        <f>170+171+1113+1452+1598+1188+67+69+102+170+1013+340+1144+1100+792+880+528+208+308+572+704+346+1009+480+1420+497+545+103+205+1066+1859+1376+2331+939</f>
        <v>25865</v>
      </c>
      <c r="P53" s="38">
        <f>33+1913+752+68+168+68+102+272+237+34+101+231+68+66+34+287+376+1287+2132+2620+2649+2447+2200+5807+778+202+68+134+70</f>
        <v>25204</v>
      </c>
      <c r="Q53" s="38">
        <f>366+201+343+68+68+33+34+103+136+136+68+102+238+68+34+102+170+100</f>
        <v>2370</v>
      </c>
      <c r="R53" s="38">
        <f>34+70+103+172+205+516+69+477+383</f>
        <v>2029</v>
      </c>
    </row>
    <row r="54" spans="1:18" ht="12.75">
      <c r="A54" s="32" t="s">
        <v>11</v>
      </c>
      <c r="B54" s="38">
        <f>376+565+2816+1955+1180+425+398+304</f>
        <v>8019</v>
      </c>
      <c r="C54" s="36">
        <f>1144+748+704+1584+25+1811+599+325+866+638+995+528+748+176+144+1011+218+1320+352+263+1405+94+1447+77+2471+1996+28+165+625+358+500+1300+1233+293+351+308+1053</f>
        <v>27903</v>
      </c>
      <c r="D54" s="55">
        <f>704+1274+220+2212+1990+3520+1320+308+1188+799+710+616+836+1320+1248+261+366+300+576+156+1540+186+417+918+3824+825+269+321+720+17366</f>
        <v>46310</v>
      </c>
      <c r="E54" s="36">
        <f>308+748+880+924+44+303+1760+2200+924+3034+1056+616+440+440+1848+2200+456+528+484+1012</f>
        <v>20205</v>
      </c>
      <c r="F54" s="38">
        <f>88+88+58+2159+1346+171+500+317+1108+681+3472+1811+562+256+1394+1364+521+818+1346+2772+1466+1079+684+613+300+440+357+1588+1695+2200+1760+440+1781+880+396+1408+2113+11035+3054+1366+396+5919</f>
        <v>61802</v>
      </c>
      <c r="G54" s="36">
        <f>183+1270+403+1604+1954+1716+35+405+1321+2178+363+896+4702+1567+413+2883+1503+1144+1732+1336+1824+2882+4418+4108+5839+2057+8765+2728+1409+5111+200</f>
        <v>66949</v>
      </c>
      <c r="H54" s="38">
        <f>262+63+83+18+175+101+259+391+354+1067+1104+4510+3916+1324+1044+1054+54+440+880+132+1100+1716+968+1012+968+1365+1540+1629+2156+1760+2156+5060+396+1716</f>
        <v>40773</v>
      </c>
      <c r="I54" s="40">
        <f>70+168+2+116+631+152+128+92+250+887+890+792+503+2566+798+325+519+410+2389+690+1301+1797+940+210+1379+531+1981+465+2155+1086+928+900+174+258+695+2280+821+1888+474+6703+605+3233+548+1868+64+37+886+210+70+403</f>
        <v>47268</v>
      </c>
      <c r="J54" s="38">
        <f>49+440+307+213+330+33+786+1188+281+802+1510+201+235+243+881+1237+1226+317+1590+891+1724+819+257+1722+3082+3436+991+150+32+625</f>
        <v>25598</v>
      </c>
      <c r="K54" s="24">
        <f>404+1602+1647+1477+440+924+773+440+2772+660+36+161+792+1422+476+1120+2267+1009+1061+142+653+288+160+1140+1292+2319+2147+880+374+1496+2758+3886+2563+2759+2535+2478+9356+3092+1193+2593+1452+3476+1431+263+261+143</f>
        <v>70613</v>
      </c>
      <c r="L54" s="79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4" s="38">
        <f>580+432+396+2244+769+3411+747+2156+1936+2200+880+1540+440+1133+648+652+180+146+709+113+4318+1744+249+589+173+3137+1208+1462+1710+3085+2059+2494+1697+1869+1899+852+3601+676+5790+286+71+1032+762+386+595+385+498+66</f>
        <v>64005</v>
      </c>
      <c r="N54" s="38">
        <f>206+200+654+1449+1698+1845+590+97+400+562+1801+3227+1159+528+4122+1451+948+312+433+166+70+22</f>
        <v>21940</v>
      </c>
      <c r="O54" s="38">
        <f>446+346+208+1012+1012+880+1100</f>
        <v>5004</v>
      </c>
      <c r="P54" s="38">
        <f>220+484+1406+968+29+63+308+484+1936+859+2904+1188+924+2332+1100+134+208+34+2217+528</f>
        <v>18326</v>
      </c>
      <c r="Q54" s="38">
        <f>79+173+260+37+176+1286+871+71+212+2728+101+924</f>
        <v>6918</v>
      </c>
      <c r="R54" s="38">
        <f>1264+572+880+1760+308</f>
        <v>4784</v>
      </c>
    </row>
    <row r="55" spans="1:18" ht="12.75">
      <c r="A55" s="32" t="s">
        <v>10</v>
      </c>
      <c r="B55" s="38">
        <f>660+2273+1168+44+559+540+810+3063</f>
        <v>9117</v>
      </c>
      <c r="C55" s="36">
        <f>7+8+444+796+1503+8315+1260+1017+2787+4632+1094+4796+618+4824+3373+5979+2162+2733+2917+1191+970+442+1060+485+882+970+528+1343+176+44+618+1382+265+739+365+792+62+2211+750+352+308</f>
        <v>65200</v>
      </c>
      <c r="D55" s="55">
        <f>910+1331+308+1515+836+528+484+704+1003+2112+1549+352+1316+1433+660+24+3488+1016+1995+2951+1323+2720+1595+952+1938+621+2106+4373+2869+2430+3894+1852+12094</f>
        <v>63282</v>
      </c>
      <c r="E55" s="36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5" s="56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5" s="57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5" s="56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5" s="58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5" s="56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5" s="23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5" s="79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5" s="38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5" s="38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5" s="38">
        <f>453+204+1+30+100+34+136+140+205+100+100+34+92+367+167+236+68+342+347+141+213+238+486+512+245+69+240+486+68</f>
        <v>5854</v>
      </c>
      <c r="P55" s="38">
        <f>268+167+28+37+293+233+300+575+170+240+571+1278+2352+2790+3379+741+383+611+170+167+334+171+3+139+99+1207+27+370+753+235+308+612+102+55</f>
        <v>19168</v>
      </c>
      <c r="Q55" s="38">
        <f>143+1267+2075+1663+1044+733+281+25+379+1014+631+762+423+105+4+36+1+31+30+318+458+208+105+28+65+497+138+33+66+204+67</f>
        <v>12834</v>
      </c>
      <c r="R55" s="38">
        <f>1522+459+784+789+140+265+29+30+30+854+239</f>
        <v>5141</v>
      </c>
    </row>
    <row r="56" spans="1:18" ht="12.75">
      <c r="A56" s="32" t="s">
        <v>45</v>
      </c>
      <c r="B56" s="70"/>
      <c r="C56" s="71"/>
      <c r="D56" s="73"/>
      <c r="E56" s="71"/>
      <c r="F56" s="73"/>
      <c r="G56" s="74">
        <f>832+880</f>
        <v>1712</v>
      </c>
      <c r="H56" s="75"/>
      <c r="I56" s="76"/>
      <c r="J56" s="75"/>
      <c r="K56" s="77"/>
      <c r="L56" s="79"/>
      <c r="M56" s="38"/>
      <c r="N56" s="38"/>
      <c r="O56" s="38"/>
      <c r="P56" s="38"/>
      <c r="Q56" s="38"/>
      <c r="R56" s="38"/>
    </row>
    <row r="57" spans="1:18" ht="12.75">
      <c r="A57" s="32" t="s">
        <v>54</v>
      </c>
      <c r="B57" s="38"/>
      <c r="C57" s="36"/>
      <c r="D57" s="55"/>
      <c r="E57" s="36"/>
      <c r="F57" s="56"/>
      <c r="G57" s="57"/>
      <c r="H57" s="56"/>
      <c r="I57" s="58"/>
      <c r="J57" s="56"/>
      <c r="K57" s="23"/>
      <c r="L57" s="79"/>
      <c r="M57" s="38"/>
      <c r="N57" s="38"/>
      <c r="O57" s="38"/>
      <c r="P57" s="38"/>
      <c r="Q57" s="38"/>
      <c r="R57" s="38"/>
    </row>
    <row r="58" spans="1:18" ht="12.75">
      <c r="A58" s="32" t="s">
        <v>42</v>
      </c>
      <c r="B58" s="38"/>
      <c r="C58" s="36"/>
      <c r="D58" s="55"/>
      <c r="E58" s="36"/>
      <c r="F58" s="38">
        <f>252+449</f>
        <v>701</v>
      </c>
      <c r="G58" s="36"/>
      <c r="H58" s="38"/>
      <c r="I58" s="40"/>
      <c r="J58" s="38"/>
      <c r="K58" s="24"/>
      <c r="L58" s="79"/>
      <c r="M58" s="38"/>
      <c r="N58" s="38"/>
      <c r="O58" s="38"/>
      <c r="P58" s="38"/>
      <c r="Q58" s="38"/>
      <c r="R58" s="38"/>
    </row>
    <row r="59" spans="1:18" ht="12.75">
      <c r="A59" s="32" t="s">
        <v>78</v>
      </c>
      <c r="B59" s="38"/>
      <c r="C59" s="36"/>
      <c r="D59" s="55"/>
      <c r="E59" s="36"/>
      <c r="F59" s="38"/>
      <c r="G59" s="36"/>
      <c r="H59" s="38"/>
      <c r="I59" s="40"/>
      <c r="J59" s="38"/>
      <c r="K59" s="24"/>
      <c r="L59" s="79"/>
      <c r="M59" s="38"/>
      <c r="N59" s="38">
        <f>950+580</f>
        <v>1530</v>
      </c>
      <c r="O59" s="38"/>
      <c r="P59" s="38"/>
      <c r="Q59" s="38"/>
      <c r="R59" s="38"/>
    </row>
    <row r="60" spans="1:18" ht="12.75">
      <c r="A60" s="32" t="s">
        <v>43</v>
      </c>
      <c r="B60" s="38"/>
      <c r="C60" s="36"/>
      <c r="D60" s="55"/>
      <c r="E60" s="36"/>
      <c r="F60" s="38">
        <f>68+69+33</f>
        <v>170</v>
      </c>
      <c r="G60" s="36">
        <f>250</f>
        <v>250</v>
      </c>
      <c r="H60" s="38">
        <f>688+306</f>
        <v>994</v>
      </c>
      <c r="I60" s="40"/>
      <c r="J60" s="38">
        <f>228+6</f>
        <v>234</v>
      </c>
      <c r="K60" s="24">
        <f>842+433+549+1140</f>
        <v>2964</v>
      </c>
      <c r="L60" s="79"/>
      <c r="M60" s="38"/>
      <c r="N60" s="38">
        <f>69+1078+978+865+104+56</f>
        <v>3150</v>
      </c>
      <c r="O60" s="38">
        <f>134+170+478+558+1150</f>
        <v>2490</v>
      </c>
      <c r="P60" s="38">
        <f>968+1012+1012</f>
        <v>2992</v>
      </c>
      <c r="Q60" s="38"/>
      <c r="R60" s="38"/>
    </row>
    <row r="61" spans="1:18" ht="12.75">
      <c r="A61" s="32" t="s">
        <v>66</v>
      </c>
      <c r="B61" s="38"/>
      <c r="C61" s="36"/>
      <c r="D61" s="55"/>
      <c r="E61" s="36"/>
      <c r="F61" s="38"/>
      <c r="G61" s="36"/>
      <c r="H61" s="38"/>
      <c r="I61" s="40"/>
      <c r="J61" s="38"/>
      <c r="K61" s="24"/>
      <c r="L61" s="79"/>
      <c r="M61" s="38"/>
      <c r="N61" s="38"/>
      <c r="O61" s="38"/>
      <c r="P61" s="38"/>
      <c r="Q61" s="38"/>
      <c r="R61" s="38"/>
    </row>
    <row r="62" spans="1:18" ht="12.75">
      <c r="A62" s="32" t="s">
        <v>13</v>
      </c>
      <c r="B62" s="38">
        <f>925+1602+311+647+239+120+7</f>
        <v>3851</v>
      </c>
      <c r="C62" s="36">
        <f>859+1722+387+748+868+30+60+150</f>
        <v>4824</v>
      </c>
      <c r="D62" s="55">
        <f>1315+63+254+1994+507+1000</f>
        <v>5133</v>
      </c>
      <c r="E62" s="36">
        <f>116</f>
        <v>116</v>
      </c>
      <c r="F62" s="38">
        <f>239+337+2437+484+352+396+308+528+880+59+44+64+171+436</f>
        <v>6735</v>
      </c>
      <c r="G62" s="36">
        <f>528+440+660+396+660+880+793+660+440+1189+2101+44+1321+968+880+1320+440+704+1100</f>
        <v>15524</v>
      </c>
      <c r="H62" s="38">
        <f>265+265+664+656+3036+1862+2195+748+836+484+220+440</f>
        <v>11671</v>
      </c>
      <c r="I62" s="40"/>
      <c r="J62" s="38">
        <f>264+924+352+214+880+510+964+836+599+556+440+246+1361+468+880+444+572+1084+1144</f>
        <v>12738</v>
      </c>
      <c r="K62" s="24">
        <f>844+1012+1012+440+1144+880+50+1375+968+616+440+2103+1144+3475+236+468+1408+1980</f>
        <v>19595</v>
      </c>
      <c r="L62" s="79"/>
      <c r="M62" s="38"/>
      <c r="N62" s="38">
        <f>32+207+2092+1259+68+1291+2494+1096+860+863+1739+6037+2840+2320+3715+2547+520+1737+1330+1313+1906+1748+2075+1707+2464+1629+2902+2757</f>
        <v>51548</v>
      </c>
      <c r="O62" s="38">
        <f>67+33+65+71+33</f>
        <v>269</v>
      </c>
      <c r="P62" s="38">
        <f>880+1760+1760+2816+2992+2244+1100+1760</f>
        <v>15312</v>
      </c>
      <c r="Q62" s="38">
        <f>176+2068+880+1683+957+924+1760+1496+2419+1804+88+924+748+1056+1672+880+1674+1188+3608+2904+1188</f>
        <v>30097</v>
      </c>
      <c r="R62" s="38"/>
    </row>
    <row r="63" spans="1:18" ht="13.5" thickBot="1">
      <c r="A63" s="42"/>
      <c r="B63" s="45"/>
      <c r="C63" s="44">
        <v>7733</v>
      </c>
      <c r="D63" s="45">
        <f>1229</f>
        <v>1229</v>
      </c>
      <c r="E63" s="44"/>
      <c r="F63" s="45"/>
      <c r="G63" s="44"/>
      <c r="H63" s="45"/>
      <c r="I63" s="46"/>
      <c r="J63" s="45"/>
      <c r="K63" s="47"/>
      <c r="L63" s="80"/>
      <c r="M63" s="91"/>
      <c r="N63" s="91"/>
      <c r="O63" s="91"/>
      <c r="P63" s="91"/>
      <c r="Q63" s="91"/>
      <c r="R63" s="91"/>
    </row>
    <row r="64" spans="1:18" ht="13.5" thickBot="1">
      <c r="A64" s="30" t="s">
        <v>33</v>
      </c>
      <c r="B64" s="49">
        <f>SUM(B52:B63)</f>
        <v>22643</v>
      </c>
      <c r="C64" s="48">
        <f>SUM(C52:C63)</f>
        <v>137688</v>
      </c>
      <c r="D64" s="49">
        <f>SUM(D52:D63)</f>
        <v>135710</v>
      </c>
      <c r="E64" s="48">
        <f>SUM(E52:E63)</f>
        <v>96488</v>
      </c>
      <c r="F64" s="49">
        <f>SUM(F52:F63)</f>
        <v>188504</v>
      </c>
      <c r="G64" s="48">
        <f aca="true" t="shared" si="1" ref="G64:L64">SUM(G51:G63)</f>
        <v>211338</v>
      </c>
      <c r="H64" s="49">
        <f t="shared" si="1"/>
        <v>201754</v>
      </c>
      <c r="I64" s="53">
        <f t="shared" si="1"/>
        <v>208184</v>
      </c>
      <c r="J64" s="49">
        <f t="shared" si="1"/>
        <v>152324</v>
      </c>
      <c r="K64" s="54">
        <f t="shared" si="1"/>
        <v>269016</v>
      </c>
      <c r="L64" s="49">
        <f t="shared" si="1"/>
        <v>276210</v>
      </c>
      <c r="M64" s="49">
        <f aca="true" t="shared" si="2" ref="M64:R64">SUM(M51:M63)</f>
        <v>253900</v>
      </c>
      <c r="N64" s="49">
        <f t="shared" si="2"/>
        <v>275093</v>
      </c>
      <c r="O64" s="49">
        <f t="shared" si="2"/>
        <v>53358</v>
      </c>
      <c r="P64" s="49">
        <f t="shared" si="2"/>
        <v>92893</v>
      </c>
      <c r="Q64" s="49">
        <f t="shared" si="2"/>
        <v>75535</v>
      </c>
      <c r="R64" s="49">
        <f t="shared" si="2"/>
        <v>13642</v>
      </c>
    </row>
    <row r="65" spans="1:18" ht="12.75">
      <c r="A65" s="20"/>
      <c r="B65" s="20"/>
      <c r="C65" s="20"/>
      <c r="D65" s="20"/>
      <c r="E65" s="28"/>
      <c r="F65" s="29"/>
      <c r="G65" s="29"/>
      <c r="H65" s="29"/>
      <c r="I65" s="29"/>
      <c r="J65" s="29"/>
      <c r="K65" s="67"/>
      <c r="L65" s="29"/>
      <c r="M65" s="29"/>
      <c r="N65" s="29"/>
      <c r="O65" s="29"/>
      <c r="P65" s="29"/>
      <c r="Q65" s="29"/>
      <c r="R65" s="29"/>
    </row>
    <row r="66" spans="5:18" ht="12.7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4:18" ht="12.75">
      <c r="N67" s="27"/>
      <c r="O67" s="27"/>
      <c r="P67" s="27"/>
      <c r="Q67" s="27"/>
      <c r="R67" s="27"/>
    </row>
  </sheetData>
  <sheetProtection/>
  <mergeCells count="3">
    <mergeCell ref="A49:K49"/>
    <mergeCell ref="B21:D21"/>
    <mergeCell ref="B22:K22"/>
  </mergeCells>
  <printOptions/>
  <pageMargins left="0.25" right="0.22" top="0.74" bottom="1" header="0.25" footer="0.5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J10" sqref="J10"/>
    </sheetView>
  </sheetViews>
  <sheetFormatPr defaultColWidth="8.8515625" defaultRowHeight="12.75"/>
  <cols>
    <col min="1" max="1" width="10.00390625" style="115" customWidth="1"/>
    <col min="2" max="2" width="32.140625" style="115" customWidth="1"/>
    <col min="3" max="3" width="11.8515625" style="115" bestFit="1" customWidth="1"/>
    <col min="4" max="4" width="12.140625" style="115" customWidth="1"/>
    <col min="5" max="5" width="13.28125" style="115" bestFit="1" customWidth="1"/>
    <col min="6" max="6" width="14.57421875" style="115" bestFit="1" customWidth="1"/>
    <col min="7" max="7" width="12.8515625" style="115" customWidth="1"/>
    <col min="8" max="9" width="12.140625" style="115" bestFit="1" customWidth="1"/>
    <col min="10" max="16384" width="8.8515625" style="115" customWidth="1"/>
  </cols>
  <sheetData>
    <row r="1" ht="15">
      <c r="A1" s="114" t="s">
        <v>87</v>
      </c>
    </row>
    <row r="3" spans="1:9" ht="15.75">
      <c r="A3" s="123" t="s">
        <v>96</v>
      </c>
      <c r="B3" s="124"/>
      <c r="C3" s="124"/>
      <c r="D3" s="124"/>
      <c r="E3" s="124"/>
      <c r="F3" s="124"/>
      <c r="G3" s="124"/>
      <c r="H3" s="124"/>
      <c r="I3" s="125"/>
    </row>
    <row r="4" spans="1:9" ht="15.75">
      <c r="A4" s="123" t="s">
        <v>97</v>
      </c>
      <c r="B4" s="124"/>
      <c r="C4" s="124"/>
      <c r="D4" s="124"/>
      <c r="E4" s="124"/>
      <c r="F4" s="124"/>
      <c r="G4" s="124"/>
      <c r="H4" s="124"/>
      <c r="I4" s="125"/>
    </row>
    <row r="5" spans="1:9" ht="14.25">
      <c r="A5" s="126" t="s">
        <v>85</v>
      </c>
      <c r="B5" s="127"/>
      <c r="C5" s="127"/>
      <c r="D5" s="127"/>
      <c r="E5" s="127"/>
      <c r="F5" s="127"/>
      <c r="G5" s="127"/>
      <c r="H5" s="127"/>
      <c r="I5" s="128"/>
    </row>
    <row r="6" spans="1:9" ht="14.25">
      <c r="A6" s="129"/>
      <c r="B6" s="129" t="s">
        <v>21</v>
      </c>
      <c r="C6" s="129" t="s">
        <v>89</v>
      </c>
      <c r="D6" s="129" t="s">
        <v>84</v>
      </c>
      <c r="E6" s="129" t="s">
        <v>107</v>
      </c>
      <c r="F6" s="129" t="s">
        <v>104</v>
      </c>
      <c r="G6" s="129" t="s">
        <v>111</v>
      </c>
      <c r="H6" s="129" t="s">
        <v>119</v>
      </c>
      <c r="I6" s="129" t="s">
        <v>119</v>
      </c>
    </row>
    <row r="7" spans="1:9" ht="14.25">
      <c r="A7" s="130">
        <v>1</v>
      </c>
      <c r="B7" s="130" t="s">
        <v>98</v>
      </c>
      <c r="C7" s="131">
        <v>0</v>
      </c>
      <c r="D7" s="131">
        <v>4656</v>
      </c>
      <c r="E7" s="131">
        <v>0</v>
      </c>
      <c r="F7" s="131">
        <v>0</v>
      </c>
      <c r="G7" s="131">
        <v>0</v>
      </c>
      <c r="H7" s="130">
        <f aca="true" t="shared" si="0" ref="H7:H21">SUM(C7:G7)</f>
        <v>4656</v>
      </c>
      <c r="I7" s="130">
        <f>H7</f>
        <v>4656</v>
      </c>
    </row>
    <row r="8" spans="1:9" ht="14.25">
      <c r="A8" s="130">
        <v>2</v>
      </c>
      <c r="B8" s="130" t="s">
        <v>99</v>
      </c>
      <c r="C8" s="131">
        <v>12557</v>
      </c>
      <c r="D8" s="131">
        <v>0</v>
      </c>
      <c r="E8" s="131">
        <v>0</v>
      </c>
      <c r="F8" s="131">
        <v>0</v>
      </c>
      <c r="G8" s="131">
        <v>0</v>
      </c>
      <c r="H8" s="130">
        <f t="shared" si="0"/>
        <v>12557</v>
      </c>
      <c r="I8" s="130">
        <f aca="true" t="shared" si="1" ref="I8:I21">H8+I7</f>
        <v>17213</v>
      </c>
    </row>
    <row r="9" spans="1:9" ht="14.25">
      <c r="A9" s="130">
        <v>3</v>
      </c>
      <c r="B9" s="130" t="s">
        <v>105</v>
      </c>
      <c r="C9" s="131">
        <v>1442</v>
      </c>
      <c r="D9" s="131">
        <v>23850</v>
      </c>
      <c r="E9" s="131">
        <v>0</v>
      </c>
      <c r="F9" s="131">
        <v>5007</v>
      </c>
      <c r="G9" s="131">
        <v>0</v>
      </c>
      <c r="H9" s="130">
        <f t="shared" si="0"/>
        <v>30299</v>
      </c>
      <c r="I9" s="130">
        <f t="shared" si="1"/>
        <v>47512</v>
      </c>
    </row>
    <row r="10" spans="1:9" ht="14.25">
      <c r="A10" s="130">
        <v>4</v>
      </c>
      <c r="B10" s="130" t="s">
        <v>106</v>
      </c>
      <c r="C10" s="131">
        <v>0</v>
      </c>
      <c r="D10" s="131">
        <v>32133</v>
      </c>
      <c r="E10" s="131">
        <v>0</v>
      </c>
      <c r="F10" s="131">
        <v>0</v>
      </c>
      <c r="G10" s="131">
        <v>0</v>
      </c>
      <c r="H10" s="130">
        <f t="shared" si="0"/>
        <v>32133</v>
      </c>
      <c r="I10" s="130">
        <f t="shared" si="1"/>
        <v>79645</v>
      </c>
    </row>
    <row r="11" spans="1:9" ht="14.25">
      <c r="A11" s="130">
        <v>5</v>
      </c>
      <c r="B11" s="130" t="s">
        <v>108</v>
      </c>
      <c r="C11" s="131">
        <v>0</v>
      </c>
      <c r="D11" s="131">
        <v>5000</v>
      </c>
      <c r="E11" s="131">
        <v>5115</v>
      </c>
      <c r="F11" s="131">
        <v>0</v>
      </c>
      <c r="G11" s="131">
        <v>0</v>
      </c>
      <c r="H11" s="130">
        <f t="shared" si="0"/>
        <v>10115</v>
      </c>
      <c r="I11" s="130">
        <f t="shared" si="1"/>
        <v>89760</v>
      </c>
    </row>
    <row r="12" spans="1:9" ht="14.25">
      <c r="A12" s="130">
        <v>6</v>
      </c>
      <c r="B12" s="130" t="s">
        <v>109</v>
      </c>
      <c r="C12" s="131">
        <v>0</v>
      </c>
      <c r="D12" s="131">
        <v>30764</v>
      </c>
      <c r="E12" s="131">
        <v>0</v>
      </c>
      <c r="F12" s="131">
        <v>0</v>
      </c>
      <c r="G12" s="131">
        <v>0</v>
      </c>
      <c r="H12" s="130">
        <f t="shared" si="0"/>
        <v>30764</v>
      </c>
      <c r="I12" s="130">
        <f t="shared" si="1"/>
        <v>120524</v>
      </c>
    </row>
    <row r="13" spans="1:9" ht="14.25">
      <c r="A13" s="130">
        <v>7</v>
      </c>
      <c r="B13" s="130" t="s">
        <v>110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0">
        <f t="shared" si="0"/>
        <v>0</v>
      </c>
      <c r="I13" s="130">
        <f t="shared" si="1"/>
        <v>120524</v>
      </c>
    </row>
    <row r="14" spans="1:9" ht="14.25">
      <c r="A14" s="130">
        <v>8</v>
      </c>
      <c r="B14" s="130" t="s">
        <v>112</v>
      </c>
      <c r="C14" s="131">
        <v>0</v>
      </c>
      <c r="D14" s="131">
        <v>0</v>
      </c>
      <c r="E14" s="131">
        <v>0</v>
      </c>
      <c r="F14" s="131">
        <v>0</v>
      </c>
      <c r="G14" s="131">
        <v>2915</v>
      </c>
      <c r="H14" s="130">
        <f t="shared" si="0"/>
        <v>2915</v>
      </c>
      <c r="I14" s="130">
        <f t="shared" si="1"/>
        <v>123439</v>
      </c>
    </row>
    <row r="15" spans="1:9" ht="14.25">
      <c r="A15" s="130">
        <v>9</v>
      </c>
      <c r="B15" s="130" t="s">
        <v>113</v>
      </c>
      <c r="C15" s="131">
        <v>0</v>
      </c>
      <c r="D15" s="131">
        <v>43655</v>
      </c>
      <c r="E15" s="131">
        <v>0</v>
      </c>
      <c r="F15" s="131">
        <v>0</v>
      </c>
      <c r="G15" s="131">
        <v>15635</v>
      </c>
      <c r="H15" s="130">
        <f t="shared" si="0"/>
        <v>59290</v>
      </c>
      <c r="I15" s="130">
        <f t="shared" si="1"/>
        <v>182729</v>
      </c>
    </row>
    <row r="16" spans="1:9" ht="14.25">
      <c r="A16" s="130">
        <v>10</v>
      </c>
      <c r="B16" s="130" t="s">
        <v>114</v>
      </c>
      <c r="C16" s="131">
        <v>0</v>
      </c>
      <c r="D16" s="131">
        <v>7950</v>
      </c>
      <c r="E16" s="131">
        <v>0</v>
      </c>
      <c r="F16" s="131">
        <v>0</v>
      </c>
      <c r="G16" s="131">
        <v>0</v>
      </c>
      <c r="H16" s="130">
        <f t="shared" si="0"/>
        <v>7950</v>
      </c>
      <c r="I16" s="130">
        <f t="shared" si="1"/>
        <v>190679</v>
      </c>
    </row>
    <row r="17" spans="1:9" ht="14.25">
      <c r="A17" s="130">
        <v>11</v>
      </c>
      <c r="B17" s="130" t="s">
        <v>115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0">
        <f t="shared" si="0"/>
        <v>0</v>
      </c>
      <c r="I17" s="130">
        <f t="shared" si="1"/>
        <v>190679</v>
      </c>
    </row>
    <row r="18" spans="1:9" ht="14.25">
      <c r="A18" s="130">
        <v>12</v>
      </c>
      <c r="B18" s="130" t="s">
        <v>116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0">
        <f t="shared" si="0"/>
        <v>0</v>
      </c>
      <c r="I18" s="130">
        <f t="shared" si="1"/>
        <v>190679</v>
      </c>
    </row>
    <row r="19" spans="1:9" ht="14.25">
      <c r="A19" s="130">
        <v>13</v>
      </c>
      <c r="B19" s="130" t="s">
        <v>117</v>
      </c>
      <c r="C19" s="131">
        <v>0</v>
      </c>
      <c r="D19" s="131">
        <v>0</v>
      </c>
      <c r="E19" s="131">
        <v>2071</v>
      </c>
      <c r="F19" s="131">
        <v>0</v>
      </c>
      <c r="G19" s="131">
        <v>0</v>
      </c>
      <c r="H19" s="130">
        <f t="shared" si="0"/>
        <v>2071</v>
      </c>
      <c r="I19" s="130">
        <f t="shared" si="1"/>
        <v>192750</v>
      </c>
    </row>
    <row r="20" spans="1:9" ht="14.25">
      <c r="A20" s="130">
        <v>14</v>
      </c>
      <c r="B20" s="130" t="s">
        <v>118</v>
      </c>
      <c r="C20" s="131">
        <v>0</v>
      </c>
      <c r="D20" s="131">
        <v>12336</v>
      </c>
      <c r="E20" s="131">
        <v>5929</v>
      </c>
      <c r="F20" s="131">
        <v>0</v>
      </c>
      <c r="G20" s="131">
        <v>0</v>
      </c>
      <c r="H20" s="130">
        <f t="shared" si="0"/>
        <v>18265</v>
      </c>
      <c r="I20" s="130">
        <f t="shared" si="1"/>
        <v>211015</v>
      </c>
    </row>
    <row r="21" spans="1:9" ht="14.25">
      <c r="A21" s="130">
        <v>15</v>
      </c>
      <c r="B21" s="130" t="s">
        <v>120</v>
      </c>
      <c r="C21" s="131">
        <v>0</v>
      </c>
      <c r="D21" s="131">
        <v>22157</v>
      </c>
      <c r="E21" s="131">
        <v>0</v>
      </c>
      <c r="F21" s="131">
        <v>0</v>
      </c>
      <c r="G21" s="131">
        <v>0</v>
      </c>
      <c r="H21" s="130">
        <f t="shared" si="0"/>
        <v>22157</v>
      </c>
      <c r="I21" s="130">
        <f t="shared" si="1"/>
        <v>233172</v>
      </c>
    </row>
    <row r="22" spans="1:9" ht="14.25">
      <c r="A22" s="130" t="s">
        <v>85</v>
      </c>
      <c r="B22" s="130" t="s">
        <v>86</v>
      </c>
      <c r="C22" s="130">
        <f aca="true" t="shared" si="2" ref="C22:H22">SUM(C7:C21)</f>
        <v>13999</v>
      </c>
      <c r="D22" s="130">
        <f t="shared" si="2"/>
        <v>182501</v>
      </c>
      <c r="E22" s="130">
        <f t="shared" si="2"/>
        <v>13115</v>
      </c>
      <c r="F22" s="130">
        <f t="shared" si="2"/>
        <v>5007</v>
      </c>
      <c r="G22" s="130">
        <f t="shared" si="2"/>
        <v>18550</v>
      </c>
      <c r="H22" s="130">
        <f t="shared" si="2"/>
        <v>233172</v>
      </c>
      <c r="I22" s="130"/>
    </row>
    <row r="23" spans="1:9" ht="14.25">
      <c r="A23" s="132"/>
      <c r="B23" s="132"/>
      <c r="C23" s="132"/>
      <c r="D23" s="132"/>
      <c r="E23" s="132"/>
      <c r="F23" s="132"/>
      <c r="G23" s="132"/>
      <c r="H23" s="132"/>
      <c r="I23" s="132"/>
    </row>
    <row r="24" spans="1:9" ht="15">
      <c r="A24" s="114" t="s">
        <v>93</v>
      </c>
      <c r="B24" s="132"/>
      <c r="C24" s="133"/>
      <c r="D24" s="132"/>
      <c r="E24" s="132"/>
      <c r="F24" s="132"/>
      <c r="G24" s="132"/>
      <c r="H24" s="132"/>
      <c r="I24" s="132"/>
    </row>
    <row r="25" spans="1:9" ht="15">
      <c r="A25" s="114" t="s">
        <v>94</v>
      </c>
      <c r="B25" s="132"/>
      <c r="C25" s="133"/>
      <c r="D25" s="132"/>
      <c r="E25" s="132"/>
      <c r="F25" s="132"/>
      <c r="G25" s="132"/>
      <c r="H25" s="132"/>
      <c r="I25" s="132"/>
    </row>
  </sheetData>
  <sheetProtection/>
  <mergeCells count="3"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2017-07-18T10:34:32Z</cp:lastPrinted>
  <dcterms:created xsi:type="dcterms:W3CDTF">2003-10-06T13:55:36Z</dcterms:created>
  <dcterms:modified xsi:type="dcterms:W3CDTF">2019-01-17T17:25:08Z</dcterms:modified>
  <cp:category/>
  <cp:version/>
  <cp:contentType/>
  <cp:contentStatus/>
</cp:coreProperties>
</file>