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31" yWindow="65266" windowWidth="16605" windowHeight="9315" tabRatio="858" firstSheet="6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bestem.'!$A$1:$N$87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'Weekliks-Weekly'!$A$1:$N$60</definedName>
  </definedNames>
  <calcPr fullCalcOnLoad="1"/>
</workbook>
</file>

<file path=xl/sharedStrings.xml><?xml version="1.0" encoding="utf-8"?>
<sst xmlns="http://schemas.openxmlformats.org/spreadsheetml/2006/main" count="667" uniqueCount="251">
  <si>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</si>
  <si>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</si>
  <si>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</si>
  <si>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</si>
  <si>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</si>
  <si>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</si>
  <si>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</si>
  <si>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</si>
  <si>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</si>
  <si>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</si>
  <si>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</si>
  <si>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</si>
  <si>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</si>
  <si>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</si>
  <si>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</si>
  <si>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</si>
  <si>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</si>
  <si>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</si>
  <si>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</si>
  <si>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</si>
  <si>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</si>
  <si>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</si>
  <si>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</si>
  <si>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</si>
  <si>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</si>
  <si>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</si>
  <si>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</si>
  <si>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</si>
  <si>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</si>
  <si>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</si>
  <si>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</si>
  <si>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</si>
  <si>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</si>
  <si>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</si>
  <si>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</si>
  <si>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</si>
  <si>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</si>
  <si>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</si>
  <si>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</si>
  <si>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</si>
  <si>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</si>
  <si>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</si>
  <si>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</si>
  <si>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</si>
  <si>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</si>
  <si>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</si>
  <si>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</si>
  <si>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</si>
  <si>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</si>
  <si>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</si>
  <si>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</si>
  <si>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</si>
  <si>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</si>
  <si>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</si>
  <si>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</si>
  <si>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</si>
  <si>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</si>
  <si>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</si>
  <si>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</si>
  <si>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</si>
  <si>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</si>
  <si>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</si>
  <si>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</si>
  <si>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</si>
  <si>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</si>
  <si>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</si>
  <si>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</si>
  <si>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</si>
  <si>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</si>
  <si>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</si>
  <si>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</si>
  <si>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</si>
  <si>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</si>
  <si>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</si>
  <si>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</si>
  <si>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</si>
  <si>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</si>
  <si>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</si>
  <si>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</si>
  <si>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</si>
  <si>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</si>
  <si>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</si>
  <si>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</si>
  <si>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</si>
  <si>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</si>
  <si>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</si>
  <si>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</si>
  <si>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</si>
  <si>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</si>
  <si>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</si>
  <si>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</si>
  <si>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</si>
  <si>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</si>
  <si>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</si>
  <si>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</si>
  <si>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</si>
  <si>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</si>
  <si>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</si>
  <si>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</si>
  <si>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</si>
  <si>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</si>
  <si>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</si>
  <si>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</si>
  <si>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</si>
  <si>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</si>
  <si>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</si>
  <si>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</si>
  <si>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</si>
  <si>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</si>
  <si>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</si>
  <si>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</si>
  <si>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</si>
  <si>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</si>
  <si>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</si>
  <si>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</si>
  <si>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</si>
  <si>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</si>
  <si>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</si>
  <si>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</si>
  <si>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</si>
  <si>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</si>
  <si>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</si>
  <si>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</si>
  <si>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</si>
  <si>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</si>
  <si>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</si>
  <si>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</si>
  <si>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</si>
  <si>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</si>
  <si>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</si>
  <si>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</si>
  <si>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</si>
  <si>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</si>
  <si>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</si>
  <si>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</si>
  <si>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</si>
  <si>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</si>
  <si>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</si>
  <si>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</si>
  <si>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</si>
  <si>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</si>
  <si>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</si>
  <si>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</si>
  <si>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</si>
  <si>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</si>
  <si>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</si>
  <si>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</si>
  <si>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</si>
  <si>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</si>
  <si>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</si>
  <si>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</si>
  <si>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</si>
  <si>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</si>
  <si>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</si>
  <si>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</si>
  <si>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</si>
  <si>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</si>
  <si>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</si>
  <si>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</si>
  <si>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</si>
  <si>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</si>
  <si>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</si>
  <si>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</si>
  <si>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</si>
  <si>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</si>
  <si>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</si>
  <si>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</si>
  <si>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</si>
  <si>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</si>
  <si>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</si>
  <si>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</si>
  <si>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</si>
  <si>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</si>
  <si>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</si>
  <si>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</si>
  <si>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</si>
  <si>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</si>
  <si>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</si>
  <si>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</si>
  <si>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</si>
  <si>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</si>
  <si>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</si>
  <si>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</si>
  <si>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</si>
  <si>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</si>
  <si>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</si>
  <si>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</si>
  <si>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</si>
  <si>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</si>
  <si>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</si>
  <si>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</si>
  <si>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</si>
  <si>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</si>
  <si>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</si>
  <si>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</si>
  <si>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</si>
  <si>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</si>
  <si>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</si>
  <si>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</si>
  <si>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</si>
  <si>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</si>
  <si>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</si>
  <si>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</si>
  <si>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</si>
  <si>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</si>
  <si>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</si>
  <si>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</si>
  <si>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</si>
  <si>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</si>
  <si>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</si>
  <si>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</si>
  <si>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</si>
  <si>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</si>
  <si>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</si>
  <si>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</si>
  <si>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</si>
  <si>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</si>
  <si>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</si>
  <si>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</si>
  <si>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</si>
  <si>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</si>
  <si>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</si>
  <si>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</si>
  <si>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</si>
  <si>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</si>
  <si>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</si>
  <si>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</si>
  <si>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</si>
  <si>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</si>
  <si>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</si>
  <si>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</si>
  <si>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</si>
  <si>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</si>
  <si>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</si>
  <si>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</si>
  <si>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</si>
  <si>
    <t>Uganda</t>
  </si>
  <si>
    <t>Qatar</t>
  </si>
  <si>
    <t>Vietnam</t>
  </si>
  <si>
    <t>SAGIS: WEEKLIKSE INVOERE EN UITVOERE 2018/19 Bemarkingseisoen</t>
  </si>
  <si>
    <t>SAGIS: WEEKLY IMPORTS AND EXPORTS 2018/19 Marketing season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</si>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</sst>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\ ##0_ ;_ * \-#\ ##0_ ;_ * &quot;-&quot;??_ ;_ @_ 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.25"/>
      <color indexed="8"/>
      <name val="Arial"/>
      <family val="2"/>
    </font>
    <font>
      <b/>
      <sz val="2.65"/>
      <color indexed="8"/>
      <name val="Arial"/>
      <family val="2"/>
    </font>
    <font>
      <b/>
      <sz val="10"/>
      <color indexed="8"/>
      <name val="Arial"/>
      <family val="2"/>
    </font>
    <font>
      <b/>
      <sz val="2.4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11.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9" fillId="30" borderId="1" xfId="54" applyAlignment="1">
      <alignment/>
    </xf>
    <xf numFmtId="175" fontId="59" fillId="30" borderId="1" xfId="54" applyNumberFormat="1" applyAlignment="1">
      <alignment/>
    </xf>
    <xf numFmtId="3" fontId="59" fillId="30" borderId="1" xfId="54" applyNumberFormat="1" applyAlignment="1">
      <alignment/>
    </xf>
    <xf numFmtId="41" fontId="59" fillId="30" borderId="1" xfId="54" applyNumberFormat="1" applyAlignment="1">
      <alignment/>
    </xf>
    <xf numFmtId="175" fontId="59" fillId="30" borderId="37" xfId="54" applyNumberFormat="1" applyBorder="1" applyAlignment="1">
      <alignment/>
    </xf>
    <xf numFmtId="15" fontId="66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9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7" fillId="33" borderId="19" xfId="54" applyNumberFormat="1" applyFont="1" applyFill="1" applyBorder="1" applyAlignment="1">
      <alignment/>
    </xf>
    <xf numFmtId="3" fontId="67" fillId="33" borderId="19" xfId="54" applyNumberFormat="1" applyFont="1" applyFill="1" applyBorder="1" applyAlignment="1">
      <alignment/>
    </xf>
    <xf numFmtId="3" fontId="68" fillId="33" borderId="19" xfId="0" applyNumberFormat="1" applyFont="1" applyFill="1" applyBorder="1" applyAlignment="1">
      <alignment/>
    </xf>
    <xf numFmtId="0" fontId="67" fillId="0" borderId="39" xfId="0" applyFont="1" applyBorder="1" applyAlignment="1">
      <alignment/>
    </xf>
    <xf numFmtId="0" fontId="67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9" fillId="30" borderId="40" xfId="54" applyNumberFormat="1" applyBorder="1" applyAlignment="1">
      <alignment horizontal="right"/>
    </xf>
    <xf numFmtId="0" fontId="59" fillId="30" borderId="40" xfId="54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9" fillId="30" borderId="42" xfId="54" applyNumberFormat="1" applyBorder="1" applyAlignment="1">
      <alignment horizontal="center"/>
    </xf>
    <xf numFmtId="0" fontId="59" fillId="30" borderId="1" xfId="54" applyNumberFormat="1" applyBorder="1" applyAlignment="1">
      <alignment/>
    </xf>
    <xf numFmtId="15" fontId="59" fillId="30" borderId="43" xfId="54" applyNumberFormat="1" applyBorder="1" applyAlignment="1">
      <alignment horizontal="center"/>
    </xf>
    <xf numFmtId="0" fontId="59" fillId="30" borderId="44" xfId="54" applyNumberFormat="1" applyBorder="1" applyAlignment="1">
      <alignment/>
    </xf>
    <xf numFmtId="0" fontId="59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9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9" fillId="30" borderId="43" xfId="54" applyBorder="1" applyAlignment="1">
      <alignment/>
    </xf>
    <xf numFmtId="0" fontId="13" fillId="0" borderId="0" xfId="0" applyFont="1" applyAlignment="1">
      <alignment horizontal="right"/>
    </xf>
    <xf numFmtId="175" fontId="1" fillId="33" borderId="0" xfId="42" applyNumberFormat="1" applyFont="1" applyFill="1" applyBorder="1" applyAlignment="1">
      <alignment/>
    </xf>
    <xf numFmtId="3" fontId="59" fillId="30" borderId="46" xfId="54" applyNumberFormat="1" applyBorder="1" applyAlignment="1">
      <alignment/>
    </xf>
    <xf numFmtId="175" fontId="59" fillId="30" borderId="46" xfId="54" applyNumberFormat="1" applyBorder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center"/>
    </xf>
    <xf numFmtId="3" fontId="70" fillId="0" borderId="47" xfId="0" applyNumberFormat="1" applyFont="1" applyBorder="1" applyAlignment="1">
      <alignment horizontal="right"/>
    </xf>
    <xf numFmtId="3" fontId="69" fillId="0" borderId="47" xfId="0" applyNumberFormat="1" applyFont="1" applyBorder="1" applyAlignment="1">
      <alignment horizontal="right"/>
    </xf>
    <xf numFmtId="175" fontId="59" fillId="30" borderId="1" xfId="42" applyNumberFormat="1" applyFont="1" applyFill="1" applyBorder="1" applyAlignment="1">
      <alignment/>
    </xf>
    <xf numFmtId="15" fontId="59" fillId="33" borderId="0" xfId="54" applyNumberFormat="1" applyFill="1" applyBorder="1" applyAlignment="1">
      <alignment horizontal="right"/>
    </xf>
    <xf numFmtId="0" fontId="59" fillId="33" borderId="0" xfId="54" applyFill="1" applyBorder="1" applyAlignment="1">
      <alignment/>
    </xf>
    <xf numFmtId="15" fontId="59" fillId="33" borderId="48" xfId="54" applyNumberFormat="1" applyFill="1" applyBorder="1" applyAlignment="1">
      <alignment horizontal="right"/>
    </xf>
    <xf numFmtId="0" fontId="59" fillId="33" borderId="48" xfId="54" applyFill="1" applyBorder="1" applyAlignment="1">
      <alignment/>
    </xf>
    <xf numFmtId="175" fontId="14" fillId="0" borderId="33" xfId="54" applyNumberFormat="1" applyFont="1" applyFill="1" applyBorder="1" applyAlignment="1">
      <alignment/>
    </xf>
    <xf numFmtId="3" fontId="14" fillId="0" borderId="33" xfId="54" applyNumberFormat="1" applyFont="1" applyFill="1" applyBorder="1" applyAlignment="1">
      <alignment/>
    </xf>
    <xf numFmtId="175" fontId="1" fillId="33" borderId="33" xfId="4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3" fillId="0" borderId="36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71" fillId="0" borderId="35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0" fontId="71" fillId="0" borderId="12" xfId="0" applyNumberFormat="1" applyFont="1" applyBorder="1" applyAlignment="1">
      <alignment horizontal="right"/>
    </xf>
    <xf numFmtId="0" fontId="71" fillId="0" borderId="11" xfId="0" applyNumberFormat="1" applyFont="1" applyBorder="1" applyAlignment="1">
      <alignment/>
    </xf>
    <xf numFmtId="0" fontId="71" fillId="0" borderId="12" xfId="0" applyNumberFormat="1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0" fillId="0" borderId="36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41" fontId="59" fillId="30" borderId="38" xfId="54" applyNumberFormat="1" applyBorder="1" applyAlignment="1">
      <alignment/>
    </xf>
    <xf numFmtId="175" fontId="59" fillId="30" borderId="38" xfId="42" applyNumberFormat="1" applyFont="1" applyFill="1" applyBorder="1" applyAlignment="1">
      <alignment/>
    </xf>
    <xf numFmtId="0" fontId="59" fillId="30" borderId="38" xfId="54" applyNumberForma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4" xfId="42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72" fillId="0" borderId="34" xfId="0" applyNumberFormat="1" applyFont="1" applyBorder="1" applyAlignment="1">
      <alignment horizontal="center"/>
    </xf>
    <xf numFmtId="0" fontId="72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72" fillId="0" borderId="13" xfId="0" applyNumberFormat="1" applyFont="1" applyBorder="1" applyAlignment="1">
      <alignment horizontal="center"/>
    </xf>
    <xf numFmtId="0" fontId="73" fillId="0" borderId="51" xfId="0" applyNumberFormat="1" applyFont="1" applyBorder="1" applyAlignment="1">
      <alignment horizontal="center"/>
    </xf>
    <xf numFmtId="0" fontId="73" fillId="0" borderId="52" xfId="0" applyNumberFormat="1" applyFont="1" applyBorder="1" applyAlignment="1">
      <alignment horizontal="center"/>
    </xf>
    <xf numFmtId="0" fontId="73" fillId="0" borderId="53" xfId="0" applyNumberFormat="1" applyFont="1" applyBorder="1" applyAlignment="1">
      <alignment horizontal="center"/>
    </xf>
    <xf numFmtId="0" fontId="69" fillId="0" borderId="51" xfId="0" applyNumberFormat="1" applyFont="1" applyBorder="1" applyAlignment="1">
      <alignment horizontal="left"/>
    </xf>
    <xf numFmtId="0" fontId="69" fillId="0" borderId="52" xfId="0" applyNumberFormat="1" applyFont="1" applyBorder="1" applyAlignment="1">
      <alignment horizontal="left"/>
    </xf>
    <xf numFmtId="0" fontId="69" fillId="0" borderId="53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2018/19 (ton, %)</a:t>
            </a:r>
          </a:p>
        </c:rich>
      </c:tx>
      <c:layout>
        <c:manualLayout>
          <c:xMode val="factor"/>
          <c:yMode val="factor"/>
          <c:x val="-0.00825"/>
          <c:y val="0.8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10525"/>
          <c:w val="0.47125"/>
          <c:h val="0.718"/>
        </c:manualLayout>
      </c:layout>
      <c:pieChart>
        <c:varyColors val="1"/>
        <c:ser>
          <c:idx val="2"/>
          <c:order val="0"/>
          <c:tx>
            <c:strRef>
              <c:f>'Export destin -Uitvoer bestem.'!$I$50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bestem.'!$A$51:$A$86</c:f>
              <c:strCache>
                <c:ptCount val="36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Korea, Dem Peoples Rep</c:v>
                </c:pt>
                <c:pt idx="17">
                  <c:v>Malaysia</c:v>
                </c:pt>
                <c:pt idx="18">
                  <c:v>Mauritius</c:v>
                </c:pt>
                <c:pt idx="19">
                  <c:v>Madagaskar</c:v>
                </c:pt>
                <c:pt idx="20">
                  <c:v>Nigeria</c:v>
                </c:pt>
                <c:pt idx="21">
                  <c:v>Malawië</c:v>
                </c:pt>
                <c:pt idx="22">
                  <c:v>Portugal</c:v>
                </c:pt>
                <c:pt idx="23">
                  <c:v>Qatar</c:v>
                </c:pt>
                <c:pt idx="24">
                  <c:v>Saudi Arabia</c:v>
                </c:pt>
                <c:pt idx="25">
                  <c:v>Senegal</c:v>
                </c:pt>
                <c:pt idx="26">
                  <c:v>Tanzania</c:v>
                </c:pt>
                <c:pt idx="27">
                  <c:v>Zambia</c:v>
                </c:pt>
                <c:pt idx="28">
                  <c:v>Seychelles</c:v>
                </c:pt>
                <c:pt idx="29">
                  <c:v>Spain</c:v>
                </c:pt>
                <c:pt idx="30">
                  <c:v>Zimbabwe</c:v>
                </c:pt>
                <c:pt idx="31">
                  <c:v>Iran</c:v>
                </c:pt>
                <c:pt idx="32">
                  <c:v>Italy</c:v>
                </c:pt>
                <c:pt idx="33">
                  <c:v>Indonesia</c:v>
                </c:pt>
                <c:pt idx="34">
                  <c:v>Vietnam</c:v>
                </c:pt>
                <c:pt idx="35">
                  <c:v>Central African Republic</c:v>
                </c:pt>
              </c:strCache>
            </c:strRef>
          </c:cat>
          <c:val>
            <c:numRef>
              <c:f>'Export destin -Uitvoer bestem.'!$I$51:$I$86</c:f>
              <c:numCache>
                <c:ptCount val="36"/>
                <c:pt idx="0">
                  <c:v>7218</c:v>
                </c:pt>
                <c:pt idx="1">
                  <c:v>27655</c:v>
                </c:pt>
                <c:pt idx="2">
                  <c:v>78411</c:v>
                </c:pt>
                <c:pt idx="3">
                  <c:v>33227</c:v>
                </c:pt>
                <c:pt idx="4">
                  <c:v>24822</c:v>
                </c:pt>
                <c:pt idx="5">
                  <c:v>106398</c:v>
                </c:pt>
                <c:pt idx="6">
                  <c:v>151517</c:v>
                </c:pt>
                <c:pt idx="12">
                  <c:v>20000</c:v>
                </c:pt>
                <c:pt idx="15">
                  <c:v>212003</c:v>
                </c:pt>
                <c:pt idx="16">
                  <c:v>3818</c:v>
                </c:pt>
                <c:pt idx="32">
                  <c:v>99450</c:v>
                </c:pt>
                <c:pt idx="34">
                  <c:v>691248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4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75"/>
          <c:y val="0.171"/>
          <c:w val="0.46175"/>
          <c:h val="0.70375"/>
        </c:manualLayout>
      </c:layout>
      <c:pieChart>
        <c:varyColors val="1"/>
        <c:ser>
          <c:idx val="2"/>
          <c:order val="0"/>
          <c:tx>
            <c:strRef>
              <c:f>'Export destin -Uitvoer bestem.'!$I$8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bestem.'!$A$9:$A$46</c:f>
              <c:strCache>
                <c:ptCount val="38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Qatar</c:v>
                </c:pt>
                <c:pt idx="30">
                  <c:v>Senegal</c:v>
                </c:pt>
                <c:pt idx="31">
                  <c:v>Spain</c:v>
                </c:pt>
                <c:pt idx="32">
                  <c:v>Singapore</c:v>
                </c:pt>
                <c:pt idx="33">
                  <c:v>Tanzania</c:v>
                </c:pt>
                <c:pt idx="34">
                  <c:v>Togo</c:v>
                </c:pt>
                <c:pt idx="35">
                  <c:v>Uganda</c:v>
                </c:pt>
                <c:pt idx="36">
                  <c:v>Venezuela</c:v>
                </c:pt>
                <c:pt idx="37">
                  <c:v>Zambia</c:v>
                </c:pt>
              </c:strCache>
            </c:strRef>
          </c:cat>
          <c:val>
            <c:numRef>
              <c:f>'Export destin -Uitvoer bestem.'!$I$9:$I$46</c:f>
              <c:numCache>
                <c:ptCount val="38"/>
                <c:pt idx="0">
                  <c:v>11254</c:v>
                </c:pt>
                <c:pt idx="1">
                  <c:v>39474</c:v>
                </c:pt>
                <c:pt idx="2">
                  <c:v>56636</c:v>
                </c:pt>
                <c:pt idx="4">
                  <c:v>35438</c:v>
                </c:pt>
                <c:pt idx="5">
                  <c:v>157306</c:v>
                </c:pt>
                <c:pt idx="15">
                  <c:v>38509</c:v>
                </c:pt>
                <c:pt idx="25">
                  <c:v>46551</c:v>
                </c:pt>
                <c:pt idx="31">
                  <c:v>17576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4275"/>
          <c:w val="0.94375"/>
          <c:h val="0.821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'Weekliks-Weekly'!$K$6:$K$60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23627</c:v>
                </c:pt>
                <c:pt idx="4">
                  <c:v>11627</c:v>
                </c:pt>
                <c:pt idx="5">
                  <c:v>7803</c:v>
                </c:pt>
                <c:pt idx="6">
                  <c:v>10083</c:v>
                </c:pt>
                <c:pt idx="7">
                  <c:v>6102</c:v>
                </c:pt>
                <c:pt idx="8">
                  <c:v>6503</c:v>
                </c:pt>
                <c:pt idx="9">
                  <c:v>5697</c:v>
                </c:pt>
                <c:pt idx="10">
                  <c:v>7252</c:v>
                </c:pt>
                <c:pt idx="11">
                  <c:v>9042</c:v>
                </c:pt>
                <c:pt idx="12">
                  <c:v>6026</c:v>
                </c:pt>
                <c:pt idx="13">
                  <c:v>5316</c:v>
                </c:pt>
                <c:pt idx="14">
                  <c:v>5148</c:v>
                </c:pt>
                <c:pt idx="15">
                  <c:v>8211</c:v>
                </c:pt>
                <c:pt idx="16">
                  <c:v>3894</c:v>
                </c:pt>
                <c:pt idx="17">
                  <c:v>5498</c:v>
                </c:pt>
                <c:pt idx="18">
                  <c:v>5252</c:v>
                </c:pt>
                <c:pt idx="19">
                  <c:v>7156</c:v>
                </c:pt>
                <c:pt idx="20">
                  <c:v>5631</c:v>
                </c:pt>
                <c:pt idx="21">
                  <c:v>4623</c:v>
                </c:pt>
                <c:pt idx="22">
                  <c:v>4899</c:v>
                </c:pt>
                <c:pt idx="23">
                  <c:v>6829</c:v>
                </c:pt>
                <c:pt idx="24">
                  <c:v>7405</c:v>
                </c:pt>
                <c:pt idx="25">
                  <c:v>4331</c:v>
                </c:pt>
                <c:pt idx="26">
                  <c:v>4419</c:v>
                </c:pt>
                <c:pt idx="27">
                  <c:v>5091</c:v>
                </c:pt>
                <c:pt idx="28">
                  <c:v>34788</c:v>
                </c:pt>
                <c:pt idx="29">
                  <c:v>23745</c:v>
                </c:pt>
                <c:pt idx="30">
                  <c:v>6882</c:v>
                </c:pt>
                <c:pt idx="31">
                  <c:v>8569</c:v>
                </c:pt>
                <c:pt idx="32">
                  <c:v>9918</c:v>
                </c:pt>
                <c:pt idx="33">
                  <c:v>16007</c:v>
                </c:pt>
                <c:pt idx="34">
                  <c:v>11424</c:v>
                </c:pt>
                <c:pt idx="35">
                  <c:v>9515</c:v>
                </c:pt>
                <c:pt idx="36">
                  <c:v>8867</c:v>
                </c:pt>
                <c:pt idx="37">
                  <c:v>5536</c:v>
                </c:pt>
                <c:pt idx="38">
                  <c:v>3377</c:v>
                </c:pt>
                <c:pt idx="39">
                  <c:v>11543</c:v>
                </c:pt>
                <c:pt idx="40">
                  <c:v>10729</c:v>
                </c:pt>
                <c:pt idx="41">
                  <c:v>9386</c:v>
                </c:pt>
                <c:pt idx="42">
                  <c:v>46693</c:v>
                </c:pt>
                <c:pt idx="43">
                  <c:v>8300</c:v>
                </c:pt>
              </c:numCache>
            </c:numRef>
          </c:val>
        </c:ser>
        <c:gapWidth val="75"/>
        <c:axId val="40656867"/>
        <c:axId val="30367484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05-Oct-18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02-Nov-18</c:v>
                  </c:pt>
                  <c:pt idx="27">
                    <c:v>09-Nov-18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07-Dec-18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04-Jan-19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01-Feb-19</c:v>
                  </c:pt>
                  <c:pt idx="40">
                    <c:v>08-Feb-19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</c:multiLvlStrCache>
            </c:multiLvlStrRef>
          </c:cat>
          <c:val>
            <c:numRef>
              <c:f>'Weekliks-Weekly'!$L$6:$L$60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1653</c:v>
                </c:pt>
                <c:pt idx="4">
                  <c:v>3612</c:v>
                </c:pt>
                <c:pt idx="5">
                  <c:v>57217</c:v>
                </c:pt>
                <c:pt idx="6">
                  <c:v>72705</c:v>
                </c:pt>
                <c:pt idx="7">
                  <c:v>95487</c:v>
                </c:pt>
                <c:pt idx="8">
                  <c:v>21577</c:v>
                </c:pt>
                <c:pt idx="9">
                  <c:v>80499</c:v>
                </c:pt>
                <c:pt idx="10">
                  <c:v>67905</c:v>
                </c:pt>
                <c:pt idx="11">
                  <c:v>58646</c:v>
                </c:pt>
                <c:pt idx="12">
                  <c:v>116344</c:v>
                </c:pt>
                <c:pt idx="13">
                  <c:v>89717</c:v>
                </c:pt>
                <c:pt idx="14">
                  <c:v>68967</c:v>
                </c:pt>
                <c:pt idx="15">
                  <c:v>123778</c:v>
                </c:pt>
                <c:pt idx="16">
                  <c:v>60753</c:v>
                </c:pt>
                <c:pt idx="17">
                  <c:v>30070</c:v>
                </c:pt>
                <c:pt idx="18">
                  <c:v>51967</c:v>
                </c:pt>
                <c:pt idx="19">
                  <c:v>54884</c:v>
                </c:pt>
                <c:pt idx="20">
                  <c:v>11844</c:v>
                </c:pt>
                <c:pt idx="21">
                  <c:v>3570</c:v>
                </c:pt>
                <c:pt idx="22">
                  <c:v>21036</c:v>
                </c:pt>
                <c:pt idx="23">
                  <c:v>80610</c:v>
                </c:pt>
                <c:pt idx="24">
                  <c:v>11822</c:v>
                </c:pt>
                <c:pt idx="25">
                  <c:v>53541</c:v>
                </c:pt>
                <c:pt idx="26">
                  <c:v>25295</c:v>
                </c:pt>
                <c:pt idx="27">
                  <c:v>58312</c:v>
                </c:pt>
                <c:pt idx="28">
                  <c:v>5585</c:v>
                </c:pt>
                <c:pt idx="29">
                  <c:v>5008</c:v>
                </c:pt>
                <c:pt idx="30">
                  <c:v>5817</c:v>
                </c:pt>
                <c:pt idx="31">
                  <c:v>4870</c:v>
                </c:pt>
                <c:pt idx="32">
                  <c:v>4924</c:v>
                </c:pt>
                <c:pt idx="33">
                  <c:v>5264</c:v>
                </c:pt>
                <c:pt idx="34">
                  <c:v>58456</c:v>
                </c:pt>
                <c:pt idx="35">
                  <c:v>6409</c:v>
                </c:pt>
                <c:pt idx="36">
                  <c:v>3958</c:v>
                </c:pt>
                <c:pt idx="37">
                  <c:v>4225</c:v>
                </c:pt>
                <c:pt idx="38">
                  <c:v>2111</c:v>
                </c:pt>
                <c:pt idx="39">
                  <c:v>6138</c:v>
                </c:pt>
                <c:pt idx="40">
                  <c:v>6284</c:v>
                </c:pt>
                <c:pt idx="41">
                  <c:v>4621</c:v>
                </c:pt>
                <c:pt idx="42">
                  <c:v>5151</c:v>
                </c:pt>
                <c:pt idx="43">
                  <c:v>5135</c:v>
                </c:pt>
              </c:numCache>
            </c:numRef>
          </c:val>
          <c:smooth val="0"/>
        </c:ser>
        <c:axId val="40656867"/>
        <c:axId val="30367484"/>
      </c:lineChart>
      <c:catAx>
        <c:axId val="4065686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484"/>
        <c:crosses val="autoZero"/>
        <c:auto val="1"/>
        <c:lblOffset val="100"/>
        <c:tickLblSkip val="2"/>
        <c:noMultiLvlLbl val="0"/>
      </c:catAx>
      <c:valAx>
        <c:axId val="303674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656867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25"/>
          <c:y val="0.9245"/>
          <c:w val="0.986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025"/>
          <c:w val="0.9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7156</c:v>
                </c:pt>
                <c:pt idx="17">
                  <c:v>5631</c:v>
                </c:pt>
                <c:pt idx="18">
                  <c:v>4623</c:v>
                </c:pt>
                <c:pt idx="19">
                  <c:v>4899</c:v>
                </c:pt>
                <c:pt idx="20">
                  <c:v>6829</c:v>
                </c:pt>
                <c:pt idx="21">
                  <c:v>7405</c:v>
                </c:pt>
                <c:pt idx="22">
                  <c:v>4331</c:v>
                </c:pt>
                <c:pt idx="23">
                  <c:v>4419</c:v>
                </c:pt>
                <c:pt idx="24">
                  <c:v>5091</c:v>
                </c:pt>
                <c:pt idx="25">
                  <c:v>34788</c:v>
                </c:pt>
                <c:pt idx="26">
                  <c:v>23745</c:v>
                </c:pt>
                <c:pt idx="27">
                  <c:v>6882</c:v>
                </c:pt>
                <c:pt idx="28">
                  <c:v>8569</c:v>
                </c:pt>
                <c:pt idx="29">
                  <c:v>9918</c:v>
                </c:pt>
                <c:pt idx="30">
                  <c:v>16007</c:v>
                </c:pt>
                <c:pt idx="31">
                  <c:v>11424</c:v>
                </c:pt>
                <c:pt idx="32">
                  <c:v>9515</c:v>
                </c:pt>
                <c:pt idx="33">
                  <c:v>8867</c:v>
                </c:pt>
                <c:pt idx="34">
                  <c:v>5536</c:v>
                </c:pt>
                <c:pt idx="35">
                  <c:v>3377</c:v>
                </c:pt>
                <c:pt idx="36">
                  <c:v>11543</c:v>
                </c:pt>
                <c:pt idx="37">
                  <c:v>10729</c:v>
                </c:pt>
                <c:pt idx="38">
                  <c:v>9386</c:v>
                </c:pt>
                <c:pt idx="39">
                  <c:v>46693</c:v>
                </c:pt>
                <c:pt idx="40">
                  <c:v>8300</c:v>
                </c:pt>
              </c:numCache>
            </c:numRef>
          </c:val>
        </c:ser>
        <c:ser>
          <c:idx val="0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51967</c:v>
                </c:pt>
                <c:pt idx="16">
                  <c:v>54884</c:v>
                </c:pt>
                <c:pt idx="17">
                  <c:v>11844</c:v>
                </c:pt>
                <c:pt idx="18">
                  <c:v>3570</c:v>
                </c:pt>
                <c:pt idx="19">
                  <c:v>21036</c:v>
                </c:pt>
                <c:pt idx="20">
                  <c:v>80610</c:v>
                </c:pt>
                <c:pt idx="21">
                  <c:v>11822</c:v>
                </c:pt>
                <c:pt idx="22">
                  <c:v>53541</c:v>
                </c:pt>
                <c:pt idx="23">
                  <c:v>25295</c:v>
                </c:pt>
                <c:pt idx="24">
                  <c:v>58312</c:v>
                </c:pt>
                <c:pt idx="25">
                  <c:v>5585</c:v>
                </c:pt>
                <c:pt idx="26">
                  <c:v>5008</c:v>
                </c:pt>
                <c:pt idx="27">
                  <c:v>5817</c:v>
                </c:pt>
                <c:pt idx="28">
                  <c:v>4870</c:v>
                </c:pt>
                <c:pt idx="29">
                  <c:v>4924</c:v>
                </c:pt>
                <c:pt idx="30">
                  <c:v>5264</c:v>
                </c:pt>
                <c:pt idx="31">
                  <c:v>58456</c:v>
                </c:pt>
                <c:pt idx="32">
                  <c:v>6409</c:v>
                </c:pt>
                <c:pt idx="33">
                  <c:v>3958</c:v>
                </c:pt>
                <c:pt idx="34">
                  <c:v>4225</c:v>
                </c:pt>
                <c:pt idx="35">
                  <c:v>2111</c:v>
                </c:pt>
                <c:pt idx="36">
                  <c:v>6138</c:v>
                </c:pt>
                <c:pt idx="37">
                  <c:v>6284</c:v>
                </c:pt>
                <c:pt idx="38">
                  <c:v>4621</c:v>
                </c:pt>
                <c:pt idx="39">
                  <c:v>5151</c:v>
                </c:pt>
                <c:pt idx="40">
                  <c:v>5135</c:v>
                </c:pt>
              </c:numCache>
            </c:numRef>
          </c:val>
        </c:ser>
        <c:ser>
          <c:idx val="2"/>
          <c:order val="2"/>
          <c:tx>
            <c:strRef>
              <c:f>'Weekliks-Weekly'!$T$6:$T$7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57219</c:v>
                </c:pt>
                <c:pt idx="16">
                  <c:v>62040</c:v>
                </c:pt>
                <c:pt idx="17">
                  <c:v>17475</c:v>
                </c:pt>
                <c:pt idx="18">
                  <c:v>8193</c:v>
                </c:pt>
                <c:pt idx="19">
                  <c:v>25935</c:v>
                </c:pt>
                <c:pt idx="20">
                  <c:v>87439</c:v>
                </c:pt>
                <c:pt idx="21">
                  <c:v>19227</c:v>
                </c:pt>
                <c:pt idx="22">
                  <c:v>57872</c:v>
                </c:pt>
                <c:pt idx="23">
                  <c:v>29714</c:v>
                </c:pt>
                <c:pt idx="24">
                  <c:v>63403</c:v>
                </c:pt>
                <c:pt idx="25">
                  <c:v>40373</c:v>
                </c:pt>
                <c:pt idx="26">
                  <c:v>28753</c:v>
                </c:pt>
                <c:pt idx="27">
                  <c:v>12699</c:v>
                </c:pt>
                <c:pt idx="28">
                  <c:v>13439</c:v>
                </c:pt>
                <c:pt idx="29">
                  <c:v>14842</c:v>
                </c:pt>
                <c:pt idx="30">
                  <c:v>21271</c:v>
                </c:pt>
                <c:pt idx="31">
                  <c:v>69880</c:v>
                </c:pt>
                <c:pt idx="32">
                  <c:v>15924</c:v>
                </c:pt>
                <c:pt idx="33">
                  <c:v>12825</c:v>
                </c:pt>
                <c:pt idx="34">
                  <c:v>9761</c:v>
                </c:pt>
                <c:pt idx="35">
                  <c:v>5488</c:v>
                </c:pt>
                <c:pt idx="36">
                  <c:v>17681</c:v>
                </c:pt>
                <c:pt idx="37">
                  <c:v>17013</c:v>
                </c:pt>
                <c:pt idx="38">
                  <c:v>14007</c:v>
                </c:pt>
                <c:pt idx="39">
                  <c:v>51844</c:v>
                </c:pt>
                <c:pt idx="40">
                  <c:v>13435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871901"/>
        <c:axId val="43847110"/>
      </c:barChart>
      <c:catAx>
        <c:axId val="4871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7110"/>
        <c:crosses val="autoZero"/>
        <c:auto val="0"/>
        <c:lblOffset val="100"/>
        <c:tickLblSkip val="1"/>
        <c:noMultiLvlLbl val="0"/>
      </c:catAx>
      <c:valAx>
        <c:axId val="43847110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901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535"/>
          <c:w val="0.72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2018/19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51"/>
          <c:w val="0.9557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Weekly'!$I$8:$I$59</c:f>
              <c:numCache>
                <c:ptCount val="52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38046</c:v>
                </c:pt>
                <c:pt idx="4">
                  <c:v>46768</c:v>
                </c:pt>
                <c:pt idx="5">
                  <c:v>52441</c:v>
                </c:pt>
                <c:pt idx="6">
                  <c:v>87720</c:v>
                </c:pt>
                <c:pt idx="7">
                  <c:v>132212</c:v>
                </c:pt>
                <c:pt idx="8">
                  <c:v>184668</c:v>
                </c:pt>
                <c:pt idx="9">
                  <c:v>193255</c:v>
                </c:pt>
                <c:pt idx="10">
                  <c:v>202979</c:v>
                </c:pt>
                <c:pt idx="11">
                  <c:v>283682</c:v>
                </c:pt>
                <c:pt idx="12">
                  <c:v>319228</c:v>
                </c:pt>
                <c:pt idx="13">
                  <c:v>325988</c:v>
                </c:pt>
                <c:pt idx="14">
                  <c:v>333170</c:v>
                </c:pt>
                <c:pt idx="15">
                  <c:v>344841</c:v>
                </c:pt>
                <c:pt idx="16">
                  <c:v>356666</c:v>
                </c:pt>
                <c:pt idx="17">
                  <c:v>383929</c:v>
                </c:pt>
                <c:pt idx="18">
                  <c:v>390347</c:v>
                </c:pt>
                <c:pt idx="19">
                  <c:v>420505</c:v>
                </c:pt>
                <c:pt idx="20">
                  <c:v>426259</c:v>
                </c:pt>
                <c:pt idx="21">
                  <c:v>453541</c:v>
                </c:pt>
                <c:pt idx="22">
                  <c:v>460445</c:v>
                </c:pt>
                <c:pt idx="23">
                  <c:v>466461</c:v>
                </c:pt>
                <c:pt idx="24">
                  <c:v>474752</c:v>
                </c:pt>
                <c:pt idx="25">
                  <c:v>483593</c:v>
                </c:pt>
                <c:pt idx="26">
                  <c:v>489251</c:v>
                </c:pt>
                <c:pt idx="27">
                  <c:v>496797</c:v>
                </c:pt>
                <c:pt idx="28">
                  <c:v>504896</c:v>
                </c:pt>
                <c:pt idx="29">
                  <c:v>513145</c:v>
                </c:pt>
                <c:pt idx="30">
                  <c:v>518029</c:v>
                </c:pt>
                <c:pt idx="31">
                  <c:v>523536</c:v>
                </c:pt>
                <c:pt idx="32">
                  <c:v>523536</c:v>
                </c:pt>
                <c:pt idx="33">
                  <c:v>523536</c:v>
                </c:pt>
                <c:pt idx="34">
                  <c:v>543433</c:v>
                </c:pt>
                <c:pt idx="35">
                  <c:v>546676</c:v>
                </c:pt>
                <c:pt idx="36">
                  <c:v>551456</c:v>
                </c:pt>
                <c:pt idx="37">
                  <c:v>558907</c:v>
                </c:pt>
                <c:pt idx="38">
                  <c:v>569269</c:v>
                </c:pt>
                <c:pt idx="39">
                  <c:v>575750</c:v>
                </c:pt>
                <c:pt idx="40">
                  <c:v>582755</c:v>
                </c:pt>
                <c:pt idx="41">
                  <c:v>590808</c:v>
                </c:pt>
                <c:pt idx="42">
                  <c:v>602801</c:v>
                </c:pt>
                <c:pt idx="43">
                  <c:v>612288</c:v>
                </c:pt>
                <c:pt idx="44">
                  <c:v>621764</c:v>
                </c:pt>
                <c:pt idx="45">
                  <c:v>645830</c:v>
                </c:pt>
                <c:pt idx="46">
                  <c:v>671589</c:v>
                </c:pt>
                <c:pt idx="47">
                  <c:v>681592</c:v>
                </c:pt>
                <c:pt idx="48">
                  <c:v>735504</c:v>
                </c:pt>
                <c:pt idx="49">
                  <c:v>751068</c:v>
                </c:pt>
                <c:pt idx="50">
                  <c:v>762086</c:v>
                </c:pt>
                <c:pt idx="51">
                  <c:v>769973</c:v>
                </c:pt>
              </c:numCache>
            </c:numRef>
          </c:val>
        </c:ser>
        <c:overlap val="-25"/>
        <c:gapWidth val="75"/>
        <c:axId val="59079671"/>
        <c:axId val="61954992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05-Oct-18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02-Nov-18</c:v>
                  </c:pt>
                  <c:pt idx="27">
                    <c:v>09-Nov-18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07-Dec-18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04-Jan-19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01-Feb-19</c:v>
                  </c:pt>
                  <c:pt idx="40">
                    <c:v>08-Feb-19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</c:multiLvlStrCache>
            </c:multiLvlStrRef>
          </c:cat>
          <c:val>
            <c:numRef>
              <c:f>'Weekliks-Weekly'!$M$9:$M$61</c:f>
              <c:numCache>
                <c:ptCount val="53"/>
                <c:pt idx="0">
                  <c:v>23627</c:v>
                </c:pt>
                <c:pt idx="1">
                  <c:v>35254</c:v>
                </c:pt>
                <c:pt idx="2">
                  <c:v>43057</c:v>
                </c:pt>
                <c:pt idx="3">
                  <c:v>53140</c:v>
                </c:pt>
                <c:pt idx="4">
                  <c:v>59242</c:v>
                </c:pt>
                <c:pt idx="5">
                  <c:v>65745</c:v>
                </c:pt>
                <c:pt idx="6">
                  <c:v>71442</c:v>
                </c:pt>
                <c:pt idx="7">
                  <c:v>78694</c:v>
                </c:pt>
                <c:pt idx="8">
                  <c:v>87736</c:v>
                </c:pt>
                <c:pt idx="9">
                  <c:v>93762</c:v>
                </c:pt>
                <c:pt idx="10">
                  <c:v>99078</c:v>
                </c:pt>
                <c:pt idx="11">
                  <c:v>104226</c:v>
                </c:pt>
                <c:pt idx="12">
                  <c:v>112437</c:v>
                </c:pt>
                <c:pt idx="13">
                  <c:v>116331</c:v>
                </c:pt>
                <c:pt idx="14">
                  <c:v>121829</c:v>
                </c:pt>
                <c:pt idx="15">
                  <c:v>127081</c:v>
                </c:pt>
                <c:pt idx="16">
                  <c:v>134237</c:v>
                </c:pt>
                <c:pt idx="17">
                  <c:v>139868</c:v>
                </c:pt>
                <c:pt idx="18">
                  <c:v>144491</c:v>
                </c:pt>
                <c:pt idx="19">
                  <c:v>149390</c:v>
                </c:pt>
                <c:pt idx="20">
                  <c:v>156219</c:v>
                </c:pt>
                <c:pt idx="21">
                  <c:v>163624</c:v>
                </c:pt>
                <c:pt idx="22">
                  <c:v>167955</c:v>
                </c:pt>
                <c:pt idx="23">
                  <c:v>172374</c:v>
                </c:pt>
                <c:pt idx="24">
                  <c:v>177465</c:v>
                </c:pt>
                <c:pt idx="25">
                  <c:v>212253</c:v>
                </c:pt>
                <c:pt idx="26">
                  <c:v>235998</c:v>
                </c:pt>
                <c:pt idx="27">
                  <c:v>242880</c:v>
                </c:pt>
                <c:pt idx="28">
                  <c:v>251449</c:v>
                </c:pt>
                <c:pt idx="29">
                  <c:v>261367</c:v>
                </c:pt>
                <c:pt idx="30">
                  <c:v>277374</c:v>
                </c:pt>
                <c:pt idx="31">
                  <c:v>288798</c:v>
                </c:pt>
                <c:pt idx="32">
                  <c:v>298313</c:v>
                </c:pt>
                <c:pt idx="33">
                  <c:v>307180</c:v>
                </c:pt>
                <c:pt idx="34">
                  <c:v>312716</c:v>
                </c:pt>
                <c:pt idx="35">
                  <c:v>316093</c:v>
                </c:pt>
                <c:pt idx="36">
                  <c:v>327636</c:v>
                </c:pt>
                <c:pt idx="37">
                  <c:v>338365</c:v>
                </c:pt>
                <c:pt idx="38">
                  <c:v>347751</c:v>
                </c:pt>
                <c:pt idx="39">
                  <c:v>394444</c:v>
                </c:pt>
                <c:pt idx="40">
                  <c:v>402744</c:v>
                </c:pt>
                <c:pt idx="41">
                  <c:v>402744</c:v>
                </c:pt>
                <c:pt idx="42">
                  <c:v>402744</c:v>
                </c:pt>
                <c:pt idx="43">
                  <c:v>402744</c:v>
                </c:pt>
                <c:pt idx="44">
                  <c:v>402744</c:v>
                </c:pt>
                <c:pt idx="45">
                  <c:v>402744</c:v>
                </c:pt>
                <c:pt idx="46">
                  <c:v>402744</c:v>
                </c:pt>
                <c:pt idx="47">
                  <c:v>402744</c:v>
                </c:pt>
                <c:pt idx="48">
                  <c:v>402744</c:v>
                </c:pt>
                <c:pt idx="49">
                  <c:v>402744</c:v>
                </c:pt>
                <c:pt idx="50">
                  <c:v>402744</c:v>
                </c:pt>
                <c:pt idx="51">
                  <c:v>402744</c:v>
                </c:pt>
              </c:numCache>
            </c:numRef>
          </c:val>
          <c:smooth val="0"/>
        </c:ser>
        <c:axId val="59079671"/>
        <c:axId val="61954992"/>
      </c:lineChart>
      <c:catAx>
        <c:axId val="59079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4992"/>
        <c:crosses val="autoZero"/>
        <c:auto val="1"/>
        <c:lblOffset val="100"/>
        <c:tickLblSkip val="1"/>
        <c:noMultiLvlLbl val="0"/>
      </c:catAx>
      <c:valAx>
        <c:axId val="61954992"/>
        <c:scaling>
          <c:orientation val="minMax"/>
          <c:max val="7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79671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125"/>
          <c:w val="0.98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672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95"/>
          <c:w val="0.9455"/>
          <c:h val="0.71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1922122</c:v>
                </c:pt>
                <c:pt idx="41">
                  <c:v>1961863</c:v>
                </c:pt>
                <c:pt idx="42">
                  <c:v>1990243</c:v>
                </c:pt>
                <c:pt idx="43">
                  <c:v>2004915</c:v>
                </c:pt>
                <c:pt idx="44">
                  <c:v>2018889</c:v>
                </c:pt>
                <c:pt idx="45">
                  <c:v>2046568</c:v>
                </c:pt>
                <c:pt idx="46">
                  <c:v>2075833</c:v>
                </c:pt>
                <c:pt idx="47">
                  <c:v>2090364</c:v>
                </c:pt>
                <c:pt idx="48">
                  <c:v>2146958</c:v>
                </c:pt>
                <c:pt idx="49">
                  <c:v>2165966</c:v>
                </c:pt>
                <c:pt idx="50">
                  <c:v>2180256</c:v>
                </c:pt>
                <c:pt idx="51">
                  <c:v>2246674</c:v>
                </c:pt>
              </c:numCache>
            </c:numRef>
          </c:val>
        </c:ser>
        <c:gapWidth val="74"/>
        <c:axId val="20724017"/>
        <c:axId val="52298426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05-Oct-18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02-Nov-18</c:v>
                  </c:pt>
                  <c:pt idx="27">
                    <c:v>09-Nov-18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07-Dec-18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04-Jan-19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01-Feb-19</c:v>
                  </c:pt>
                  <c:pt idx="40">
                    <c:v>08-Feb-19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</c:multiLvlStrCache>
            </c:multiLvlStrRef>
          </c:cat>
          <c:val>
            <c:numRef>
              <c:f>'Weekliks-Weekly'!$V$9:$V$57</c:f>
              <c:numCache>
                <c:ptCount val="49"/>
                <c:pt idx="0">
                  <c:v>25280</c:v>
                </c:pt>
                <c:pt idx="1">
                  <c:v>40519</c:v>
                </c:pt>
                <c:pt idx="2">
                  <c:v>105539</c:v>
                </c:pt>
                <c:pt idx="3">
                  <c:v>188327</c:v>
                </c:pt>
                <c:pt idx="4">
                  <c:v>289916</c:v>
                </c:pt>
                <c:pt idx="5">
                  <c:v>317996</c:v>
                </c:pt>
                <c:pt idx="6">
                  <c:v>404192</c:v>
                </c:pt>
                <c:pt idx="7">
                  <c:v>479349</c:v>
                </c:pt>
                <c:pt idx="8">
                  <c:v>547037</c:v>
                </c:pt>
                <c:pt idx="9">
                  <c:v>669407</c:v>
                </c:pt>
                <c:pt idx="10">
                  <c:v>764440</c:v>
                </c:pt>
                <c:pt idx="11">
                  <c:v>838555</c:v>
                </c:pt>
                <c:pt idx="12">
                  <c:v>970544</c:v>
                </c:pt>
                <c:pt idx="13">
                  <c:v>1035191</c:v>
                </c:pt>
                <c:pt idx="14">
                  <c:v>1070759</c:v>
                </c:pt>
                <c:pt idx="15">
                  <c:v>1127978</c:v>
                </c:pt>
                <c:pt idx="16">
                  <c:v>1190018</c:v>
                </c:pt>
                <c:pt idx="17">
                  <c:v>1207493</c:v>
                </c:pt>
                <c:pt idx="18">
                  <c:v>1215686</c:v>
                </c:pt>
                <c:pt idx="19">
                  <c:v>1241621</c:v>
                </c:pt>
                <c:pt idx="20">
                  <c:v>1329060</c:v>
                </c:pt>
                <c:pt idx="21">
                  <c:v>1348287</c:v>
                </c:pt>
                <c:pt idx="22">
                  <c:v>1406159</c:v>
                </c:pt>
                <c:pt idx="23">
                  <c:v>1435873</c:v>
                </c:pt>
                <c:pt idx="24">
                  <c:v>1499276</c:v>
                </c:pt>
                <c:pt idx="25">
                  <c:v>1539649</c:v>
                </c:pt>
                <c:pt idx="26">
                  <c:v>1568402</c:v>
                </c:pt>
                <c:pt idx="27">
                  <c:v>1581101</c:v>
                </c:pt>
                <c:pt idx="28">
                  <c:v>1594540</c:v>
                </c:pt>
                <c:pt idx="29">
                  <c:v>1609382</c:v>
                </c:pt>
                <c:pt idx="30">
                  <c:v>1630653</c:v>
                </c:pt>
                <c:pt idx="31">
                  <c:v>1700533</c:v>
                </c:pt>
                <c:pt idx="32">
                  <c:v>1716457</c:v>
                </c:pt>
                <c:pt idx="33">
                  <c:v>1729282</c:v>
                </c:pt>
                <c:pt idx="34">
                  <c:v>1739043</c:v>
                </c:pt>
                <c:pt idx="35">
                  <c:v>1744531</c:v>
                </c:pt>
                <c:pt idx="36">
                  <c:v>1762212</c:v>
                </c:pt>
                <c:pt idx="37">
                  <c:v>1779225</c:v>
                </c:pt>
                <c:pt idx="38">
                  <c:v>1793232</c:v>
                </c:pt>
                <c:pt idx="39">
                  <c:v>1845076</c:v>
                </c:pt>
                <c:pt idx="40">
                  <c:v>1858511</c:v>
                </c:pt>
                <c:pt idx="41">
                  <c:v>1858511</c:v>
                </c:pt>
                <c:pt idx="42">
                  <c:v>1858511</c:v>
                </c:pt>
                <c:pt idx="43">
                  <c:v>1858511</c:v>
                </c:pt>
                <c:pt idx="44">
                  <c:v>1858511</c:v>
                </c:pt>
                <c:pt idx="45">
                  <c:v>1858511</c:v>
                </c:pt>
                <c:pt idx="46">
                  <c:v>1858511</c:v>
                </c:pt>
                <c:pt idx="47">
                  <c:v>1858511</c:v>
                </c:pt>
                <c:pt idx="48">
                  <c:v>1858511</c:v>
                </c:pt>
              </c:numCache>
            </c:numRef>
          </c:val>
          <c:smooth val="0"/>
        </c:ser>
        <c:axId val="20724017"/>
        <c:axId val="52298426"/>
      </c:lineChart>
      <c:catAx>
        <c:axId val="2072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426"/>
        <c:crosses val="autoZero"/>
        <c:auto val="1"/>
        <c:lblOffset val="100"/>
        <c:tickLblSkip val="1"/>
        <c:noMultiLvlLbl val="0"/>
      </c:catAx>
      <c:valAx>
        <c:axId val="52298426"/>
        <c:scaling>
          <c:orientation val="minMax"/>
          <c:max val="2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4017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5"/>
          <c:w val="0.99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2018/19  Bemarkingseisoen/ Marketing season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"/>
          <c:w val="0.937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7156</c:v>
                </c:pt>
                <c:pt idx="17">
                  <c:v>5631</c:v>
                </c:pt>
                <c:pt idx="18">
                  <c:v>4623</c:v>
                </c:pt>
                <c:pt idx="19">
                  <c:v>4899</c:v>
                </c:pt>
                <c:pt idx="20">
                  <c:v>6829</c:v>
                </c:pt>
                <c:pt idx="21">
                  <c:v>7405</c:v>
                </c:pt>
                <c:pt idx="22">
                  <c:v>4331</c:v>
                </c:pt>
                <c:pt idx="23">
                  <c:v>4419</c:v>
                </c:pt>
                <c:pt idx="24">
                  <c:v>5091</c:v>
                </c:pt>
                <c:pt idx="25">
                  <c:v>34788</c:v>
                </c:pt>
                <c:pt idx="26">
                  <c:v>23745</c:v>
                </c:pt>
                <c:pt idx="27">
                  <c:v>6882</c:v>
                </c:pt>
                <c:pt idx="28">
                  <c:v>8569</c:v>
                </c:pt>
                <c:pt idx="29">
                  <c:v>9918</c:v>
                </c:pt>
                <c:pt idx="30">
                  <c:v>16007</c:v>
                </c:pt>
                <c:pt idx="31">
                  <c:v>11424</c:v>
                </c:pt>
                <c:pt idx="32">
                  <c:v>9515</c:v>
                </c:pt>
                <c:pt idx="33">
                  <c:v>8867</c:v>
                </c:pt>
                <c:pt idx="34">
                  <c:v>5536</c:v>
                </c:pt>
                <c:pt idx="35">
                  <c:v>3377</c:v>
                </c:pt>
                <c:pt idx="36">
                  <c:v>11543</c:v>
                </c:pt>
                <c:pt idx="37">
                  <c:v>10729</c:v>
                </c:pt>
                <c:pt idx="38">
                  <c:v>9386</c:v>
                </c:pt>
                <c:pt idx="39">
                  <c:v>46693</c:v>
                </c:pt>
                <c:pt idx="40">
                  <c:v>8300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51967</c:v>
                </c:pt>
                <c:pt idx="16">
                  <c:v>54884</c:v>
                </c:pt>
                <c:pt idx="17">
                  <c:v>11844</c:v>
                </c:pt>
                <c:pt idx="18">
                  <c:v>3570</c:v>
                </c:pt>
                <c:pt idx="19">
                  <c:v>21036</c:v>
                </c:pt>
                <c:pt idx="20">
                  <c:v>80610</c:v>
                </c:pt>
                <c:pt idx="21">
                  <c:v>11822</c:v>
                </c:pt>
                <c:pt idx="22">
                  <c:v>53541</c:v>
                </c:pt>
                <c:pt idx="23">
                  <c:v>25295</c:v>
                </c:pt>
                <c:pt idx="24">
                  <c:v>58312</c:v>
                </c:pt>
                <c:pt idx="25">
                  <c:v>5585</c:v>
                </c:pt>
                <c:pt idx="26">
                  <c:v>5008</c:v>
                </c:pt>
                <c:pt idx="27">
                  <c:v>5817</c:v>
                </c:pt>
                <c:pt idx="28">
                  <c:v>4870</c:v>
                </c:pt>
                <c:pt idx="29">
                  <c:v>4924</c:v>
                </c:pt>
                <c:pt idx="30">
                  <c:v>5264</c:v>
                </c:pt>
                <c:pt idx="31">
                  <c:v>58456</c:v>
                </c:pt>
                <c:pt idx="32">
                  <c:v>6409</c:v>
                </c:pt>
                <c:pt idx="33">
                  <c:v>3958</c:v>
                </c:pt>
                <c:pt idx="34">
                  <c:v>4225</c:v>
                </c:pt>
                <c:pt idx="35">
                  <c:v>2111</c:v>
                </c:pt>
                <c:pt idx="36">
                  <c:v>6138</c:v>
                </c:pt>
                <c:pt idx="37">
                  <c:v>6284</c:v>
                </c:pt>
                <c:pt idx="38">
                  <c:v>4621</c:v>
                </c:pt>
                <c:pt idx="39">
                  <c:v>5151</c:v>
                </c:pt>
                <c:pt idx="40">
                  <c:v>5135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'Weekliks-Weekly'!$T$4:$T$7</c:f>
              <c:strCache>
                <c:ptCount val="1"/>
                <c:pt idx="0">
                  <c:v>Uitvoere/Exports Total / maize Weekliks/Weekly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57219</c:v>
                </c:pt>
                <c:pt idx="16">
                  <c:v>62040</c:v>
                </c:pt>
                <c:pt idx="17">
                  <c:v>17475</c:v>
                </c:pt>
                <c:pt idx="18">
                  <c:v>8193</c:v>
                </c:pt>
                <c:pt idx="19">
                  <c:v>25935</c:v>
                </c:pt>
                <c:pt idx="20">
                  <c:v>87439</c:v>
                </c:pt>
                <c:pt idx="21">
                  <c:v>19227</c:v>
                </c:pt>
                <c:pt idx="22">
                  <c:v>57872</c:v>
                </c:pt>
                <c:pt idx="23">
                  <c:v>29714</c:v>
                </c:pt>
                <c:pt idx="24">
                  <c:v>63403</c:v>
                </c:pt>
                <c:pt idx="25">
                  <c:v>40373</c:v>
                </c:pt>
                <c:pt idx="26">
                  <c:v>28753</c:v>
                </c:pt>
                <c:pt idx="27">
                  <c:v>12699</c:v>
                </c:pt>
                <c:pt idx="28">
                  <c:v>13439</c:v>
                </c:pt>
                <c:pt idx="29">
                  <c:v>14842</c:v>
                </c:pt>
                <c:pt idx="30">
                  <c:v>21271</c:v>
                </c:pt>
                <c:pt idx="31">
                  <c:v>69880</c:v>
                </c:pt>
                <c:pt idx="32">
                  <c:v>15924</c:v>
                </c:pt>
                <c:pt idx="33">
                  <c:v>12825</c:v>
                </c:pt>
                <c:pt idx="34">
                  <c:v>9761</c:v>
                </c:pt>
                <c:pt idx="35">
                  <c:v>5488</c:v>
                </c:pt>
                <c:pt idx="36">
                  <c:v>17681</c:v>
                </c:pt>
                <c:pt idx="37">
                  <c:v>17013</c:v>
                </c:pt>
                <c:pt idx="38">
                  <c:v>14007</c:v>
                </c:pt>
                <c:pt idx="39">
                  <c:v>51844</c:v>
                </c:pt>
                <c:pt idx="40">
                  <c:v>13435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23787"/>
        <c:axId val="8314084"/>
      </c:lineChart>
      <c:dateAx>
        <c:axId val="923787"/>
        <c:scaling>
          <c:orientation val="minMax"/>
          <c:max val="434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31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8575"/>
          <c:w val="0.8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275"/>
          <c:w val="0.946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'Weekliks-Weekly'!$E$6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'Weekliks-Weekly'!$E$9:$E$60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'Weekliks-Weekly'!$F$6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'Weekliks-Weekly'!$F$9:$F$60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'Weekliks-Weekly'!$U$6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</c:strCache>
            </c:strRef>
          </c:cat>
          <c:val>
            <c:numRef>
              <c:f>'Weekliks-Weekly'!$U$9:$U$60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717893"/>
        <c:axId val="2352174"/>
      </c:lineChart>
      <c:dateAx>
        <c:axId val="7717893"/>
        <c:scaling>
          <c:orientation val="minMax"/>
          <c:max val="434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1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5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3875"/>
          <c:w val="0.864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0.83425</cdr:y>
    </cdr:from>
    <cdr:to>
      <cdr:x>0.991</cdr:x>
      <cdr:y>0.98375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43575" y="5133975"/>
          <a:ext cx="35528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0.84925</cdr:y>
    </cdr:from>
    <cdr:to>
      <cdr:x>0.3445</cdr:x>
      <cdr:y>0.9735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29225"/>
          <a:ext cx="31813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0.86525</cdr:y>
    </cdr:from>
    <cdr:to>
      <cdr:x>0.343</cdr:x>
      <cdr:y>0.98975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24475"/>
          <a:ext cx="31432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zoomScale="86" zoomScaleNormal="86" zoomScalePageLayoutView="0" workbookViewId="0" topLeftCell="A67">
      <selection activeCell="J87" sqref="J87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9" width="11.28125" style="0" customWidth="1"/>
    <col min="10" max="10" width="11.28125" style="0" bestFit="1" customWidth="1"/>
    <col min="11" max="11" width="48.28125" style="0" customWidth="1"/>
    <col min="12" max="12" width="14.00390625" style="0" bestFit="1" customWidth="1"/>
    <col min="13" max="13" width="13.28125" style="0" customWidth="1"/>
    <col min="14" max="14" width="12.140625" style="0" customWidth="1"/>
  </cols>
  <sheetData>
    <row r="1" spans="1:4" ht="12.75">
      <c r="A1" s="1" t="s">
        <v>229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9" ht="12.75">
      <c r="A4" s="70" t="s">
        <v>227</v>
      </c>
      <c r="C4" s="71">
        <f>G5</f>
        <v>43504</v>
      </c>
      <c r="D4" s="70"/>
      <c r="E4" s="70"/>
      <c r="F4" s="141"/>
      <c r="G4" s="141"/>
      <c r="H4" s="141"/>
      <c r="I4" s="141"/>
    </row>
    <row r="5" spans="2:9" ht="15">
      <c r="B5" s="107"/>
      <c r="C5" s="107"/>
      <c r="D5" s="107"/>
      <c r="G5" s="139">
        <f>'Weekliks-Weekly'!B49</f>
        <v>43504</v>
      </c>
      <c r="H5" s="178"/>
      <c r="I5" s="176"/>
    </row>
    <row r="6" spans="1:11" ht="15.75" thickBot="1">
      <c r="A6" t="s">
        <v>63</v>
      </c>
      <c r="G6" s="140">
        <f>52-41</f>
        <v>11</v>
      </c>
      <c r="H6" s="179"/>
      <c r="I6" s="177"/>
      <c r="K6" s="1" t="s">
        <v>95</v>
      </c>
    </row>
    <row r="7" spans="1:14" ht="12.75">
      <c r="A7" s="1" t="s">
        <v>1</v>
      </c>
      <c r="B7" s="1"/>
      <c r="C7" s="1"/>
      <c r="D7" s="1"/>
      <c r="H7" s="64"/>
      <c r="I7" s="64" t="s">
        <v>2</v>
      </c>
      <c r="K7" s="35"/>
      <c r="L7" s="31" t="s">
        <v>10</v>
      </c>
      <c r="M7" s="31" t="s">
        <v>11</v>
      </c>
      <c r="N7" s="32" t="s">
        <v>44</v>
      </c>
    </row>
    <row r="8" spans="1:14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130</v>
      </c>
      <c r="H8" s="131" t="s">
        <v>228</v>
      </c>
      <c r="I8" s="131" t="s">
        <v>241</v>
      </c>
      <c r="K8" s="36" t="s">
        <v>12</v>
      </c>
      <c r="L8" s="30">
        <f>H14</f>
        <v>181367</v>
      </c>
      <c r="M8" s="30">
        <f>H55</f>
        <v>17993</v>
      </c>
      <c r="N8" s="37">
        <f>SUM(L8:M8)</f>
        <v>199360</v>
      </c>
    </row>
    <row r="9" spans="1:14" ht="1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4">
        <f>12+298+655+339+517+859+944+725+1023+706+652+630+763+378+796+343+70+1276+548+1093+1440+713+671+448+1044+1460+870+286+1255+580+953+69+306+382+112+209+854+388+146+228+37+89+77</f>
        <v>25244</v>
      </c>
      <c r="F9" s="165">
        <f>154+354+25+1723+2524+137+2911+791+1087+914+613+1024+415+21+445+3901+1810+1615+553+1073+1035+655+837+142+34+34+34+68+67+103+238+735+1300+700+135+33+1118+172</f>
        <v>29530</v>
      </c>
      <c r="G9" s="180">
        <f>33+136+66+862+2158+1432+958+971+578+2133+1333+425+313+1664+99+584+139+1945+1676+1938+999+1073+1235+2290+1935+2241+1418+1755+929+869+980+1339+2426+847+1375+1542+2881+950+36+2985+574+861+1088+361+592</f>
        <v>53024</v>
      </c>
      <c r="H9" s="165">
        <f>872+296+560+500+1151+850+494+208+386+594+304+331+136+476+164+505+135+1296+221+309+549+549+757+67+177+155+218+141+1176+841+108+33+1752+412+2711+4+1074+1581+1126+788+721+1343+1431</f>
        <v>27502</v>
      </c>
      <c r="I9" s="161">
        <f>759+539+448+1521+102+277+776+674+918+1123+869+1388+1232+137+281+210</f>
        <v>11254</v>
      </c>
      <c r="K9" s="36" t="s">
        <v>15</v>
      </c>
      <c r="L9" s="30">
        <f>H10</f>
        <v>72904</v>
      </c>
      <c r="M9" s="30">
        <f>H51</f>
        <v>1580</v>
      </c>
      <c r="N9" s="37">
        <f>SUM(L9:M9)</f>
        <v>74484</v>
      </c>
    </row>
    <row r="10" spans="1:14" ht="1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4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65">
        <f>2662+670+602+178+233+615+305+404+1201+2406+3246+1082+265+199+1168+1165+252+4875+2385+2481+1637+1305+1755+879+349+2365+823+150+1395+396+695+465+4284+3728+4148+3254+3005+2259+131+65+1421+292+401+863+527</f>
        <v>62986</v>
      </c>
      <c r="G10" s="180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65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61">
        <f>1386+847+795+1267+1319+880+2242+106+228+3737+7754+647+475+383+1225+32+12+1561+440+134+2177+633+229+563+2774+726+8+441+936+3133+308+668+1408</f>
        <v>39474</v>
      </c>
      <c r="K10" s="36" t="s">
        <v>17</v>
      </c>
      <c r="L10" s="30">
        <f>H13</f>
        <v>56074</v>
      </c>
      <c r="M10" s="30">
        <f>H54</f>
        <v>46522</v>
      </c>
      <c r="N10" s="37">
        <f>SUM(L10:M10)</f>
        <v>102596</v>
      </c>
    </row>
    <row r="11" spans="1:14" ht="1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4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6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0">
        <f>431+270+133+1268+1316+127+739+1238+1950+1733+535+1814+1038+1382+1576+1256+2107+5198+936+837+266+330+494+173+305+507+609+355+858+1696+1109+732+702+700+133+69+290+2375+1434+1378+814+796</f>
        <v>42009</v>
      </c>
      <c r="H11" s="165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61">
        <f>911+2126+2579+2554+1801+1001+1862+1624+972+2157+1584+2024+1696+1660+1259+2004+1623+503+1134+1793+1384+1093+740+167+1093+1388+1316+807+1148+1349+602+1112+1127+928+678+1308+1232+914+2373+1562+1448</f>
        <v>56636</v>
      </c>
      <c r="K11" s="36" t="s">
        <v>13</v>
      </c>
      <c r="L11" s="30">
        <f>H9</f>
        <v>27502</v>
      </c>
      <c r="M11" s="30">
        <f>H53</f>
        <v>83147</v>
      </c>
      <c r="N11" s="37">
        <f>SUM(L11:M11)</f>
        <v>110649</v>
      </c>
    </row>
    <row r="12" spans="1:14" ht="15.7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4">
        <f>508+74+792+2224+1364+682+2860+2552+2200+1185+836+1848+792+2508+1100+1232+2387+2288+1450+1844+0+2499+5101+5415+4184+4330+1500+650+2625+529</f>
        <v>57559</v>
      </c>
      <c r="F12" s="165">
        <f>632+740+1494+2640+2508+3651+4311+4224+3300+2728+1012+1760+3080+2420+1980</f>
        <v>36480</v>
      </c>
      <c r="G12" s="180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65">
        <f>35+36+109+109+1100+880+2156+1276+111+35+35+99+272+1185+3039</f>
        <v>10477</v>
      </c>
      <c r="I12" s="161"/>
      <c r="K12" s="38" t="s">
        <v>19</v>
      </c>
      <c r="L12" s="39">
        <f>SUM(L8:L11)</f>
        <v>337847</v>
      </c>
      <c r="M12" s="39">
        <f>SUM(M8:M11)</f>
        <v>149242</v>
      </c>
      <c r="N12" s="40">
        <f>SUM(L12:M12)</f>
        <v>487089</v>
      </c>
    </row>
    <row r="13" spans="1:14" ht="1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4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6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0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65">
        <f>1687+3385+2873+1928+2386+3420+2940+2712+3185+2841+3423+3234+2791+3362+2478+120+118+62+150+94+58+90+10+60+89+120+91+175+116+59+55+59+86+1+89+28+342+236+236+637+1887+2007+2098+2196+2060</f>
        <v>56074</v>
      </c>
      <c r="I13" s="161">
        <f>2379+1766+2324+2406+2926+70+509+1845+2782+2589+2892+2930+2633+1461+380+618+2939+1989</f>
        <v>35438</v>
      </c>
      <c r="K13" s="44"/>
      <c r="L13" s="45"/>
      <c r="M13" s="45"/>
      <c r="N13" s="45"/>
    </row>
    <row r="14" spans="1:14" ht="1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4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6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0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65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61">
        <f>2865+2906+3240+4502+5497+1426+923+5292+5533+2941+3777+4317+4240+3761+2989+4872+3468+3916+3197+4387+5413+3806+3871+3903+5623+3864+4182+2953+3365+3064+4208+3575+4467+4680+3888+3885+2546+4424+4367+4681+2492</f>
        <v>157306</v>
      </c>
      <c r="K14" s="44"/>
      <c r="L14" s="45"/>
      <c r="M14" s="45"/>
      <c r="N14" s="45"/>
    </row>
    <row r="15" spans="1:11" ht="15.7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4"/>
      <c r="F15" s="165"/>
      <c r="G15" s="180"/>
      <c r="H15" s="165"/>
      <c r="I15" s="161"/>
      <c r="K15" s="1" t="s">
        <v>90</v>
      </c>
    </row>
    <row r="16" spans="1:14" ht="15">
      <c r="A16" s="46" t="s">
        <v>21</v>
      </c>
      <c r="B16" s="46"/>
      <c r="C16" s="30"/>
      <c r="D16" s="133">
        <v>2369</v>
      </c>
      <c r="E16" s="145"/>
      <c r="F16" s="166"/>
      <c r="G16" s="181"/>
      <c r="H16" s="166"/>
      <c r="I16" s="160"/>
      <c r="K16" s="35"/>
      <c r="L16" s="31" t="s">
        <v>10</v>
      </c>
      <c r="M16" s="31" t="s">
        <v>11</v>
      </c>
      <c r="N16" s="32" t="s">
        <v>44</v>
      </c>
    </row>
    <row r="17" spans="1:17" ht="15">
      <c r="A17" s="46" t="s">
        <v>45</v>
      </c>
      <c r="B17" s="46"/>
      <c r="C17" s="29"/>
      <c r="D17" s="132"/>
      <c r="E17" s="144"/>
      <c r="F17" s="165"/>
      <c r="G17" s="180"/>
      <c r="H17" s="165"/>
      <c r="I17" s="161"/>
      <c r="K17" s="36" t="s">
        <v>91</v>
      </c>
      <c r="L17" s="123">
        <f>H9+H10+H11+H12+H13+H14+H16+H46</f>
        <v>414614</v>
      </c>
      <c r="M17" s="123">
        <f>H51+H52+H53+H54+H55+H61+H81+H78</f>
        <v>172047</v>
      </c>
      <c r="N17" s="37">
        <f>SUM(L17:M17)</f>
        <v>586661</v>
      </c>
      <c r="P17" s="2"/>
      <c r="Q17" s="2"/>
    </row>
    <row r="18" spans="1:14" ht="15">
      <c r="A18" s="46" t="s">
        <v>83</v>
      </c>
      <c r="B18" s="46"/>
      <c r="C18" s="29"/>
      <c r="D18" s="132"/>
      <c r="E18" s="144"/>
      <c r="F18" s="165"/>
      <c r="G18" s="180"/>
      <c r="H18" s="165"/>
      <c r="I18" s="161"/>
      <c r="K18" s="73" t="s">
        <v>235</v>
      </c>
      <c r="L18" s="123">
        <f>H27</f>
        <v>0</v>
      </c>
      <c r="M18" s="123">
        <f>H56+H57+H65+H73+H83</f>
        <v>1029882</v>
      </c>
      <c r="N18" s="37">
        <f>SUM(L18:M18)</f>
        <v>1029882</v>
      </c>
    </row>
    <row r="19" spans="1:14" ht="15.75" thickBot="1">
      <c r="A19" s="46" t="s">
        <v>46</v>
      </c>
      <c r="B19" s="46"/>
      <c r="C19" s="29"/>
      <c r="D19" s="132">
        <v>1058</v>
      </c>
      <c r="E19" s="144"/>
      <c r="F19" s="165"/>
      <c r="G19" s="180"/>
      <c r="H19" s="165"/>
      <c r="I19" s="161"/>
      <c r="K19" s="38" t="s">
        <v>19</v>
      </c>
      <c r="L19" s="39">
        <f>SUM(L17:L18)</f>
        <v>414614</v>
      </c>
      <c r="M19" s="39">
        <f>SUM(M17:M18)</f>
        <v>1201929</v>
      </c>
      <c r="N19" s="40">
        <f>SUM(L19:M19)</f>
        <v>1616543</v>
      </c>
    </row>
    <row r="20" spans="1:14" ht="15">
      <c r="A20" s="46" t="s">
        <v>80</v>
      </c>
      <c r="B20" s="46"/>
      <c r="C20" s="29">
        <f>43+774+645</f>
        <v>1462</v>
      </c>
      <c r="D20" s="132"/>
      <c r="E20" s="144"/>
      <c r="F20" s="165"/>
      <c r="G20" s="180"/>
      <c r="H20" s="165"/>
      <c r="I20" s="161"/>
      <c r="K20" s="44"/>
      <c r="L20" s="45"/>
      <c r="M20" s="45"/>
      <c r="N20" s="45"/>
    </row>
    <row r="21" spans="1:14" ht="15">
      <c r="A21" s="46" t="s">
        <v>72</v>
      </c>
      <c r="B21" s="46"/>
      <c r="C21" s="29"/>
      <c r="D21" s="132"/>
      <c r="E21" s="144"/>
      <c r="F21" s="165"/>
      <c r="G21" s="180"/>
      <c r="H21" s="165"/>
      <c r="I21" s="161"/>
      <c r="K21" s="44"/>
      <c r="L21" s="45"/>
      <c r="M21" s="45"/>
      <c r="N21" s="45"/>
    </row>
    <row r="22" spans="1:14" ht="15">
      <c r="A22" s="46" t="s">
        <v>81</v>
      </c>
      <c r="B22" s="46"/>
      <c r="C22" s="29"/>
      <c r="D22" s="132"/>
      <c r="E22" s="144"/>
      <c r="F22" s="165"/>
      <c r="G22" s="180"/>
      <c r="H22" s="165"/>
      <c r="I22" s="161"/>
      <c r="K22" s="44"/>
      <c r="L22" s="45"/>
      <c r="M22" s="45"/>
      <c r="N22" s="45"/>
    </row>
    <row r="23" spans="1:14" ht="15.75" thickBot="1">
      <c r="A23" s="46" t="s">
        <v>65</v>
      </c>
      <c r="B23" s="46"/>
      <c r="C23" s="29"/>
      <c r="D23" s="132"/>
      <c r="E23" s="144"/>
      <c r="F23" s="165"/>
      <c r="G23" s="180"/>
      <c r="H23" s="165"/>
      <c r="I23" s="161"/>
      <c r="K23" s="93"/>
      <c r="L23" s="94"/>
      <c r="M23" s="94"/>
      <c r="N23" s="94"/>
    </row>
    <row r="24" spans="1:14" ht="15">
      <c r="A24" s="46" t="s">
        <v>76</v>
      </c>
      <c r="B24" s="46"/>
      <c r="C24" s="29"/>
      <c r="D24" s="132"/>
      <c r="E24" s="144"/>
      <c r="F24" s="165"/>
      <c r="G24" s="180"/>
      <c r="H24" s="165"/>
      <c r="I24" s="161">
        <f>38509</f>
        <v>38509</v>
      </c>
      <c r="K24" s="203" t="s">
        <v>134</v>
      </c>
      <c r="L24" s="31" t="s">
        <v>49</v>
      </c>
      <c r="M24" s="31" t="s">
        <v>50</v>
      </c>
      <c r="N24" s="32" t="s">
        <v>19</v>
      </c>
    </row>
    <row r="25" spans="1:14" ht="15">
      <c r="A25" s="46" t="s">
        <v>42</v>
      </c>
      <c r="B25" s="46"/>
      <c r="C25" s="29"/>
      <c r="D25" s="132"/>
      <c r="E25" s="144"/>
      <c r="F25" s="165"/>
      <c r="G25" s="180"/>
      <c r="H25" s="165"/>
      <c r="I25" s="161"/>
      <c r="K25" s="204"/>
      <c r="L25" s="167">
        <f>H47/(52-L34)</f>
        <v>18779.829268292684</v>
      </c>
      <c r="M25" s="167">
        <f>H87/(52-L34)</f>
        <v>36017.09756097561</v>
      </c>
      <c r="N25" s="142">
        <f>H88/(52-L34)</f>
        <v>0</v>
      </c>
    </row>
    <row r="26" spans="1:14" ht="15.75" thickBot="1">
      <c r="A26" s="46" t="s">
        <v>22</v>
      </c>
      <c r="B26" s="46"/>
      <c r="C26" s="29"/>
      <c r="D26" s="132"/>
      <c r="E26" s="144"/>
      <c r="F26" s="165"/>
      <c r="G26" s="180"/>
      <c r="H26" s="165">
        <f>22591+20001+24996+71010+552+706+38442+38518+30434</f>
        <v>247250</v>
      </c>
      <c r="I26" s="161"/>
      <c r="K26" s="103" t="s">
        <v>105</v>
      </c>
      <c r="L26" s="101">
        <f>L25*52</f>
        <v>976551.1219512196</v>
      </c>
      <c r="M26" s="101">
        <f>M25*52</f>
        <v>1872889.0731707318</v>
      </c>
      <c r="N26" s="102">
        <f>L26+M26</f>
        <v>2849440.1951219514</v>
      </c>
    </row>
    <row r="27" spans="1:13" ht="15">
      <c r="A27" s="46" t="s">
        <v>113</v>
      </c>
      <c r="B27" s="46">
        <v>45234</v>
      </c>
      <c r="C27" s="29">
        <f>9621+39629+997</f>
        <v>50247</v>
      </c>
      <c r="D27" s="132"/>
      <c r="E27" s="144">
        <f>1687+1690+723+731+326+408</f>
        <v>5565</v>
      </c>
      <c r="F27" s="165"/>
      <c r="G27" s="180"/>
      <c r="H27" s="165"/>
      <c r="I27" s="161"/>
      <c r="K27" s="82" t="s">
        <v>104</v>
      </c>
      <c r="L27" s="60"/>
      <c r="M27" s="60"/>
    </row>
    <row r="28" spans="1:13" ht="15">
      <c r="A28" s="46" t="s">
        <v>43</v>
      </c>
      <c r="B28" s="46"/>
      <c r="C28" s="29"/>
      <c r="D28" s="132"/>
      <c r="E28" s="144"/>
      <c r="F28" s="165"/>
      <c r="G28" s="180"/>
      <c r="H28" s="165"/>
      <c r="I28" s="161"/>
      <c r="L28" s="60"/>
      <c r="M28" s="60"/>
    </row>
    <row r="29" spans="1:11" ht="15.75" thickBot="1">
      <c r="A29" s="46" t="s">
        <v>64</v>
      </c>
      <c r="B29" s="46"/>
      <c r="C29" s="29"/>
      <c r="D29" s="132"/>
      <c r="E29" s="144"/>
      <c r="F29" s="165"/>
      <c r="G29" s="180"/>
      <c r="H29" s="165"/>
      <c r="I29" s="161"/>
      <c r="K29" s="1" t="s">
        <v>58</v>
      </c>
    </row>
    <row r="30" spans="1:14" ht="15">
      <c r="A30" s="46" t="s">
        <v>4</v>
      </c>
      <c r="B30" s="46"/>
      <c r="C30" s="29"/>
      <c r="D30" s="132"/>
      <c r="E30" s="144"/>
      <c r="F30" s="165"/>
      <c r="G30" s="180">
        <f>134+238+65+100+133+165+357+229+316+604+29+457</f>
        <v>2827</v>
      </c>
      <c r="H30" s="165"/>
      <c r="I30" s="161"/>
      <c r="K30" s="41"/>
      <c r="L30" s="31" t="s">
        <v>51</v>
      </c>
      <c r="M30" s="31" t="s">
        <v>101</v>
      </c>
      <c r="N30" s="32" t="s">
        <v>56</v>
      </c>
    </row>
    <row r="31" spans="1:17" ht="15">
      <c r="A31" s="46" t="s">
        <v>106</v>
      </c>
      <c r="B31" s="46"/>
      <c r="C31" s="29">
        <f>817+559+516+967</f>
        <v>2859</v>
      </c>
      <c r="D31" s="132"/>
      <c r="E31" s="144"/>
      <c r="F31" s="165"/>
      <c r="G31" s="180"/>
      <c r="H31" s="165"/>
      <c r="I31" s="161"/>
      <c r="K31" s="48" t="s">
        <v>52</v>
      </c>
      <c r="L31" s="122">
        <v>2000000</v>
      </c>
      <c r="M31" s="122">
        <v>2650000</v>
      </c>
      <c r="N31" s="125">
        <v>2700000</v>
      </c>
      <c r="Q31" s="82"/>
    </row>
    <row r="32" spans="1:14" ht="15">
      <c r="A32" s="46" t="s">
        <v>94</v>
      </c>
      <c r="B32" s="46"/>
      <c r="C32" s="29"/>
      <c r="D32" s="132"/>
      <c r="E32" s="144"/>
      <c r="F32" s="165"/>
      <c r="G32" s="180"/>
      <c r="H32" s="165"/>
      <c r="I32" s="161"/>
      <c r="K32" s="73" t="s">
        <v>133</v>
      </c>
      <c r="L32" s="29">
        <f>H47</f>
        <v>769973</v>
      </c>
      <c r="M32" s="29">
        <f>H47</f>
        <v>769973</v>
      </c>
      <c r="N32" s="42">
        <f>H47</f>
        <v>769973</v>
      </c>
    </row>
    <row r="33" spans="1:14" ht="15">
      <c r="A33" s="46" t="s">
        <v>92</v>
      </c>
      <c r="B33" s="46"/>
      <c r="C33" s="29"/>
      <c r="D33" s="132"/>
      <c r="E33" s="144"/>
      <c r="F33" s="165"/>
      <c r="G33" s="180"/>
      <c r="H33" s="165"/>
      <c r="I33" s="161"/>
      <c r="K33" s="36" t="s">
        <v>53</v>
      </c>
      <c r="L33" s="29">
        <f>L31-L32</f>
        <v>1230027</v>
      </c>
      <c r="M33" s="29">
        <f>M31-M32</f>
        <v>1880027</v>
      </c>
      <c r="N33" s="42">
        <f>N31-N32</f>
        <v>1930027</v>
      </c>
    </row>
    <row r="34" spans="1:14" ht="15">
      <c r="A34" s="46" t="s">
        <v>89</v>
      </c>
      <c r="B34" s="46">
        <v>68005</v>
      </c>
      <c r="C34" s="29">
        <f>27700+33176</f>
        <v>60876</v>
      </c>
      <c r="D34" s="132"/>
      <c r="E34" s="144"/>
      <c r="F34" s="165"/>
      <c r="G34" s="180"/>
      <c r="H34" s="165"/>
      <c r="I34" s="161">
        <f>19022+27529</f>
        <v>46551</v>
      </c>
      <c r="K34" s="36" t="s">
        <v>54</v>
      </c>
      <c r="L34" s="29">
        <f>G6</f>
        <v>11</v>
      </c>
      <c r="M34" s="29">
        <f>$L$34</f>
        <v>11</v>
      </c>
      <c r="N34" s="42">
        <f>$L$34</f>
        <v>11</v>
      </c>
    </row>
    <row r="35" spans="1:14" ht="15.75" thickBot="1">
      <c r="A35" s="46" t="s">
        <v>71</v>
      </c>
      <c r="B35" s="46">
        <v>19442</v>
      </c>
      <c r="C35" s="29"/>
      <c r="D35" s="132"/>
      <c r="E35" s="144"/>
      <c r="F35" s="165"/>
      <c r="G35" s="180"/>
      <c r="H35" s="165">
        <f>480</f>
        <v>480</v>
      </c>
      <c r="I35" s="161"/>
      <c r="K35" s="43" t="s">
        <v>55</v>
      </c>
      <c r="L35" s="33">
        <f>L33/L34</f>
        <v>111820.63636363637</v>
      </c>
      <c r="M35" s="33">
        <f>M33/M34</f>
        <v>170911.54545454544</v>
      </c>
      <c r="N35" s="34">
        <f>N33/N34</f>
        <v>175457</v>
      </c>
    </row>
    <row r="36" spans="1:14" ht="15">
      <c r="A36" s="46" t="s">
        <v>47</v>
      </c>
      <c r="B36" s="46"/>
      <c r="C36" s="29"/>
      <c r="D36" s="132"/>
      <c r="E36" s="144"/>
      <c r="F36" s="165"/>
      <c r="G36" s="180"/>
      <c r="H36" s="165"/>
      <c r="I36" s="161"/>
      <c r="K36" s="54"/>
      <c r="L36" s="61"/>
      <c r="M36" s="45"/>
      <c r="N36" s="61"/>
    </row>
    <row r="37" spans="1:14" ht="15">
      <c r="A37" s="46" t="s">
        <v>78</v>
      </c>
      <c r="B37" s="46"/>
      <c r="C37" s="29"/>
      <c r="D37" s="132"/>
      <c r="E37" s="144"/>
      <c r="F37" s="165"/>
      <c r="G37" s="180"/>
      <c r="H37" s="165"/>
      <c r="I37" s="161"/>
      <c r="K37" s="99" t="s">
        <v>100</v>
      </c>
      <c r="L37" s="61"/>
      <c r="M37" s="45"/>
      <c r="N37" s="61"/>
    </row>
    <row r="38" spans="1:14" ht="15">
      <c r="A38" s="46" t="s">
        <v>237</v>
      </c>
      <c r="B38" s="46"/>
      <c r="C38" s="29"/>
      <c r="D38" s="132"/>
      <c r="E38" s="144"/>
      <c r="F38" s="165"/>
      <c r="G38" s="180"/>
      <c r="H38" s="165"/>
      <c r="I38" s="161"/>
      <c r="K38" s="99"/>
      <c r="L38" s="61"/>
      <c r="M38" s="45"/>
      <c r="N38" s="61"/>
    </row>
    <row r="39" spans="1:14" ht="15">
      <c r="A39" s="46" t="s">
        <v>25</v>
      </c>
      <c r="B39" s="46">
        <v>258</v>
      </c>
      <c r="C39" s="29"/>
      <c r="D39" s="132"/>
      <c r="E39" s="144"/>
      <c r="F39" s="165"/>
      <c r="G39" s="180"/>
      <c r="H39" s="165"/>
      <c r="I39" s="161"/>
      <c r="K39" s="99" t="s">
        <v>103</v>
      </c>
      <c r="L39" s="61"/>
      <c r="M39" s="45"/>
      <c r="N39" s="61"/>
    </row>
    <row r="40" spans="1:14" ht="15">
      <c r="A40" s="46" t="s">
        <v>86</v>
      </c>
      <c r="B40" s="46"/>
      <c r="C40" s="29"/>
      <c r="D40" s="132"/>
      <c r="E40" s="144"/>
      <c r="F40" s="165"/>
      <c r="G40" s="180"/>
      <c r="H40" s="165">
        <f>5820+44789+22</f>
        <v>50631</v>
      </c>
      <c r="I40" s="161">
        <f>1496+16080</f>
        <v>17576</v>
      </c>
      <c r="K40" s="99"/>
      <c r="L40" s="61"/>
      <c r="M40" s="45"/>
      <c r="N40" s="61"/>
    </row>
    <row r="41" spans="1:14" ht="15">
      <c r="A41" s="46" t="s">
        <v>93</v>
      </c>
      <c r="B41" s="46"/>
      <c r="C41" s="29"/>
      <c r="D41" s="132"/>
      <c r="E41" s="144"/>
      <c r="F41" s="165"/>
      <c r="G41" s="180"/>
      <c r="H41" s="165"/>
      <c r="I41" s="161"/>
      <c r="K41" s="54"/>
      <c r="L41" s="61"/>
      <c r="M41" s="61"/>
      <c r="N41" s="61"/>
    </row>
    <row r="42" spans="1:14" ht="15">
      <c r="A42" s="46" t="s">
        <v>23</v>
      </c>
      <c r="B42" s="46"/>
      <c r="C42" s="29"/>
      <c r="D42" s="132"/>
      <c r="E42" s="144"/>
      <c r="F42" s="165"/>
      <c r="G42" s="180">
        <f>10105</f>
        <v>10105</v>
      </c>
      <c r="H42" s="165"/>
      <c r="I42" s="161"/>
      <c r="K42" s="54"/>
      <c r="L42" s="61"/>
      <c r="M42" s="61"/>
      <c r="N42" s="61"/>
    </row>
    <row r="43" spans="1:9" ht="15">
      <c r="A43" s="46" t="s">
        <v>82</v>
      </c>
      <c r="B43" s="46"/>
      <c r="C43" s="29"/>
      <c r="D43" s="132"/>
      <c r="E43" s="144"/>
      <c r="F43" s="165"/>
      <c r="G43" s="180"/>
      <c r="H43" s="165"/>
      <c r="I43" s="161"/>
    </row>
    <row r="44" spans="1:11" ht="15.75" thickBot="1">
      <c r="A44" s="46" t="s">
        <v>236</v>
      </c>
      <c r="B44" s="46"/>
      <c r="C44" s="29"/>
      <c r="D44" s="132"/>
      <c r="E44" s="144"/>
      <c r="F44" s="165"/>
      <c r="G44" s="180"/>
      <c r="H44" s="165">
        <f>24998</f>
        <v>24998</v>
      </c>
      <c r="I44" s="161"/>
      <c r="K44" s="1" t="s">
        <v>59</v>
      </c>
    </row>
    <row r="45" spans="1:14" ht="15">
      <c r="A45" s="46" t="s">
        <v>96</v>
      </c>
      <c r="B45" s="46">
        <v>31000</v>
      </c>
      <c r="C45" s="29"/>
      <c r="D45" s="132"/>
      <c r="E45" s="144"/>
      <c r="F45" s="165"/>
      <c r="G45" s="180"/>
      <c r="H45" s="165">
        <f>17289+14711</f>
        <v>32000</v>
      </c>
      <c r="I45" s="161"/>
      <c r="K45" s="41"/>
      <c r="L45" s="31" t="s">
        <v>51</v>
      </c>
      <c r="M45" s="31" t="s">
        <v>102</v>
      </c>
      <c r="N45" s="32" t="s">
        <v>56</v>
      </c>
    </row>
    <row r="46" spans="1:14" ht="15">
      <c r="A46" s="46" t="s">
        <v>16</v>
      </c>
      <c r="B46" s="46"/>
      <c r="C46" s="29"/>
      <c r="D46" s="132"/>
      <c r="E46" s="144"/>
      <c r="F46" s="165"/>
      <c r="G46" s="180">
        <f>30+225+33</f>
        <v>288</v>
      </c>
      <c r="H46" s="165"/>
      <c r="I46" s="161"/>
      <c r="K46" s="48" t="s">
        <v>60</v>
      </c>
      <c r="L46" s="122">
        <v>1400000</v>
      </c>
      <c r="M46" s="122">
        <v>1600000</v>
      </c>
      <c r="N46" s="122">
        <v>1800000</v>
      </c>
    </row>
    <row r="47" spans="1:14" ht="15">
      <c r="A47" s="47" t="s">
        <v>66</v>
      </c>
      <c r="B47" s="47">
        <f>SUM(B9:B45)</f>
        <v>1731243</v>
      </c>
      <c r="C47" s="128">
        <f>SUM(C9:C34)</f>
        <v>1395153</v>
      </c>
      <c r="D47" s="134">
        <f aca="true" t="shared" si="0" ref="D47:I47">SUM(D9:D46)</f>
        <v>901227</v>
      </c>
      <c r="E47" s="143">
        <f t="shared" si="0"/>
        <v>536014</v>
      </c>
      <c r="F47" s="166">
        <f t="shared" si="0"/>
        <v>456646</v>
      </c>
      <c r="G47" s="181">
        <f t="shared" si="0"/>
        <v>525079</v>
      </c>
      <c r="H47" s="166">
        <f t="shared" si="0"/>
        <v>769973</v>
      </c>
      <c r="I47" s="160">
        <f t="shared" si="0"/>
        <v>402744</v>
      </c>
      <c r="J47" s="130">
        <f>'Weekliks-Weekly'!M60</f>
        <v>402744</v>
      </c>
      <c r="K47" s="73" t="s">
        <v>132</v>
      </c>
      <c r="L47" s="29">
        <f>H87</f>
        <v>1476701</v>
      </c>
      <c r="M47" s="29">
        <f>H87</f>
        <v>1476701</v>
      </c>
      <c r="N47" s="42">
        <f>F87</f>
        <v>210799</v>
      </c>
    </row>
    <row r="48" spans="5:14" ht="12.75">
      <c r="E48" s="135"/>
      <c r="F48" s="162"/>
      <c r="G48" s="162"/>
      <c r="H48" s="183"/>
      <c r="I48" s="54"/>
      <c r="J48" s="104"/>
      <c r="K48" s="36" t="s">
        <v>53</v>
      </c>
      <c r="L48" s="29">
        <f>L46-L47</f>
        <v>-76701</v>
      </c>
      <c r="M48" s="29">
        <f>M46-M47</f>
        <v>123299</v>
      </c>
      <c r="N48" s="42">
        <f>N46-N47</f>
        <v>1589201</v>
      </c>
    </row>
    <row r="49" spans="1:14" ht="12.75">
      <c r="A49" s="1" t="s">
        <v>6</v>
      </c>
      <c r="B49" s="1"/>
      <c r="C49" s="1"/>
      <c r="D49" s="1"/>
      <c r="H49" s="185"/>
      <c r="I49" s="163" t="s">
        <v>2</v>
      </c>
      <c r="K49" s="36" t="s">
        <v>54</v>
      </c>
      <c r="L49" s="29">
        <f>$L$34</f>
        <v>11</v>
      </c>
      <c r="M49" s="29">
        <f>$L$34</f>
        <v>11</v>
      </c>
      <c r="N49" s="42">
        <f>$L$34</f>
        <v>11</v>
      </c>
    </row>
    <row r="50" spans="2:14" ht="13.5" thickBot="1">
      <c r="B50" s="119" t="s">
        <v>108</v>
      </c>
      <c r="C50" s="119" t="s">
        <v>109</v>
      </c>
      <c r="D50" s="136" t="s">
        <v>112</v>
      </c>
      <c r="E50" s="131" t="s">
        <v>116</v>
      </c>
      <c r="F50" s="164" t="s">
        <v>115</v>
      </c>
      <c r="G50" s="131" t="s">
        <v>130</v>
      </c>
      <c r="H50" s="184" t="s">
        <v>228</v>
      </c>
      <c r="I50" s="131" t="s">
        <v>241</v>
      </c>
      <c r="K50" s="43" t="s">
        <v>55</v>
      </c>
      <c r="L50" s="33">
        <f>L48/L49</f>
        <v>-6972.818181818182</v>
      </c>
      <c r="M50" s="33">
        <f>M48/M49</f>
        <v>11209</v>
      </c>
      <c r="N50" s="34">
        <f>N48/N49</f>
        <v>144472.81818181818</v>
      </c>
    </row>
    <row r="51" spans="1:14" ht="15">
      <c r="A51" s="46" t="s">
        <v>15</v>
      </c>
      <c r="B51" s="46">
        <v>6587</v>
      </c>
      <c r="C51" s="81">
        <f>15+593+506+514+2+172+104+492+454+220+228+781+182+405+743+1096+189+228+819+50+301+274+56+3+160+223+56+36+279+5</f>
        <v>9186</v>
      </c>
      <c r="D51" s="132">
        <f>432+66+344+134+148+212+250+640+33+32+35+159+679+19+135+2137+176+137+560+726+209+15+36+248+166+439+324+121+34+168</f>
        <v>8814</v>
      </c>
      <c r="E51" s="132">
        <v>7506</v>
      </c>
      <c r="F51" s="165">
        <f>748+34+694+396+440+317+704+484+440+968+484+484+484+484+484+968+660+880+616+484+484</f>
        <v>11737</v>
      </c>
      <c r="G51" s="180">
        <f>45+34+42+34+6+34+61+20+1012+979+1470+49+58+527+484+774+572+1188+851+660+949+440+799+771+357+469</f>
        <v>12685</v>
      </c>
      <c r="H51" s="165">
        <f>10+176+18+440+6+440+487+3</f>
        <v>1580</v>
      </c>
      <c r="I51" s="161">
        <f>15+319+533+15+466+96+234+480+904+166+509+419+34+204+137+647+240+240+1092+337+131</f>
        <v>7218</v>
      </c>
      <c r="K51" s="54"/>
      <c r="L51" s="61"/>
      <c r="M51" s="45"/>
      <c r="N51" s="61"/>
    </row>
    <row r="52" spans="1:14" ht="15">
      <c r="A52" s="46" t="s">
        <v>18</v>
      </c>
      <c r="B52" s="46">
        <v>14833</v>
      </c>
      <c r="C52" s="81">
        <f>442+352+471+159+522+155+97+223+98+1208+427+220+251+320+451+535+294+1020+1115+271+326+258+513+168+181+35+47+255+1680+791+1175+749+394+958+83+84+82+27+511+427+400</f>
        <v>17775</v>
      </c>
      <c r="D52" s="132">
        <f>104+81+631+231+213+199+138+220+979+131+507+487+461+1509+410+771+288+1886+496+624+850+1081+544+865+409+194+124+205+197+169+639+362+433+364+735+911+168+570+1013+550+381+793+183+164+67+110+95</f>
        <v>22542</v>
      </c>
      <c r="E52" s="132">
        <v>24483</v>
      </c>
      <c r="F52" s="165">
        <f>441+775+462+320+193+459+301+725+1922+1529+1025+716+389+334+262+435+139+1278+365+1059+224+1850+216+1285+644+1175+1315+886+1107+303+1360+965+1054+444+1139+957+686+1618+948+391+495+325+945+1182+1063+743+616+548+719</f>
        <v>38332</v>
      </c>
      <c r="G52" s="180">
        <f>235+241+1120+329+492+842+101+227+554+859+468+273+143+203+367+132+1909+956+675+348+508+588+570+536+498+295+1238+102+477+175+348+170+267+207+800+931+539+744+203+206+1185+1131+885+296+730+1078+803+811</f>
        <v>26795</v>
      </c>
      <c r="H52" s="165">
        <f>499+589+492+655+625+570+159+760+991+445+237+467+535+510+269+501+102+914+134+247+237+512+770+1239+539+235+540+131+32+394+1070+473+344+542+163+70+318+434+1307+1308+301+9+134+204+160+62+374+215+98</f>
        <v>21916</v>
      </c>
      <c r="I52" s="161">
        <f>1195+1017+578+519+880+371+1897+582+492+590+588+472+643+854+1280+951+537+896+379+408+1030+913+1079+920+271+374+306+261+1080+274+373+714+339+356+697+764+395+382+432+1125+441</f>
        <v>27655</v>
      </c>
      <c r="K52" s="99" t="s">
        <v>100</v>
      </c>
      <c r="L52" s="61"/>
      <c r="M52" s="45"/>
      <c r="N52" s="61"/>
    </row>
    <row r="53" spans="1:11" ht="15">
      <c r="A53" s="46" t="s">
        <v>13</v>
      </c>
      <c r="B53" s="46">
        <v>55618</v>
      </c>
      <c r="C53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3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3" s="132">
        <v>45076</v>
      </c>
      <c r="F53" s="16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3" s="180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3" s="165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3" s="161">
        <f>1735+1673+1320+2405+2238+1143+1365+1263+2157+2139+2424+2293+2546+1720+1627+2426+2485+1686+1534+1922+1924+1820+1693+2085+1904+2002+1433+1918+2025+1581+2105+1889+2723+2779+1300+2365+1977+3080+1130+1807+770</f>
        <v>78411</v>
      </c>
      <c r="K53" s="99" t="s">
        <v>103</v>
      </c>
    </row>
    <row r="54" spans="1:9" ht="15">
      <c r="A54" s="46" t="s">
        <v>17</v>
      </c>
      <c r="B54" s="46">
        <v>15632</v>
      </c>
      <c r="C54" s="81">
        <f>351+605+233+305+817+415+277+384+367+848+1059+1094+689+993+572+818+73+1858+1438+1599+1054+1189+664+565+719+322+922+570+477+461+256+152+398+605+389+694+154+531+395+336+669+471+699+566+330+125+873+139+136+279</f>
        <v>29935</v>
      </c>
      <c r="D54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4" s="132">
        <v>37518</v>
      </c>
      <c r="F54" s="165">
        <f>244+348+282+272+918+164+212+840+739+1013+1522+826+1046+557+475+367+444+3201+936+1332+929+908+1214+920+819+1197+1065+1293+718+917+794+971+623+1064+720+899+1345+590+719+1162+771+760+743+861+1400+1144+832+537+470+88</f>
        <v>42211</v>
      </c>
      <c r="G54" s="180">
        <f>215+224+301+248+200+130+165+66+144+441+463+294+291+1198+277+143+1423+231+312+227+343+594+946+682+29+138+66+25+162+589+419+297+387+457+1+35+35+36+116+183+255+290+481+502+501+133+296</f>
        <v>14991</v>
      </c>
      <c r="H54" s="165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54" s="161">
        <f>1146+1014+983+1011+1134+157+1248+1677+1556+1457+775+529+786+1611+1312+1047+488+392+280+374+295+380+482+464+1068+861+639+626+1190+557+468+1076+1110+1065+785+893+1510+331+143+307</f>
        <v>33227</v>
      </c>
    </row>
    <row r="55" spans="1:9" ht="15">
      <c r="A55" s="46" t="s">
        <v>12</v>
      </c>
      <c r="B55" s="46">
        <v>22153</v>
      </c>
      <c r="C55" s="81">
        <f>540+329+759+511+168+346+135+401+270+406+532+201+416+716+209+318+544+1004+287+269+934+901+534+878+844+1100+725+688+590+1335+1240+418+2824+1226+1603+825+1233+861+1339+1503+411+528+1620+679+635+491+636+930+322</f>
        <v>36214</v>
      </c>
      <c r="D55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5" s="132">
        <v>30126</v>
      </c>
      <c r="F55" s="16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5" s="180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5" s="165">
        <f>235+162+435+304+658+363+748+470+606+258+422+299+289+371+247+278+89+1091+339+242+292+208+210+540+395+132+36+169+180+11+158+179+83+204+71+134+27+57+34+592+141+34+224+168+1850+915+943+510+551+1039</f>
        <v>17993</v>
      </c>
      <c r="I55" s="161">
        <f>1059+1447+1725+1958+997+290+273+466+868+771+329+587+366+834+490+497+723+541+70+493+664+241+395+423+315+243+273+248+767+130+518+386+677+457+726+173+130+2076+524+537+135</f>
        <v>24822</v>
      </c>
    </row>
    <row r="56" spans="1:11" ht="15.75" thickBot="1">
      <c r="A56" s="79" t="s">
        <v>233</v>
      </c>
      <c r="B56" s="46">
        <v>161550</v>
      </c>
      <c r="C56" s="81">
        <f>31849+21249+27982</f>
        <v>81080</v>
      </c>
      <c r="D56" s="132">
        <f>236+4206+2320+14699+21493+23043+26457+20376+54124+1726</f>
        <v>168680</v>
      </c>
      <c r="E56" s="132">
        <v>679185</v>
      </c>
      <c r="F56" s="165"/>
      <c r="G56" s="180"/>
      <c r="H56" s="165">
        <f>12779+27898+7311+53225+66100+40001+36317+18283</f>
        <v>261914</v>
      </c>
      <c r="I56" s="161">
        <f>54399+51999</f>
        <v>106398</v>
      </c>
      <c r="K56" s="1" t="s">
        <v>61</v>
      </c>
    </row>
    <row r="57" spans="1:14" ht="15">
      <c r="A57" s="51" t="s">
        <v>24</v>
      </c>
      <c r="B57" s="51">
        <v>48880</v>
      </c>
      <c r="C57" s="81">
        <f>25083+24806+39128+27873+22427</f>
        <v>139317</v>
      </c>
      <c r="D57" s="132">
        <f>18608+30231+50170+2930+92055+7681+84537+77568+54112+24125+34803+39324+29995+45209+4967</f>
        <v>596315</v>
      </c>
      <c r="E57" s="132">
        <v>198197</v>
      </c>
      <c r="F57" s="165"/>
      <c r="G57" s="180"/>
      <c r="H57" s="166">
        <f>10250+40114+36227+39306+55248+22494+47041+5682+1846+51254+34370+11130+52611+22466+57016+99855+53806+74644+28124+2398+19786</f>
        <v>765668</v>
      </c>
      <c r="I57" s="160">
        <f>51000+26957+23135+50425</f>
        <v>151517</v>
      </c>
      <c r="K57" s="41"/>
      <c r="L57" s="31" t="s">
        <v>51</v>
      </c>
      <c r="M57" s="31" t="s">
        <v>57</v>
      </c>
      <c r="N57" s="32" t="s">
        <v>56</v>
      </c>
    </row>
    <row r="58" spans="1:14" ht="15">
      <c r="A58" s="51" t="s">
        <v>21</v>
      </c>
      <c r="B58" s="51"/>
      <c r="C58" s="137"/>
      <c r="D58" s="133">
        <v>1009</v>
      </c>
      <c r="E58" s="133">
        <v>1011</v>
      </c>
      <c r="F58" s="166"/>
      <c r="G58" s="181"/>
      <c r="H58" s="166">
        <f>102+345+172+782+782+299</f>
        <v>2482</v>
      </c>
      <c r="I58" s="160"/>
      <c r="K58" s="48" t="s">
        <v>62</v>
      </c>
      <c r="L58" s="49">
        <f>L46+L31</f>
        <v>3400000</v>
      </c>
      <c r="M58" s="49">
        <f>M46+M31</f>
        <v>4250000</v>
      </c>
      <c r="N58" s="50">
        <f>N46+N31</f>
        <v>4500000</v>
      </c>
    </row>
    <row r="59" spans="1:14" ht="15">
      <c r="A59" s="46" t="s">
        <v>107</v>
      </c>
      <c r="B59" s="46">
        <v>229</v>
      </c>
      <c r="C59" s="81"/>
      <c r="D59" s="132"/>
      <c r="E59" s="132"/>
      <c r="F59" s="165"/>
      <c r="G59" s="180"/>
      <c r="H59" s="165"/>
      <c r="I59" s="161"/>
      <c r="K59" s="73" t="s">
        <v>135</v>
      </c>
      <c r="L59" s="29">
        <f>H87+H47</f>
        <v>2246674</v>
      </c>
      <c r="M59" s="29">
        <f>L59</f>
        <v>2246674</v>
      </c>
      <c r="N59" s="42">
        <f>M59</f>
        <v>2246674</v>
      </c>
    </row>
    <row r="60" spans="1:14" ht="15">
      <c r="A60" s="79" t="s">
        <v>85</v>
      </c>
      <c r="B60" s="79">
        <v>28100</v>
      </c>
      <c r="C60" s="81"/>
      <c r="D60" s="132"/>
      <c r="E60" s="132"/>
      <c r="F60" s="165"/>
      <c r="G60" s="180"/>
      <c r="H60" s="165"/>
      <c r="I60" s="161"/>
      <c r="K60" s="36" t="s">
        <v>53</v>
      </c>
      <c r="L60" s="29">
        <f>L58-L59</f>
        <v>1153326</v>
      </c>
      <c r="M60" s="29">
        <f>M58-M59</f>
        <v>2003326</v>
      </c>
      <c r="N60" s="42">
        <f>N58-N59</f>
        <v>2253326</v>
      </c>
    </row>
    <row r="61" spans="1:14" ht="15">
      <c r="A61" s="79" t="s">
        <v>46</v>
      </c>
      <c r="B61" s="79"/>
      <c r="C61" s="81"/>
      <c r="D61" s="132">
        <f>382+452+516</f>
        <v>1350</v>
      </c>
      <c r="E61" s="132">
        <v>3540</v>
      </c>
      <c r="F61" s="165"/>
      <c r="G61" s="180"/>
      <c r="H61" s="165"/>
      <c r="I61" s="161"/>
      <c r="K61" s="36" t="s">
        <v>54</v>
      </c>
      <c r="L61" s="29">
        <f>$L$34</f>
        <v>11</v>
      </c>
      <c r="M61" s="29">
        <f>$L$34</f>
        <v>11</v>
      </c>
      <c r="N61" s="42">
        <f>$L$34</f>
        <v>11</v>
      </c>
    </row>
    <row r="62" spans="1:14" ht="15.75" thickBot="1">
      <c r="A62" s="51" t="s">
        <v>79</v>
      </c>
      <c r="B62" s="51"/>
      <c r="C62" s="81"/>
      <c r="D62" s="132"/>
      <c r="E62" s="132"/>
      <c r="F62" s="165"/>
      <c r="G62" s="180"/>
      <c r="H62" s="165"/>
      <c r="I62" s="161"/>
      <c r="K62" s="43" t="s">
        <v>55</v>
      </c>
      <c r="L62" s="33">
        <f>L60/L61</f>
        <v>104847.81818181818</v>
      </c>
      <c r="M62" s="33">
        <f>M60/M61</f>
        <v>182120.54545454544</v>
      </c>
      <c r="N62" s="34">
        <f>N60/N61</f>
        <v>204847.81818181818</v>
      </c>
    </row>
    <row r="63" spans="1:14" ht="15">
      <c r="A63" s="79" t="s">
        <v>42</v>
      </c>
      <c r="B63" s="79">
        <v>7700</v>
      </c>
      <c r="C63" s="81"/>
      <c r="D63" s="132"/>
      <c r="E63" s="132"/>
      <c r="F63" s="165"/>
      <c r="G63" s="180"/>
      <c r="H63" s="165">
        <f>301</f>
        <v>301</v>
      </c>
      <c r="I63" s="161">
        <f>20000</f>
        <v>20000</v>
      </c>
      <c r="J63" s="2"/>
      <c r="K63" s="54"/>
      <c r="L63" s="61"/>
      <c r="M63" s="72"/>
      <c r="N63" s="61"/>
    </row>
    <row r="64" spans="1:14" ht="15">
      <c r="A64" s="79" t="s">
        <v>110</v>
      </c>
      <c r="B64" s="79"/>
      <c r="C64" s="81"/>
      <c r="D64" s="132"/>
      <c r="E64" s="132"/>
      <c r="F64" s="165">
        <f>1104+543+810+36+788</f>
        <v>3281</v>
      </c>
      <c r="G64" s="180"/>
      <c r="H64" s="165"/>
      <c r="I64" s="161"/>
      <c r="J64" s="2"/>
      <c r="K64" s="54"/>
      <c r="L64" s="61"/>
      <c r="M64" s="72"/>
      <c r="N64" s="61"/>
    </row>
    <row r="65" spans="1:16" ht="15">
      <c r="A65" s="79" t="s">
        <v>111</v>
      </c>
      <c r="B65" s="79">
        <v>302259</v>
      </c>
      <c r="C65" s="81">
        <f>594+1100+5818+12152</f>
        <v>19664</v>
      </c>
      <c r="D65" s="132">
        <f>2544+29810+36024+30166+49500</f>
        <v>148044</v>
      </c>
      <c r="E65" s="132">
        <v>214474</v>
      </c>
      <c r="F65" s="165">
        <f>2277</f>
        <v>2277</v>
      </c>
      <c r="G65" s="180">
        <f>506+828+483+1932+691+510+530+483</f>
        <v>5963</v>
      </c>
      <c r="H65" s="165">
        <f>644+828+828</f>
        <v>2300</v>
      </c>
      <c r="I65" s="161"/>
      <c r="P65" s="63"/>
    </row>
    <row r="66" spans="1:16" ht="15">
      <c r="A66" s="79" t="s">
        <v>234</v>
      </c>
      <c r="B66" s="79"/>
      <c r="C66" s="81"/>
      <c r="D66" s="132"/>
      <c r="E66" s="132"/>
      <c r="F66" s="165"/>
      <c r="G66" s="180"/>
      <c r="H66" s="165">
        <f>11313+40938+53280+39974+13319+25257+27863</f>
        <v>211944</v>
      </c>
      <c r="I66" s="161">
        <f>391+570+307+399+195+200+399+8210+39332+53700+36010+17490+54800</f>
        <v>212003</v>
      </c>
      <c r="P66" s="63"/>
    </row>
    <row r="67" spans="1:16" ht="15">
      <c r="A67" s="79" t="s">
        <v>250</v>
      </c>
      <c r="B67" s="79"/>
      <c r="C67" s="81"/>
      <c r="D67" s="132"/>
      <c r="E67" s="132"/>
      <c r="F67" s="165"/>
      <c r="G67" s="180"/>
      <c r="H67" s="165"/>
      <c r="I67" s="161">
        <f>506+552+943+23+207+506+483+598</f>
        <v>3818</v>
      </c>
      <c r="P67" s="63"/>
    </row>
    <row r="68" spans="1:16" ht="15">
      <c r="A68" s="79" t="s">
        <v>77</v>
      </c>
      <c r="B68" s="46"/>
      <c r="C68" s="81"/>
      <c r="D68" s="132"/>
      <c r="E68" s="132"/>
      <c r="F68" s="165"/>
      <c r="G68" s="180"/>
      <c r="H68" s="165"/>
      <c r="I68" s="161"/>
      <c r="P68" s="62"/>
    </row>
    <row r="69" spans="1:16" ht="15">
      <c r="A69" s="46" t="s">
        <v>78</v>
      </c>
      <c r="B69" s="46"/>
      <c r="C69" s="81"/>
      <c r="D69" s="132"/>
      <c r="E69" s="132"/>
      <c r="F69" s="165"/>
      <c r="G69" s="180"/>
      <c r="H69" s="165"/>
      <c r="I69" s="161"/>
      <c r="P69" s="62"/>
    </row>
    <row r="70" spans="1:16" ht="15">
      <c r="A70" s="46" t="s">
        <v>20</v>
      </c>
      <c r="B70" s="46">
        <v>4109</v>
      </c>
      <c r="C70" s="81">
        <f>352+2002</f>
        <v>2354</v>
      </c>
      <c r="D70" s="132">
        <f>1757+280+280+473+2151</f>
        <v>4941</v>
      </c>
      <c r="E70" s="132"/>
      <c r="F70" s="165"/>
      <c r="G70" s="180"/>
      <c r="H70" s="165"/>
      <c r="I70" s="161"/>
      <c r="K70" s="28"/>
      <c r="P70" s="28"/>
    </row>
    <row r="71" spans="1:16" ht="15">
      <c r="A71" s="46" t="s">
        <v>92</v>
      </c>
      <c r="B71" s="46"/>
      <c r="C71" s="81"/>
      <c r="D71" s="132">
        <f>5812+7883</f>
        <v>13695</v>
      </c>
      <c r="E71" s="132"/>
      <c r="F71" s="165"/>
      <c r="G71" s="180"/>
      <c r="H71" s="165"/>
      <c r="I71" s="161"/>
      <c r="K71" s="28"/>
      <c r="P71" s="28"/>
    </row>
    <row r="72" spans="1:9" ht="15">
      <c r="A72" s="46" t="s">
        <v>4</v>
      </c>
      <c r="B72" s="46"/>
      <c r="C72" s="81"/>
      <c r="D72" s="132"/>
      <c r="E72" s="132"/>
      <c r="F72" s="165"/>
      <c r="G72" s="180"/>
      <c r="H72" s="165"/>
      <c r="I72" s="161"/>
    </row>
    <row r="73" spans="1:11" ht="15">
      <c r="A73" s="46" t="s">
        <v>94</v>
      </c>
      <c r="B73" s="46"/>
      <c r="C73" s="81"/>
      <c r="D73" s="132"/>
      <c r="E73" s="132">
        <v>52499</v>
      </c>
      <c r="F73" s="165"/>
      <c r="G73" s="180"/>
      <c r="H73" s="165"/>
      <c r="I73" s="161"/>
      <c r="K73" s="28"/>
    </row>
    <row r="74" spans="1:11" ht="15">
      <c r="A74" s="79" t="s">
        <v>237</v>
      </c>
      <c r="B74" s="46"/>
      <c r="C74" s="81"/>
      <c r="D74" s="132"/>
      <c r="E74" s="132"/>
      <c r="F74" s="165"/>
      <c r="G74" s="180"/>
      <c r="H74" s="165">
        <f>283+594+599+725+552+602+604+456+606+454</f>
        <v>5475</v>
      </c>
      <c r="I74" s="161"/>
      <c r="K74" s="28"/>
    </row>
    <row r="75" spans="1:11" ht="15">
      <c r="A75" s="79" t="s">
        <v>114</v>
      </c>
      <c r="B75" s="46"/>
      <c r="C75" s="81"/>
      <c r="D75" s="132"/>
      <c r="E75" s="132">
        <v>55959</v>
      </c>
      <c r="F75" s="165"/>
      <c r="G75" s="180"/>
      <c r="H75" s="165"/>
      <c r="I75" s="161"/>
      <c r="K75" s="28"/>
    </row>
    <row r="76" spans="1:9" ht="15">
      <c r="A76" s="51" t="s">
        <v>25</v>
      </c>
      <c r="B76" s="51">
        <v>2537</v>
      </c>
      <c r="C76" s="81"/>
      <c r="D76" s="132"/>
      <c r="E76" s="132"/>
      <c r="F76" s="165"/>
      <c r="G76" s="180"/>
      <c r="H76" s="165"/>
      <c r="I76" s="161"/>
    </row>
    <row r="77" spans="1:9" ht="15">
      <c r="A77" s="51" t="s">
        <v>23</v>
      </c>
      <c r="B77" s="51"/>
      <c r="C77" s="81"/>
      <c r="D77" s="132"/>
      <c r="E77" s="132"/>
      <c r="F77" s="165"/>
      <c r="G77" s="180"/>
      <c r="H77" s="165"/>
      <c r="I77" s="161"/>
    </row>
    <row r="78" spans="1:9" ht="15">
      <c r="A78" s="46" t="s">
        <v>16</v>
      </c>
      <c r="B78" s="46"/>
      <c r="C78" s="81"/>
      <c r="D78" s="132"/>
      <c r="E78" s="132"/>
      <c r="F78" s="165"/>
      <c r="G78" s="180">
        <f>132</f>
        <v>132</v>
      </c>
      <c r="H78" s="165"/>
      <c r="I78" s="161"/>
    </row>
    <row r="79" spans="1:9" ht="15">
      <c r="A79" s="46" t="s">
        <v>84</v>
      </c>
      <c r="B79" s="46"/>
      <c r="C79" s="81"/>
      <c r="D79" s="132"/>
      <c r="E79" s="132"/>
      <c r="F79" s="165"/>
      <c r="G79" s="180"/>
      <c r="H79" s="165"/>
      <c r="I79" s="161"/>
    </row>
    <row r="80" spans="1:9" ht="15">
      <c r="A80" s="46" t="s">
        <v>86</v>
      </c>
      <c r="B80" s="46"/>
      <c r="C80" s="81"/>
      <c r="D80" s="132"/>
      <c r="E80" s="132"/>
      <c r="F80" s="165"/>
      <c r="G80" s="180"/>
      <c r="H80" s="165"/>
      <c r="I80" s="161"/>
    </row>
    <row r="81" spans="1:9" ht="15">
      <c r="A81" s="46" t="s">
        <v>14</v>
      </c>
      <c r="B81" s="46">
        <v>263</v>
      </c>
      <c r="C81" s="81"/>
      <c r="D81" s="132">
        <f>638+633+506+319+1025+397+1008+1075+488+2034+1910+904+1675+1248+531+66+1085+775+587+1489+1543+1213+968+359+174+70+1035+366+951+598+365+69+318+784</f>
        <v>27206</v>
      </c>
      <c r="E81" s="132">
        <v>3617</v>
      </c>
      <c r="F81" s="165">
        <f>33+67+62+35</f>
        <v>197</v>
      </c>
      <c r="G81" s="180">
        <f>394+179+598+197+491+1740+2194+3167+2177+2486+2619+3109+3240+2734+1713+8992+4692+4785+4210+4018+5162+2556+2616+2436+3011+1426+1349+1233+888+249+922+765+670+37+738+355+362+572+1783+1593+332+101+748+5711+244</f>
        <v>89594</v>
      </c>
      <c r="H81" s="165">
        <f>889</f>
        <v>889</v>
      </c>
      <c r="I81" s="161"/>
    </row>
    <row r="82" spans="1:9" ht="15">
      <c r="A82" s="51" t="s">
        <v>43</v>
      </c>
      <c r="B82" s="51">
        <v>40800</v>
      </c>
      <c r="C82" s="81"/>
      <c r="D82" s="132"/>
      <c r="E82" s="132"/>
      <c r="F82" s="165"/>
      <c r="G82" s="180"/>
      <c r="H82" s="165"/>
      <c r="I82" s="161"/>
    </row>
    <row r="83" spans="1:9" ht="15">
      <c r="A83" s="127" t="s">
        <v>89</v>
      </c>
      <c r="B83" s="105"/>
      <c r="C83" s="80"/>
      <c r="D83" s="132"/>
      <c r="E83" s="132">
        <v>50078</v>
      </c>
      <c r="F83" s="165"/>
      <c r="G83" s="180"/>
      <c r="H83" s="165"/>
      <c r="I83" s="161">
        <f>9300+39000+40093+11057</f>
        <v>99450</v>
      </c>
    </row>
    <row r="84" spans="1:10" ht="15">
      <c r="A84" s="52" t="s">
        <v>48</v>
      </c>
      <c r="B84" s="105"/>
      <c r="C84" s="80"/>
      <c r="D84" s="132"/>
      <c r="E84" s="132"/>
      <c r="F84" s="165"/>
      <c r="G84" s="180"/>
      <c r="H84" s="165"/>
      <c r="I84" s="161"/>
      <c r="J84" s="54"/>
    </row>
    <row r="85" spans="1:10" ht="15">
      <c r="A85" s="127" t="s">
        <v>238</v>
      </c>
      <c r="B85" s="105"/>
      <c r="C85" s="80"/>
      <c r="D85" s="132"/>
      <c r="E85" s="132"/>
      <c r="F85" s="165"/>
      <c r="G85" s="180"/>
      <c r="H85" s="165">
        <f>54570</f>
        <v>54570</v>
      </c>
      <c r="I85" s="161">
        <f>1200+53400+53520+780+36867+17733+7523+51287+47633+25012+28280+11056+85566+112887+63203+40701+54600</f>
        <v>691248</v>
      </c>
      <c r="J85" s="54"/>
    </row>
    <row r="86" spans="1:10" ht="15">
      <c r="A86" s="127" t="s">
        <v>125</v>
      </c>
      <c r="B86" s="105"/>
      <c r="C86" s="80"/>
      <c r="D86" s="132"/>
      <c r="E86" s="132"/>
      <c r="F86" s="165">
        <f>897</f>
        <v>897</v>
      </c>
      <c r="G86" s="180"/>
      <c r="H86" s="165"/>
      <c r="I86" s="161"/>
      <c r="J86" s="54"/>
    </row>
    <row r="87" spans="1:23" ht="15">
      <c r="A87" s="47" t="s">
        <v>5</v>
      </c>
      <c r="B87" s="106">
        <f>SUM(B51:B86)</f>
        <v>711250</v>
      </c>
      <c r="C87" s="129">
        <f>SUM(C51:C70)</f>
        <v>392095</v>
      </c>
      <c r="D87" s="138">
        <f aca="true" t="shared" si="1" ref="D87:I87">SUM(D51:D86)</f>
        <v>1123009</v>
      </c>
      <c r="E87" s="138">
        <f t="shared" si="1"/>
        <v>1403269</v>
      </c>
      <c r="F87" s="165">
        <f t="shared" si="1"/>
        <v>210799</v>
      </c>
      <c r="G87" s="180">
        <f t="shared" si="1"/>
        <v>289140</v>
      </c>
      <c r="H87" s="165">
        <f t="shared" si="1"/>
        <v>1476701</v>
      </c>
      <c r="I87" s="161">
        <f t="shared" si="1"/>
        <v>1455767</v>
      </c>
      <c r="J87" s="130">
        <f>'Weekliks-Weekly'!N60</f>
        <v>1455767</v>
      </c>
      <c r="S87" s="3"/>
      <c r="T87" s="3"/>
      <c r="U87" s="3"/>
      <c r="V87" s="3"/>
      <c r="W87" s="3"/>
    </row>
    <row r="88" spans="1:10" ht="12.75">
      <c r="A88" s="47" t="s">
        <v>8</v>
      </c>
      <c r="B88" s="106">
        <f aca="true" t="shared" si="2" ref="B88:G88">B47+B87</f>
        <v>2442493</v>
      </c>
      <c r="C88" s="129">
        <f t="shared" si="2"/>
        <v>1787248</v>
      </c>
      <c r="D88" s="138">
        <f t="shared" si="2"/>
        <v>2024236</v>
      </c>
      <c r="E88" s="138">
        <f t="shared" si="2"/>
        <v>1939283</v>
      </c>
      <c r="F88" s="138">
        <f t="shared" si="2"/>
        <v>667445</v>
      </c>
      <c r="G88" s="182">
        <f t="shared" si="2"/>
        <v>814219</v>
      </c>
      <c r="H88" s="138"/>
      <c r="I88" s="159"/>
      <c r="J88" s="61"/>
    </row>
    <row r="89" ht="12.75">
      <c r="J89" s="28"/>
    </row>
  </sheetData>
  <sheetProtection/>
  <mergeCells count="1">
    <mergeCell ref="K24:K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5">
      <c r="A1" s="152" t="s">
        <v>156</v>
      </c>
      <c r="B1" s="153"/>
      <c r="C1" s="153"/>
      <c r="D1" s="153"/>
      <c r="E1" s="153"/>
      <c r="F1" s="153"/>
    </row>
    <row r="2" spans="1:6" ht="15">
      <c r="A2" s="153"/>
      <c r="B2" s="153"/>
      <c r="C2" s="153"/>
      <c r="D2" s="153"/>
      <c r="E2" s="153"/>
      <c r="F2" s="153"/>
    </row>
    <row r="3" spans="1:6" ht="15">
      <c r="A3" s="154" t="s">
        <v>131</v>
      </c>
      <c r="B3" s="155">
        <f>'Weekliks-Weekly'!B60</f>
        <v>0</v>
      </c>
      <c r="C3" s="153"/>
      <c r="D3" s="153"/>
      <c r="E3" s="153"/>
      <c r="F3" s="153"/>
    </row>
    <row r="4" spans="1:6" ht="15">
      <c r="A4" s="154" t="s">
        <v>127</v>
      </c>
      <c r="B4" s="156">
        <f>B3</f>
        <v>0</v>
      </c>
      <c r="C4" s="153"/>
      <c r="D4" s="153"/>
      <c r="E4" s="153"/>
      <c r="F4" s="153"/>
    </row>
    <row r="5" spans="1:6" ht="15">
      <c r="A5" s="153"/>
      <c r="B5" s="153"/>
      <c r="C5" s="153"/>
      <c r="D5" s="153"/>
      <c r="E5" s="153"/>
      <c r="F5" s="153"/>
    </row>
    <row r="6" spans="1:8" ht="15.75">
      <c r="A6" s="211" t="s">
        <v>200</v>
      </c>
      <c r="B6" s="212"/>
      <c r="C6" s="212"/>
      <c r="D6" s="212"/>
      <c r="E6" s="212"/>
      <c r="F6" s="212"/>
      <c r="G6" s="212"/>
      <c r="H6" s="213"/>
    </row>
    <row r="7" spans="1:8" ht="15.75">
      <c r="A7" s="211" t="s">
        <v>128</v>
      </c>
      <c r="B7" s="212"/>
      <c r="C7" s="212"/>
      <c r="D7" s="212"/>
      <c r="E7" s="212"/>
      <c r="F7" s="212"/>
      <c r="G7" s="212"/>
      <c r="H7" s="213"/>
    </row>
    <row r="8" spans="1:8" ht="12.75">
      <c r="A8" s="214" t="s">
        <v>120</v>
      </c>
      <c r="B8" s="215"/>
      <c r="C8" s="215"/>
      <c r="D8" s="215"/>
      <c r="E8" s="215"/>
      <c r="F8" s="215"/>
      <c r="G8" s="215"/>
      <c r="H8" s="216"/>
    </row>
    <row r="9" spans="1:8" ht="12.75">
      <c r="A9" s="172"/>
      <c r="B9" s="172" t="s">
        <v>118</v>
      </c>
      <c r="C9" s="172" t="s">
        <v>122</v>
      </c>
      <c r="D9" s="172" t="s">
        <v>119</v>
      </c>
      <c r="E9" s="172" t="s">
        <v>149</v>
      </c>
      <c r="F9" s="172" t="s">
        <v>123</v>
      </c>
      <c r="G9" s="172" t="s">
        <v>224</v>
      </c>
      <c r="H9" s="172" t="s">
        <v>224</v>
      </c>
    </row>
    <row r="10" spans="1:8" ht="12.75">
      <c r="A10" s="170">
        <v>1</v>
      </c>
      <c r="B10" s="170" t="s">
        <v>129</v>
      </c>
      <c r="C10" s="173">
        <v>16689</v>
      </c>
      <c r="D10" s="173">
        <v>7161</v>
      </c>
      <c r="E10" s="173">
        <v>0</v>
      </c>
      <c r="F10" s="173">
        <v>2460</v>
      </c>
      <c r="G10" s="174">
        <f aca="true" t="shared" si="0" ref="G10:G61">SUM(C10:F10)</f>
        <v>26310</v>
      </c>
      <c r="H10" s="174">
        <f>G10</f>
        <v>26310</v>
      </c>
    </row>
    <row r="11" spans="1:8" ht="12.75">
      <c r="A11" s="170">
        <v>2</v>
      </c>
      <c r="B11" s="170" t="s">
        <v>136</v>
      </c>
      <c r="C11" s="173">
        <v>48801</v>
      </c>
      <c r="D11" s="173">
        <v>7109</v>
      </c>
      <c r="E11" s="173">
        <v>0</v>
      </c>
      <c r="F11" s="173">
        <v>0</v>
      </c>
      <c r="G11" s="174">
        <f t="shared" si="0"/>
        <v>55910</v>
      </c>
      <c r="H11" s="174">
        <f aca="true" t="shared" si="1" ref="H11:H61">G11+H10</f>
        <v>82220</v>
      </c>
    </row>
    <row r="12" spans="1:8" ht="12.75">
      <c r="A12" s="170">
        <v>3</v>
      </c>
      <c r="B12" s="170" t="s">
        <v>137</v>
      </c>
      <c r="C12" s="173">
        <v>28425</v>
      </c>
      <c r="D12" s="173">
        <v>0</v>
      </c>
      <c r="E12" s="173">
        <v>0</v>
      </c>
      <c r="F12" s="173">
        <v>0</v>
      </c>
      <c r="G12" s="174">
        <f t="shared" si="0"/>
        <v>28425</v>
      </c>
      <c r="H12" s="174">
        <f t="shared" si="1"/>
        <v>110645</v>
      </c>
    </row>
    <row r="13" spans="1:8" ht="12.75">
      <c r="A13" s="170">
        <v>4</v>
      </c>
      <c r="B13" s="170" t="s">
        <v>138</v>
      </c>
      <c r="C13" s="173">
        <v>3802</v>
      </c>
      <c r="D13" s="173">
        <v>32831</v>
      </c>
      <c r="E13" s="173">
        <v>0</v>
      </c>
      <c r="F13" s="173">
        <v>0</v>
      </c>
      <c r="G13" s="174">
        <f t="shared" si="0"/>
        <v>36633</v>
      </c>
      <c r="H13" s="174">
        <f t="shared" si="1"/>
        <v>147278</v>
      </c>
    </row>
    <row r="14" spans="1:8" ht="12.75">
      <c r="A14" s="170">
        <v>5</v>
      </c>
      <c r="B14" s="170" t="s">
        <v>139</v>
      </c>
      <c r="C14" s="173">
        <v>8237</v>
      </c>
      <c r="D14" s="173">
        <v>0</v>
      </c>
      <c r="E14" s="173">
        <v>0</v>
      </c>
      <c r="F14" s="173">
        <v>15184</v>
      </c>
      <c r="G14" s="174">
        <f t="shared" si="0"/>
        <v>23421</v>
      </c>
      <c r="H14" s="174">
        <f t="shared" si="1"/>
        <v>170699</v>
      </c>
    </row>
    <row r="15" spans="1:8" ht="12.75">
      <c r="A15" s="170">
        <v>6</v>
      </c>
      <c r="B15" s="170" t="s">
        <v>140</v>
      </c>
      <c r="C15" s="173">
        <v>24500</v>
      </c>
      <c r="D15" s="173">
        <v>25096</v>
      </c>
      <c r="E15" s="173">
        <v>0</v>
      </c>
      <c r="F15" s="173">
        <v>13698</v>
      </c>
      <c r="G15" s="174">
        <f t="shared" si="0"/>
        <v>63294</v>
      </c>
      <c r="H15" s="174">
        <f t="shared" si="1"/>
        <v>233993</v>
      </c>
    </row>
    <row r="16" spans="1:8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233993</v>
      </c>
    </row>
    <row r="17" spans="1:8" ht="12.75">
      <c r="A17" s="170">
        <v>8</v>
      </c>
      <c r="B17" s="170" t="s">
        <v>142</v>
      </c>
      <c r="C17" s="173">
        <v>23166</v>
      </c>
      <c r="D17" s="173">
        <v>0</v>
      </c>
      <c r="E17" s="173">
        <v>0</v>
      </c>
      <c r="F17" s="173">
        <v>0</v>
      </c>
      <c r="G17" s="174">
        <f t="shared" si="0"/>
        <v>23166</v>
      </c>
      <c r="H17" s="174">
        <f t="shared" si="1"/>
        <v>257159</v>
      </c>
    </row>
    <row r="18" spans="1:8" ht="12.75">
      <c r="A18" s="170">
        <v>9</v>
      </c>
      <c r="B18" s="170" t="s">
        <v>143</v>
      </c>
      <c r="C18" s="173">
        <v>0</v>
      </c>
      <c r="D18" s="173">
        <v>8153</v>
      </c>
      <c r="E18" s="173">
        <v>0</v>
      </c>
      <c r="F18" s="173">
        <v>6490</v>
      </c>
      <c r="G18" s="174">
        <f t="shared" si="0"/>
        <v>14643</v>
      </c>
      <c r="H18" s="174">
        <f t="shared" si="1"/>
        <v>271802</v>
      </c>
    </row>
    <row r="19" spans="1:8" ht="12.75">
      <c r="A19" s="170">
        <v>10</v>
      </c>
      <c r="B19" s="170" t="s">
        <v>144</v>
      </c>
      <c r="C19" s="173">
        <v>0</v>
      </c>
      <c r="D19" s="173">
        <v>3599</v>
      </c>
      <c r="E19" s="173">
        <v>0</v>
      </c>
      <c r="F19" s="173">
        <v>0</v>
      </c>
      <c r="G19" s="174">
        <f t="shared" si="0"/>
        <v>3599</v>
      </c>
      <c r="H19" s="174">
        <f t="shared" si="1"/>
        <v>275401</v>
      </c>
    </row>
    <row r="20" spans="1:8" ht="12.75">
      <c r="A20" s="170">
        <v>11</v>
      </c>
      <c r="B20" s="170" t="s">
        <v>145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275401</v>
      </c>
    </row>
    <row r="21" spans="1:8" ht="12.75">
      <c r="A21" s="170">
        <v>12</v>
      </c>
      <c r="B21" s="170" t="s">
        <v>147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275401</v>
      </c>
    </row>
    <row r="22" spans="1:8" ht="12.75">
      <c r="A22" s="170">
        <v>13</v>
      </c>
      <c r="B22" s="170" t="s">
        <v>150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275401</v>
      </c>
    </row>
    <row r="23" spans="1:8" ht="12.75">
      <c r="A23" s="170">
        <v>14</v>
      </c>
      <c r="B23" s="170" t="s">
        <v>154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275401</v>
      </c>
    </row>
    <row r="24" spans="1:8" ht="12.75">
      <c r="A24" s="170">
        <v>15</v>
      </c>
      <c r="B24" s="170" t="s">
        <v>155</v>
      </c>
      <c r="C24" s="173">
        <v>22821</v>
      </c>
      <c r="D24" s="173">
        <v>16985</v>
      </c>
      <c r="E24" s="173">
        <v>0</v>
      </c>
      <c r="F24" s="173">
        <v>0</v>
      </c>
      <c r="G24" s="174">
        <f t="shared" si="0"/>
        <v>39806</v>
      </c>
      <c r="H24" s="174">
        <f t="shared" si="1"/>
        <v>315207</v>
      </c>
    </row>
    <row r="25" spans="1:8" ht="12.75">
      <c r="A25" s="170">
        <v>16</v>
      </c>
      <c r="B25" s="170" t="s">
        <v>161</v>
      </c>
      <c r="C25" s="173">
        <v>18060</v>
      </c>
      <c r="D25" s="173">
        <v>14850</v>
      </c>
      <c r="E25" s="173">
        <v>0</v>
      </c>
      <c r="F25" s="173">
        <v>14821</v>
      </c>
      <c r="G25" s="174">
        <f t="shared" si="0"/>
        <v>47731</v>
      </c>
      <c r="H25" s="174">
        <f t="shared" si="1"/>
        <v>362938</v>
      </c>
    </row>
    <row r="26" spans="1:8" ht="12.75">
      <c r="A26" s="170">
        <v>17</v>
      </c>
      <c r="B26" s="170" t="s">
        <v>162</v>
      </c>
      <c r="C26" s="173">
        <v>60484</v>
      </c>
      <c r="D26" s="173">
        <v>34868</v>
      </c>
      <c r="E26" s="173">
        <v>0</v>
      </c>
      <c r="F26" s="173">
        <v>0</v>
      </c>
      <c r="G26" s="174">
        <f t="shared" si="0"/>
        <v>95352</v>
      </c>
      <c r="H26" s="174">
        <f t="shared" si="1"/>
        <v>458290</v>
      </c>
    </row>
    <row r="27" spans="1:8" ht="12.75">
      <c r="A27" s="170">
        <v>18</v>
      </c>
      <c r="B27" s="170" t="s">
        <v>163</v>
      </c>
      <c r="C27" s="173">
        <v>18892</v>
      </c>
      <c r="D27" s="173">
        <v>22736</v>
      </c>
      <c r="E27" s="173">
        <v>0</v>
      </c>
      <c r="F27" s="173">
        <v>15057</v>
      </c>
      <c r="G27" s="174">
        <f t="shared" si="0"/>
        <v>56685</v>
      </c>
      <c r="H27" s="174">
        <f t="shared" si="1"/>
        <v>514975</v>
      </c>
    </row>
    <row r="28" spans="1:8" ht="12.75">
      <c r="A28" s="170">
        <v>19</v>
      </c>
      <c r="B28" s="170" t="s">
        <v>174</v>
      </c>
      <c r="C28" s="173">
        <v>40656</v>
      </c>
      <c r="D28" s="173">
        <v>0</v>
      </c>
      <c r="E28" s="173">
        <v>0</v>
      </c>
      <c r="F28" s="173">
        <v>27402</v>
      </c>
      <c r="G28" s="174">
        <f t="shared" si="0"/>
        <v>68058</v>
      </c>
      <c r="H28" s="174">
        <f t="shared" si="1"/>
        <v>583033</v>
      </c>
    </row>
    <row r="29" spans="1:8" ht="12.75">
      <c r="A29" s="170">
        <v>20</v>
      </c>
      <c r="B29" s="170" t="s">
        <v>175</v>
      </c>
      <c r="C29" s="173">
        <v>13362</v>
      </c>
      <c r="D29" s="173">
        <v>46141</v>
      </c>
      <c r="E29" s="173">
        <v>0</v>
      </c>
      <c r="F29" s="173">
        <v>0</v>
      </c>
      <c r="G29" s="174">
        <f t="shared" si="0"/>
        <v>59503</v>
      </c>
      <c r="H29" s="174">
        <f t="shared" si="1"/>
        <v>642536</v>
      </c>
    </row>
    <row r="30" spans="1:8" ht="12.75">
      <c r="A30" s="170">
        <v>21</v>
      </c>
      <c r="B30" s="170" t="s">
        <v>176</v>
      </c>
      <c r="C30" s="173">
        <v>0</v>
      </c>
      <c r="D30" s="173">
        <v>60114</v>
      </c>
      <c r="E30" s="173">
        <v>0</v>
      </c>
      <c r="F30" s="173">
        <v>0</v>
      </c>
      <c r="G30" s="174">
        <f t="shared" si="0"/>
        <v>60114</v>
      </c>
      <c r="H30" s="174">
        <f t="shared" si="1"/>
        <v>702650</v>
      </c>
    </row>
    <row r="31" spans="1:8" ht="12.75">
      <c r="A31" s="170">
        <v>22</v>
      </c>
      <c r="B31" s="170" t="s">
        <v>177</v>
      </c>
      <c r="C31" s="173">
        <v>2706</v>
      </c>
      <c r="D31" s="173">
        <v>11845</v>
      </c>
      <c r="E31" s="173">
        <v>11031</v>
      </c>
      <c r="F31" s="173">
        <v>0</v>
      </c>
      <c r="G31" s="174">
        <f t="shared" si="0"/>
        <v>25582</v>
      </c>
      <c r="H31" s="174">
        <f t="shared" si="1"/>
        <v>728232</v>
      </c>
    </row>
    <row r="32" spans="1:8" ht="12.75">
      <c r="A32" s="170">
        <v>23</v>
      </c>
      <c r="B32" s="170" t="s">
        <v>178</v>
      </c>
      <c r="C32" s="173">
        <v>20852</v>
      </c>
      <c r="D32" s="173">
        <v>0</v>
      </c>
      <c r="E32" s="173">
        <v>0</v>
      </c>
      <c r="F32" s="173">
        <v>2260</v>
      </c>
      <c r="G32" s="174">
        <f t="shared" si="0"/>
        <v>23112</v>
      </c>
      <c r="H32" s="174">
        <f t="shared" si="1"/>
        <v>751344</v>
      </c>
    </row>
    <row r="33" spans="1:8" ht="12.75">
      <c r="A33" s="170">
        <v>24</v>
      </c>
      <c r="B33" s="170" t="s">
        <v>179</v>
      </c>
      <c r="C33" s="173">
        <v>30974</v>
      </c>
      <c r="D33" s="173">
        <v>10657</v>
      </c>
      <c r="E33" s="173">
        <v>0</v>
      </c>
      <c r="F33" s="173">
        <v>1505</v>
      </c>
      <c r="G33" s="174">
        <f t="shared" si="0"/>
        <v>43136</v>
      </c>
      <c r="H33" s="174">
        <f t="shared" si="1"/>
        <v>794480</v>
      </c>
    </row>
    <row r="34" spans="1:8" ht="12.75">
      <c r="A34" s="170">
        <v>25</v>
      </c>
      <c r="B34" s="170" t="s">
        <v>180</v>
      </c>
      <c r="C34" s="173">
        <v>13435</v>
      </c>
      <c r="D34" s="173">
        <v>43304</v>
      </c>
      <c r="E34" s="173">
        <v>0</v>
      </c>
      <c r="F34" s="173">
        <v>0</v>
      </c>
      <c r="G34" s="174">
        <f t="shared" si="0"/>
        <v>56739</v>
      </c>
      <c r="H34" s="174">
        <f t="shared" si="1"/>
        <v>851219</v>
      </c>
    </row>
    <row r="35" spans="1:8" ht="12.75">
      <c r="A35" s="170">
        <v>26</v>
      </c>
      <c r="B35" s="170" t="s">
        <v>182</v>
      </c>
      <c r="C35" s="173">
        <v>18381</v>
      </c>
      <c r="D35" s="173">
        <v>27913</v>
      </c>
      <c r="E35" s="173">
        <v>0</v>
      </c>
      <c r="F35" s="173">
        <v>29300</v>
      </c>
      <c r="G35" s="174">
        <f t="shared" si="0"/>
        <v>75594</v>
      </c>
      <c r="H35" s="174">
        <f t="shared" si="1"/>
        <v>926813</v>
      </c>
    </row>
    <row r="36" spans="1:8" ht="12.75">
      <c r="A36" s="170">
        <v>27</v>
      </c>
      <c r="B36" s="170" t="s">
        <v>183</v>
      </c>
      <c r="C36" s="173">
        <v>0</v>
      </c>
      <c r="D36" s="173">
        <v>12570</v>
      </c>
      <c r="E36" s="173">
        <v>0</v>
      </c>
      <c r="F36" s="173">
        <v>0</v>
      </c>
      <c r="G36" s="174">
        <f t="shared" si="0"/>
        <v>12570</v>
      </c>
      <c r="H36" s="174">
        <f t="shared" si="1"/>
        <v>939383</v>
      </c>
    </row>
    <row r="37" spans="1:8" ht="12.75">
      <c r="A37" s="170">
        <v>28</v>
      </c>
      <c r="B37" s="170" t="s">
        <v>184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939383</v>
      </c>
    </row>
    <row r="38" spans="1:8" ht="12.75">
      <c r="A38" s="170">
        <v>29</v>
      </c>
      <c r="B38" s="170" t="s">
        <v>185</v>
      </c>
      <c r="C38" s="173">
        <v>15222</v>
      </c>
      <c r="D38" s="173">
        <v>11597</v>
      </c>
      <c r="E38" s="173">
        <v>0</v>
      </c>
      <c r="F38" s="173">
        <v>0</v>
      </c>
      <c r="G38" s="174">
        <f t="shared" si="0"/>
        <v>26819</v>
      </c>
      <c r="H38" s="174">
        <f t="shared" si="1"/>
        <v>966202</v>
      </c>
    </row>
    <row r="39" spans="1:8" ht="12.75">
      <c r="A39" s="170">
        <v>30</v>
      </c>
      <c r="B39" s="170" t="s">
        <v>187</v>
      </c>
      <c r="C39" s="173">
        <v>22149</v>
      </c>
      <c r="D39" s="173">
        <v>0</v>
      </c>
      <c r="E39" s="173">
        <v>0</v>
      </c>
      <c r="F39" s="173">
        <v>0</v>
      </c>
      <c r="G39" s="174">
        <f t="shared" si="0"/>
        <v>22149</v>
      </c>
      <c r="H39" s="174">
        <f t="shared" si="1"/>
        <v>988351</v>
      </c>
    </row>
    <row r="40" spans="1:8" ht="12.75">
      <c r="A40" s="170">
        <v>31</v>
      </c>
      <c r="B40" s="170" t="s">
        <v>189</v>
      </c>
      <c r="C40" s="173">
        <v>32938</v>
      </c>
      <c r="D40" s="173">
        <v>18638</v>
      </c>
      <c r="E40" s="173">
        <v>0</v>
      </c>
      <c r="F40" s="173">
        <v>0</v>
      </c>
      <c r="G40" s="174">
        <f t="shared" si="0"/>
        <v>51576</v>
      </c>
      <c r="H40" s="174">
        <f t="shared" si="1"/>
        <v>1039927</v>
      </c>
    </row>
    <row r="41" spans="1:8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1039927</v>
      </c>
    </row>
    <row r="42" spans="1:8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1039927</v>
      </c>
    </row>
    <row r="43" spans="1:8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1039927</v>
      </c>
    </row>
    <row r="44" spans="1:8" ht="12.75">
      <c r="A44" s="170">
        <v>35</v>
      </c>
      <c r="B44" s="170" t="s">
        <v>193</v>
      </c>
      <c r="C44" s="173">
        <v>42072</v>
      </c>
      <c r="D44" s="173">
        <v>32352</v>
      </c>
      <c r="E44" s="173">
        <v>0</v>
      </c>
      <c r="F44" s="173">
        <v>8552</v>
      </c>
      <c r="G44" s="174">
        <f t="shared" si="0"/>
        <v>82976</v>
      </c>
      <c r="H44" s="174">
        <f t="shared" si="1"/>
        <v>1122903</v>
      </c>
    </row>
    <row r="45" spans="1:8" ht="12.75">
      <c r="A45" s="170">
        <v>36</v>
      </c>
      <c r="B45" s="170" t="s">
        <v>195</v>
      </c>
      <c r="C45" s="173">
        <v>0</v>
      </c>
      <c r="D45" s="173">
        <v>0</v>
      </c>
      <c r="E45" s="173">
        <v>0</v>
      </c>
      <c r="F45" s="173">
        <v>28901</v>
      </c>
      <c r="G45" s="174">
        <f t="shared" si="0"/>
        <v>28901</v>
      </c>
      <c r="H45" s="174">
        <f t="shared" si="1"/>
        <v>1151804</v>
      </c>
    </row>
    <row r="46" spans="1:8" ht="12.75">
      <c r="A46" s="170">
        <v>37</v>
      </c>
      <c r="B46" s="170" t="s">
        <v>196</v>
      </c>
      <c r="C46" s="173">
        <v>0</v>
      </c>
      <c r="D46" s="173">
        <v>0</v>
      </c>
      <c r="E46" s="173">
        <v>0</v>
      </c>
      <c r="F46" s="173">
        <v>2759</v>
      </c>
      <c r="G46" s="174">
        <f t="shared" si="0"/>
        <v>2759</v>
      </c>
      <c r="H46" s="174">
        <f t="shared" si="1"/>
        <v>1154563</v>
      </c>
    </row>
    <row r="47" spans="1:8" ht="12.75">
      <c r="A47" s="170">
        <v>38</v>
      </c>
      <c r="B47" s="170" t="s">
        <v>197</v>
      </c>
      <c r="C47" s="173">
        <v>21858</v>
      </c>
      <c r="D47" s="173">
        <v>0</v>
      </c>
      <c r="E47" s="173">
        <v>0</v>
      </c>
      <c r="F47" s="173">
        <v>0</v>
      </c>
      <c r="G47" s="174">
        <f t="shared" si="0"/>
        <v>21858</v>
      </c>
      <c r="H47" s="174">
        <f t="shared" si="1"/>
        <v>1176421</v>
      </c>
    </row>
    <row r="48" spans="1:8" ht="12.75">
      <c r="A48" s="170">
        <v>39</v>
      </c>
      <c r="B48" s="170" t="s">
        <v>199</v>
      </c>
      <c r="C48" s="173">
        <v>11131</v>
      </c>
      <c r="D48" s="173">
        <v>19319</v>
      </c>
      <c r="E48" s="173">
        <v>0</v>
      </c>
      <c r="F48" s="173">
        <v>0</v>
      </c>
      <c r="G48" s="174">
        <f t="shared" si="0"/>
        <v>30450</v>
      </c>
      <c r="H48" s="174">
        <f t="shared" si="1"/>
        <v>1206871</v>
      </c>
    </row>
    <row r="49" spans="1:8" ht="12.75">
      <c r="A49" s="170">
        <v>40</v>
      </c>
      <c r="B49" s="170" t="s">
        <v>202</v>
      </c>
      <c r="C49" s="173">
        <v>33351</v>
      </c>
      <c r="D49" s="173">
        <v>35395</v>
      </c>
      <c r="E49" s="173">
        <v>0</v>
      </c>
      <c r="F49" s="173">
        <v>0</v>
      </c>
      <c r="G49" s="174">
        <f t="shared" si="0"/>
        <v>68746</v>
      </c>
      <c r="H49" s="174">
        <f t="shared" si="1"/>
        <v>1275617</v>
      </c>
    </row>
    <row r="50" spans="1:8" ht="12.75">
      <c r="A50" s="170">
        <v>41</v>
      </c>
      <c r="B50" s="170" t="s">
        <v>205</v>
      </c>
      <c r="C50" s="173">
        <v>0</v>
      </c>
      <c r="D50" s="173">
        <v>11335</v>
      </c>
      <c r="E50" s="173">
        <v>0</v>
      </c>
      <c r="F50" s="173">
        <v>0</v>
      </c>
      <c r="G50" s="174">
        <f t="shared" si="0"/>
        <v>11335</v>
      </c>
      <c r="H50" s="174">
        <f t="shared" si="1"/>
        <v>1286952</v>
      </c>
    </row>
    <row r="51" spans="1:8" ht="12.75">
      <c r="A51" s="170">
        <v>42</v>
      </c>
      <c r="B51" s="170" t="s">
        <v>206</v>
      </c>
      <c r="C51" s="173">
        <v>10904</v>
      </c>
      <c r="D51" s="173">
        <v>1289</v>
      </c>
      <c r="E51" s="173">
        <v>0</v>
      </c>
      <c r="F51" s="173">
        <v>0</v>
      </c>
      <c r="G51" s="174">
        <f t="shared" si="0"/>
        <v>12193</v>
      </c>
      <c r="H51" s="174">
        <f t="shared" si="1"/>
        <v>1299145</v>
      </c>
    </row>
    <row r="52" spans="1:8" ht="12.75">
      <c r="A52" s="170">
        <v>43</v>
      </c>
      <c r="B52" s="170" t="s">
        <v>208</v>
      </c>
      <c r="C52" s="173">
        <v>4004</v>
      </c>
      <c r="D52" s="173">
        <v>0</v>
      </c>
      <c r="E52" s="173">
        <v>0</v>
      </c>
      <c r="F52" s="173">
        <v>13619</v>
      </c>
      <c r="G52" s="174">
        <f t="shared" si="0"/>
        <v>17623</v>
      </c>
      <c r="H52" s="174">
        <f t="shared" si="1"/>
        <v>1316768</v>
      </c>
    </row>
    <row r="53" spans="1:8" ht="12.75">
      <c r="A53" s="170">
        <v>44</v>
      </c>
      <c r="B53" s="170" t="s">
        <v>210</v>
      </c>
      <c r="C53" s="173">
        <v>18143</v>
      </c>
      <c r="D53" s="173">
        <v>35337</v>
      </c>
      <c r="E53" s="173">
        <v>0</v>
      </c>
      <c r="F53" s="173">
        <v>18398</v>
      </c>
      <c r="G53" s="174">
        <f t="shared" si="0"/>
        <v>71878</v>
      </c>
      <c r="H53" s="174">
        <f t="shared" si="1"/>
        <v>1388646</v>
      </c>
    </row>
    <row r="54" spans="1:8" ht="12.75">
      <c r="A54" s="170">
        <v>45</v>
      </c>
      <c r="B54" s="170" t="s">
        <v>211</v>
      </c>
      <c r="C54" s="173">
        <v>67828</v>
      </c>
      <c r="D54" s="173">
        <v>49449</v>
      </c>
      <c r="E54" s="173">
        <v>0</v>
      </c>
      <c r="F54" s="173">
        <v>0</v>
      </c>
      <c r="G54" s="174">
        <f t="shared" si="0"/>
        <v>117277</v>
      </c>
      <c r="H54" s="174">
        <f t="shared" si="1"/>
        <v>1505923</v>
      </c>
    </row>
    <row r="55" spans="1:8" ht="12.75">
      <c r="A55" s="170">
        <v>46</v>
      </c>
      <c r="B55" s="170" t="s">
        <v>212</v>
      </c>
      <c r="C55" s="173">
        <v>30877</v>
      </c>
      <c r="D55" s="173">
        <v>37467</v>
      </c>
      <c r="E55" s="173">
        <v>0</v>
      </c>
      <c r="F55" s="173">
        <v>0</v>
      </c>
      <c r="G55" s="174">
        <f t="shared" si="0"/>
        <v>68344</v>
      </c>
      <c r="H55" s="174">
        <f t="shared" si="1"/>
        <v>1574267</v>
      </c>
    </row>
    <row r="56" spans="1:8" ht="12.75">
      <c r="A56" s="170">
        <v>47</v>
      </c>
      <c r="B56" s="170" t="s">
        <v>213</v>
      </c>
      <c r="C56" s="173">
        <v>1430</v>
      </c>
      <c r="D56" s="173">
        <v>0</v>
      </c>
      <c r="E56" s="173">
        <v>0</v>
      </c>
      <c r="F56" s="173">
        <v>0</v>
      </c>
      <c r="G56" s="174">
        <f t="shared" si="0"/>
        <v>1430</v>
      </c>
      <c r="H56" s="174">
        <f t="shared" si="1"/>
        <v>1575697</v>
      </c>
    </row>
    <row r="57" spans="1:8" ht="12.75">
      <c r="A57" s="170">
        <v>48</v>
      </c>
      <c r="B57" s="170" t="s">
        <v>215</v>
      </c>
      <c r="C57" s="173">
        <v>0</v>
      </c>
      <c r="D57" s="173">
        <v>0</v>
      </c>
      <c r="E57" s="173">
        <v>0</v>
      </c>
      <c r="F57" s="173">
        <v>28507</v>
      </c>
      <c r="G57" s="174">
        <f t="shared" si="0"/>
        <v>28507</v>
      </c>
      <c r="H57" s="174">
        <f t="shared" si="1"/>
        <v>1604204</v>
      </c>
    </row>
    <row r="58" spans="1:8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1604204</v>
      </c>
    </row>
    <row r="59" spans="1:8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1604204</v>
      </c>
    </row>
    <row r="60" spans="1:8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1604204</v>
      </c>
    </row>
    <row r="61" spans="1:8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1604204</v>
      </c>
    </row>
    <row r="62" spans="1:8" ht="12.75">
      <c r="A62" s="170" t="s">
        <v>120</v>
      </c>
      <c r="B62" s="170" t="s">
        <v>121</v>
      </c>
      <c r="C62" s="174">
        <f>SUM(C10:C61)</f>
        <v>726150</v>
      </c>
      <c r="D62" s="174">
        <f>SUM(D10:D61)</f>
        <v>638110</v>
      </c>
      <c r="E62" s="174">
        <f>SUM(E10:E61)</f>
        <v>11031</v>
      </c>
      <c r="F62" s="174">
        <f>SUM(F10:F61)</f>
        <v>228913</v>
      </c>
      <c r="G62" s="174">
        <f>SUM(G10:G61)</f>
        <v>1604204</v>
      </c>
      <c r="H62" s="174"/>
    </row>
    <row r="63" spans="1:8" ht="12.75">
      <c r="A63" s="171"/>
      <c r="B63" s="171"/>
      <c r="C63" s="171"/>
      <c r="D63" s="171"/>
      <c r="E63" s="171"/>
      <c r="F63" s="171"/>
      <c r="G63" s="171"/>
      <c r="H63" s="171"/>
    </row>
    <row r="64" spans="1:8" ht="15">
      <c r="A64" s="168" t="s">
        <v>225</v>
      </c>
      <c r="B64" s="168"/>
      <c r="D64" s="171"/>
      <c r="E64" s="171"/>
      <c r="F64" s="171"/>
      <c r="G64" s="171"/>
      <c r="H64" s="171"/>
    </row>
    <row r="65" spans="1:8" ht="15">
      <c r="A65" s="168" t="s">
        <v>226</v>
      </c>
      <c r="B65" s="168"/>
      <c r="D65" s="171"/>
      <c r="E65" s="171"/>
      <c r="F65" s="171"/>
      <c r="G65" s="171"/>
      <c r="H65" s="17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4"/>
  <sheetViews>
    <sheetView zoomScale="96" zoomScaleNormal="96" zoomScalePageLayoutView="0" workbookViewId="0" topLeftCell="A1">
      <pane xSplit="2" ySplit="7" topLeftCell="E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4" sqref="J64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230</v>
      </c>
      <c r="D1" s="65"/>
      <c r="E1" s="65"/>
    </row>
    <row r="2" spans="3:15" s="3" customFormat="1" ht="15">
      <c r="C2" s="98" t="s">
        <v>231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1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5">
      <c r="A8" s="3">
        <v>1</v>
      </c>
      <c r="B8" s="146">
        <v>42860</v>
      </c>
      <c r="C8" s="147">
        <v>0</v>
      </c>
      <c r="D8" s="147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5">
      <c r="A9" s="3">
        <f>A8+1</f>
        <v>2</v>
      </c>
      <c r="B9" s="146">
        <v>42867</v>
      </c>
      <c r="C9" s="147">
        <v>0</v>
      </c>
      <c r="D9" s="147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5">
      <c r="A10" s="3">
        <f aca="true" t="shared" si="4" ref="A10:A59">A9+1</f>
        <v>3</v>
      </c>
      <c r="B10" s="146">
        <v>42874</v>
      </c>
      <c r="C10" s="147">
        <v>0</v>
      </c>
      <c r="D10" s="147">
        <v>0</v>
      </c>
      <c r="E10" s="77">
        <f aca="true" t="shared" si="5" ref="E10:F25">E9+C10</f>
        <v>0</v>
      </c>
      <c r="F10" s="77">
        <f t="shared" si="5"/>
        <v>0</v>
      </c>
      <c r="G10" s="122">
        <v>7276</v>
      </c>
      <c r="H10" s="122">
        <v>2678</v>
      </c>
      <c r="I10" s="25">
        <f aca="true" t="shared" si="6" ref="I10:J25">I9+G10</f>
        <v>27410</v>
      </c>
      <c r="J10" s="25">
        <f t="shared" si="6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5">
      <c r="A11" s="3">
        <f t="shared" si="4"/>
        <v>4</v>
      </c>
      <c r="B11" s="146">
        <v>42881</v>
      </c>
      <c r="C11" s="147">
        <v>0</v>
      </c>
      <c r="D11" s="147">
        <v>0</v>
      </c>
      <c r="E11" s="77">
        <f t="shared" si="5"/>
        <v>0</v>
      </c>
      <c r="F11" s="77">
        <f t="shared" si="5"/>
        <v>0</v>
      </c>
      <c r="G11" s="122">
        <v>10636</v>
      </c>
      <c r="H11" s="122">
        <v>3259</v>
      </c>
      <c r="I11" s="25">
        <f t="shared" si="6"/>
        <v>38046</v>
      </c>
      <c r="J11" s="25">
        <f t="shared" si="6"/>
        <v>10823</v>
      </c>
      <c r="K11" s="25">
        <f t="shared" si="0"/>
        <v>0</v>
      </c>
      <c r="L11" s="25">
        <f t="shared" si="3"/>
        <v>13895</v>
      </c>
      <c r="M11" s="25">
        <f t="shared" si="1"/>
        <v>0</v>
      </c>
      <c r="N11" s="25">
        <f t="shared" si="2"/>
        <v>48869</v>
      </c>
    </row>
    <row r="12" spans="1:14" ht="15">
      <c r="A12" s="3">
        <f t="shared" si="4"/>
        <v>5</v>
      </c>
      <c r="B12" s="146">
        <v>42888</v>
      </c>
      <c r="C12" s="147">
        <v>0</v>
      </c>
      <c r="D12" s="147">
        <v>0</v>
      </c>
      <c r="E12" s="77">
        <f t="shared" si="5"/>
        <v>0</v>
      </c>
      <c r="F12" s="77">
        <f t="shared" si="5"/>
        <v>0</v>
      </c>
      <c r="G12" s="122">
        <v>8722</v>
      </c>
      <c r="H12" s="122">
        <v>22088</v>
      </c>
      <c r="I12" s="25">
        <f t="shared" si="6"/>
        <v>46768</v>
      </c>
      <c r="J12" s="25">
        <f t="shared" si="6"/>
        <v>32911</v>
      </c>
      <c r="K12" s="25">
        <f t="shared" si="0"/>
        <v>0</v>
      </c>
      <c r="L12" s="25">
        <f t="shared" si="3"/>
        <v>30810</v>
      </c>
      <c r="M12" s="25">
        <f t="shared" si="1"/>
        <v>0</v>
      </c>
      <c r="N12" s="25">
        <f t="shared" si="2"/>
        <v>79679</v>
      </c>
    </row>
    <row r="13" spans="1:14" ht="15">
      <c r="A13" s="3">
        <f t="shared" si="4"/>
        <v>6</v>
      </c>
      <c r="B13" s="146">
        <v>42895</v>
      </c>
      <c r="C13" s="147">
        <v>0</v>
      </c>
      <c r="D13" s="147">
        <v>0</v>
      </c>
      <c r="E13" s="77">
        <f t="shared" si="5"/>
        <v>0</v>
      </c>
      <c r="F13" s="77">
        <f t="shared" si="5"/>
        <v>0</v>
      </c>
      <c r="G13" s="122">
        <v>5673</v>
      </c>
      <c r="H13" s="122">
        <v>67875</v>
      </c>
      <c r="I13" s="25">
        <f t="shared" si="6"/>
        <v>52441</v>
      </c>
      <c r="J13" s="25">
        <f t="shared" si="6"/>
        <v>100786</v>
      </c>
      <c r="K13" s="25">
        <f t="shared" si="0"/>
        <v>0</v>
      </c>
      <c r="L13" s="25">
        <f t="shared" si="3"/>
        <v>73548</v>
      </c>
      <c r="M13" s="25">
        <f t="shared" si="1"/>
        <v>0</v>
      </c>
      <c r="N13" s="25">
        <f t="shared" si="2"/>
        <v>153227</v>
      </c>
    </row>
    <row r="14" spans="1:14" ht="15">
      <c r="A14" s="3">
        <f t="shared" si="4"/>
        <v>7</v>
      </c>
      <c r="B14" s="146">
        <v>42902</v>
      </c>
      <c r="C14" s="147">
        <v>0</v>
      </c>
      <c r="D14" s="147">
        <v>0</v>
      </c>
      <c r="E14" s="77">
        <f t="shared" si="5"/>
        <v>0</v>
      </c>
      <c r="F14" s="77">
        <f t="shared" si="5"/>
        <v>0</v>
      </c>
      <c r="G14" s="122">
        <v>35279</v>
      </c>
      <c r="H14" s="122">
        <v>28659</v>
      </c>
      <c r="I14" s="25">
        <f t="shared" si="6"/>
        <v>87720</v>
      </c>
      <c r="J14" s="25">
        <f t="shared" si="6"/>
        <v>129445</v>
      </c>
      <c r="K14" s="25">
        <f t="shared" si="0"/>
        <v>0</v>
      </c>
      <c r="L14" s="25">
        <f t="shared" si="3"/>
        <v>63938</v>
      </c>
      <c r="M14" s="25">
        <f t="shared" si="1"/>
        <v>0</v>
      </c>
      <c r="N14" s="25">
        <f t="shared" si="2"/>
        <v>217165</v>
      </c>
    </row>
    <row r="15" spans="1:14" ht="15">
      <c r="A15" s="3">
        <f t="shared" si="4"/>
        <v>8</v>
      </c>
      <c r="B15" s="146">
        <v>42909</v>
      </c>
      <c r="C15" s="147">
        <v>0</v>
      </c>
      <c r="D15" s="147">
        <v>0</v>
      </c>
      <c r="E15" s="77">
        <f t="shared" si="5"/>
        <v>0</v>
      </c>
      <c r="F15" s="77">
        <f t="shared" si="5"/>
        <v>0</v>
      </c>
      <c r="G15" s="122">
        <v>44492</v>
      </c>
      <c r="H15" s="122">
        <v>42845</v>
      </c>
      <c r="I15" s="25">
        <f t="shared" si="6"/>
        <v>132212</v>
      </c>
      <c r="J15" s="25">
        <f t="shared" si="6"/>
        <v>172290</v>
      </c>
      <c r="K15" s="25">
        <f t="shared" si="0"/>
        <v>0</v>
      </c>
      <c r="L15" s="25">
        <f t="shared" si="3"/>
        <v>87337</v>
      </c>
      <c r="M15" s="25">
        <f t="shared" si="1"/>
        <v>0</v>
      </c>
      <c r="N15" s="25">
        <f t="shared" si="2"/>
        <v>304502</v>
      </c>
    </row>
    <row r="16" spans="1:14" ht="15">
      <c r="A16" s="3">
        <f t="shared" si="4"/>
        <v>9</v>
      </c>
      <c r="B16" s="146">
        <v>42916</v>
      </c>
      <c r="C16" s="147">
        <v>0</v>
      </c>
      <c r="D16" s="147">
        <v>0</v>
      </c>
      <c r="E16" s="77">
        <f t="shared" si="5"/>
        <v>0</v>
      </c>
      <c r="F16" s="77">
        <f t="shared" si="5"/>
        <v>0</v>
      </c>
      <c r="G16" s="122">
        <v>52456</v>
      </c>
      <c r="H16" s="122">
        <v>69459</v>
      </c>
      <c r="I16" s="25">
        <f t="shared" si="6"/>
        <v>184668</v>
      </c>
      <c r="J16" s="25">
        <f t="shared" si="6"/>
        <v>241749</v>
      </c>
      <c r="K16" s="25">
        <f t="shared" si="0"/>
        <v>0</v>
      </c>
      <c r="L16" s="25">
        <f t="shared" si="3"/>
        <v>121915</v>
      </c>
      <c r="M16" s="25">
        <f t="shared" si="1"/>
        <v>0</v>
      </c>
      <c r="N16" s="25">
        <f t="shared" si="2"/>
        <v>426417</v>
      </c>
    </row>
    <row r="17" spans="1:14" ht="15">
      <c r="A17" s="3">
        <f t="shared" si="4"/>
        <v>10</v>
      </c>
      <c r="B17" s="146">
        <v>42923</v>
      </c>
      <c r="C17" s="147">
        <v>0</v>
      </c>
      <c r="D17" s="147">
        <v>0</v>
      </c>
      <c r="E17" s="77">
        <f t="shared" si="5"/>
        <v>0</v>
      </c>
      <c r="F17" s="77">
        <f t="shared" si="5"/>
        <v>0</v>
      </c>
      <c r="G17" s="122">
        <v>8587</v>
      </c>
      <c r="H17" s="122">
        <v>23603</v>
      </c>
      <c r="I17" s="25">
        <f t="shared" si="6"/>
        <v>193255</v>
      </c>
      <c r="J17" s="25">
        <f t="shared" si="6"/>
        <v>265352</v>
      </c>
      <c r="K17" s="25">
        <f>C17+D17</f>
        <v>0</v>
      </c>
      <c r="L17" s="25">
        <f t="shared" si="3"/>
        <v>32190</v>
      </c>
      <c r="M17" s="25">
        <f t="shared" si="1"/>
        <v>0</v>
      </c>
      <c r="N17" s="25">
        <f t="shared" si="2"/>
        <v>458607</v>
      </c>
    </row>
    <row r="18" spans="1:14" ht="15">
      <c r="A18" s="3">
        <f t="shared" si="4"/>
        <v>11</v>
      </c>
      <c r="B18" s="146">
        <v>42930</v>
      </c>
      <c r="C18" s="147">
        <v>0</v>
      </c>
      <c r="D18" s="147">
        <v>0</v>
      </c>
      <c r="E18" s="77">
        <f t="shared" si="5"/>
        <v>0</v>
      </c>
      <c r="F18" s="77">
        <f t="shared" si="5"/>
        <v>0</v>
      </c>
      <c r="G18" s="122">
        <v>9724</v>
      </c>
      <c r="H18" s="122">
        <v>72835</v>
      </c>
      <c r="I18" s="25">
        <f t="shared" si="6"/>
        <v>202979</v>
      </c>
      <c r="J18" s="25">
        <f t="shared" si="6"/>
        <v>338187</v>
      </c>
      <c r="K18" s="25">
        <f t="shared" si="0"/>
        <v>0</v>
      </c>
      <c r="L18" s="25">
        <f t="shared" si="3"/>
        <v>82559</v>
      </c>
      <c r="M18" s="25">
        <f t="shared" si="1"/>
        <v>0</v>
      </c>
      <c r="N18" s="25">
        <f t="shared" si="2"/>
        <v>541166</v>
      </c>
    </row>
    <row r="19" spans="1:14" ht="15">
      <c r="A19" s="3">
        <f t="shared" si="4"/>
        <v>12</v>
      </c>
      <c r="B19" s="146">
        <v>42937</v>
      </c>
      <c r="C19" s="147">
        <v>0</v>
      </c>
      <c r="D19" s="147">
        <v>0</v>
      </c>
      <c r="E19" s="77">
        <f t="shared" si="5"/>
        <v>0</v>
      </c>
      <c r="F19" s="77">
        <f t="shared" si="5"/>
        <v>0</v>
      </c>
      <c r="G19" s="122">
        <v>80703</v>
      </c>
      <c r="H19" s="122">
        <v>71695</v>
      </c>
      <c r="I19" s="25">
        <f t="shared" si="6"/>
        <v>283682</v>
      </c>
      <c r="J19" s="25">
        <f t="shared" si="6"/>
        <v>409882</v>
      </c>
      <c r="K19" s="25">
        <f t="shared" si="0"/>
        <v>0</v>
      </c>
      <c r="L19" s="25">
        <f t="shared" si="3"/>
        <v>152398</v>
      </c>
      <c r="M19" s="25">
        <f t="shared" si="1"/>
        <v>0</v>
      </c>
      <c r="N19" s="25">
        <f t="shared" si="2"/>
        <v>693564</v>
      </c>
    </row>
    <row r="20" spans="1:14" ht="15">
      <c r="A20" s="3">
        <f t="shared" si="4"/>
        <v>13</v>
      </c>
      <c r="B20" s="146">
        <v>42944</v>
      </c>
      <c r="C20" s="147">
        <v>0</v>
      </c>
      <c r="D20" s="147">
        <v>0</v>
      </c>
      <c r="E20" s="77">
        <f t="shared" si="5"/>
        <v>0</v>
      </c>
      <c r="F20" s="77">
        <f t="shared" si="5"/>
        <v>0</v>
      </c>
      <c r="G20" s="122">
        <v>35546</v>
      </c>
      <c r="H20" s="122">
        <v>78525</v>
      </c>
      <c r="I20" s="25">
        <f t="shared" si="6"/>
        <v>319228</v>
      </c>
      <c r="J20" s="25">
        <f t="shared" si="6"/>
        <v>488407</v>
      </c>
      <c r="K20" s="25">
        <f t="shared" si="0"/>
        <v>0</v>
      </c>
      <c r="L20" s="25">
        <f t="shared" si="3"/>
        <v>114071</v>
      </c>
      <c r="M20" s="25">
        <f t="shared" si="1"/>
        <v>0</v>
      </c>
      <c r="N20" s="25">
        <f t="shared" si="2"/>
        <v>807635</v>
      </c>
    </row>
    <row r="21" spans="1:14" ht="15">
      <c r="A21" s="3">
        <f t="shared" si="4"/>
        <v>14</v>
      </c>
      <c r="B21" s="146">
        <v>42951</v>
      </c>
      <c r="C21" s="147">
        <v>0</v>
      </c>
      <c r="D21" s="147">
        <v>0</v>
      </c>
      <c r="E21" s="77">
        <f t="shared" si="5"/>
        <v>0</v>
      </c>
      <c r="F21" s="77">
        <f t="shared" si="5"/>
        <v>0</v>
      </c>
      <c r="G21" s="122">
        <v>6760</v>
      </c>
      <c r="H21" s="122">
        <v>56962</v>
      </c>
      <c r="I21" s="25">
        <f t="shared" si="6"/>
        <v>325988</v>
      </c>
      <c r="J21" s="25">
        <f t="shared" si="6"/>
        <v>545369</v>
      </c>
      <c r="K21" s="25">
        <f t="shared" si="0"/>
        <v>0</v>
      </c>
      <c r="L21" s="25">
        <f t="shared" si="3"/>
        <v>63722</v>
      </c>
      <c r="M21" s="25">
        <f t="shared" si="1"/>
        <v>0</v>
      </c>
      <c r="N21" s="25">
        <f t="shared" si="2"/>
        <v>871357</v>
      </c>
    </row>
    <row r="22" spans="1:14" ht="15">
      <c r="A22" s="3">
        <f t="shared" si="4"/>
        <v>15</v>
      </c>
      <c r="B22" s="146">
        <v>42958</v>
      </c>
      <c r="C22" s="147">
        <v>0</v>
      </c>
      <c r="D22" s="147">
        <v>0</v>
      </c>
      <c r="E22" s="77">
        <f t="shared" si="5"/>
        <v>0</v>
      </c>
      <c r="F22" s="77">
        <f t="shared" si="5"/>
        <v>0</v>
      </c>
      <c r="G22" s="122">
        <v>7182</v>
      </c>
      <c r="H22" s="122">
        <v>103573</v>
      </c>
      <c r="I22" s="25">
        <f t="shared" si="6"/>
        <v>333170</v>
      </c>
      <c r="J22" s="25">
        <f t="shared" si="6"/>
        <v>648942</v>
      </c>
      <c r="K22" s="25">
        <f t="shared" si="0"/>
        <v>0</v>
      </c>
      <c r="L22" s="25">
        <f t="shared" si="3"/>
        <v>110755</v>
      </c>
      <c r="M22" s="25">
        <f t="shared" si="1"/>
        <v>0</v>
      </c>
      <c r="N22" s="25">
        <f t="shared" si="2"/>
        <v>982112</v>
      </c>
    </row>
    <row r="23" spans="1:14" ht="15">
      <c r="A23" s="3">
        <f t="shared" si="4"/>
        <v>16</v>
      </c>
      <c r="B23" s="146">
        <v>42965</v>
      </c>
      <c r="C23" s="147">
        <v>0</v>
      </c>
      <c r="D23" s="147">
        <v>0</v>
      </c>
      <c r="E23" s="77">
        <f t="shared" si="5"/>
        <v>0</v>
      </c>
      <c r="F23" s="77">
        <f t="shared" si="5"/>
        <v>0</v>
      </c>
      <c r="G23" s="122">
        <v>11671</v>
      </c>
      <c r="H23" s="122">
        <v>59818</v>
      </c>
      <c r="I23" s="25">
        <f t="shared" si="6"/>
        <v>344841</v>
      </c>
      <c r="J23" s="25">
        <f t="shared" si="6"/>
        <v>708760</v>
      </c>
      <c r="K23" s="25">
        <f t="shared" si="0"/>
        <v>0</v>
      </c>
      <c r="L23" s="25">
        <f t="shared" si="3"/>
        <v>71489</v>
      </c>
      <c r="M23" s="25">
        <f t="shared" si="1"/>
        <v>0</v>
      </c>
      <c r="N23" s="25">
        <f t="shared" si="2"/>
        <v>1053601</v>
      </c>
    </row>
    <row r="24" spans="1:14" ht="15">
      <c r="A24" s="3">
        <f t="shared" si="4"/>
        <v>17</v>
      </c>
      <c r="B24" s="146">
        <v>42972</v>
      </c>
      <c r="C24" s="147">
        <v>0</v>
      </c>
      <c r="D24" s="147">
        <v>0</v>
      </c>
      <c r="E24" s="77">
        <f t="shared" si="5"/>
        <v>0</v>
      </c>
      <c r="F24" s="77">
        <f t="shared" si="5"/>
        <v>0</v>
      </c>
      <c r="G24" s="122">
        <v>11825</v>
      </c>
      <c r="H24" s="122">
        <v>25841</v>
      </c>
      <c r="I24" s="25">
        <f t="shared" si="6"/>
        <v>356666</v>
      </c>
      <c r="J24" s="25">
        <f t="shared" si="6"/>
        <v>734601</v>
      </c>
      <c r="K24" s="25">
        <f t="shared" si="0"/>
        <v>0</v>
      </c>
      <c r="L24" s="25">
        <f t="shared" si="3"/>
        <v>37666</v>
      </c>
      <c r="M24" s="25">
        <f t="shared" si="1"/>
        <v>0</v>
      </c>
      <c r="N24" s="25">
        <f t="shared" si="2"/>
        <v>1091267</v>
      </c>
    </row>
    <row r="25" spans="1:14" ht="15">
      <c r="A25" s="3">
        <f t="shared" si="4"/>
        <v>18</v>
      </c>
      <c r="B25" s="146">
        <v>42979</v>
      </c>
      <c r="C25" s="147">
        <v>0</v>
      </c>
      <c r="D25" s="147">
        <v>0</v>
      </c>
      <c r="E25" s="77">
        <f t="shared" si="5"/>
        <v>0</v>
      </c>
      <c r="F25" s="77">
        <f t="shared" si="5"/>
        <v>0</v>
      </c>
      <c r="G25" s="122">
        <v>27263</v>
      </c>
      <c r="H25" s="122">
        <v>55299</v>
      </c>
      <c r="I25" s="25">
        <f t="shared" si="6"/>
        <v>383929</v>
      </c>
      <c r="J25" s="25">
        <f t="shared" si="6"/>
        <v>789900</v>
      </c>
      <c r="K25" s="25">
        <f t="shared" si="0"/>
        <v>0</v>
      </c>
      <c r="L25" s="25">
        <f t="shared" si="3"/>
        <v>82562</v>
      </c>
      <c r="M25" s="25">
        <f t="shared" si="1"/>
        <v>0</v>
      </c>
      <c r="N25" s="25">
        <f t="shared" si="2"/>
        <v>1173829</v>
      </c>
    </row>
    <row r="26" spans="1:14" ht="15">
      <c r="A26" s="3">
        <f t="shared" si="4"/>
        <v>19</v>
      </c>
      <c r="B26" s="146">
        <v>42986</v>
      </c>
      <c r="C26" s="147">
        <v>0</v>
      </c>
      <c r="D26" s="147">
        <v>0</v>
      </c>
      <c r="E26" s="77">
        <f aca="true" t="shared" si="7" ref="E26:F41">E25+C26</f>
        <v>0</v>
      </c>
      <c r="F26" s="77">
        <f t="shared" si="7"/>
        <v>0</v>
      </c>
      <c r="G26" s="122">
        <v>6418</v>
      </c>
      <c r="H26" s="122">
        <v>2576</v>
      </c>
      <c r="I26" s="25">
        <f aca="true" t="shared" si="8" ref="I26:J41">I25+G26</f>
        <v>390347</v>
      </c>
      <c r="J26" s="25">
        <f t="shared" si="8"/>
        <v>792476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1182823</v>
      </c>
    </row>
    <row r="27" spans="1:14" ht="15">
      <c r="A27" s="3">
        <f t="shared" si="4"/>
        <v>20</v>
      </c>
      <c r="B27" s="146">
        <v>42993</v>
      </c>
      <c r="C27" s="147">
        <v>0</v>
      </c>
      <c r="D27" s="147">
        <v>0</v>
      </c>
      <c r="E27" s="77">
        <f t="shared" si="7"/>
        <v>0</v>
      </c>
      <c r="F27" s="77">
        <f t="shared" si="7"/>
        <v>0</v>
      </c>
      <c r="G27" s="122">
        <v>30158</v>
      </c>
      <c r="H27" s="122">
        <v>14882</v>
      </c>
      <c r="I27" s="25">
        <f t="shared" si="8"/>
        <v>420505</v>
      </c>
      <c r="J27" s="25">
        <f t="shared" si="8"/>
        <v>807358</v>
      </c>
      <c r="K27" s="25" t="s">
        <v>99</v>
      </c>
      <c r="L27" s="25">
        <f t="shared" si="3"/>
        <v>45040</v>
      </c>
      <c r="M27" s="25">
        <f t="shared" si="1"/>
        <v>0</v>
      </c>
      <c r="N27" s="25">
        <f t="shared" si="2"/>
        <v>1227863</v>
      </c>
    </row>
    <row r="28" spans="1:14" ht="15">
      <c r="A28" s="3">
        <f t="shared" si="4"/>
        <v>21</v>
      </c>
      <c r="B28" s="146">
        <v>43000</v>
      </c>
      <c r="C28" s="147">
        <v>0</v>
      </c>
      <c r="D28" s="147">
        <v>0</v>
      </c>
      <c r="E28" s="77">
        <f t="shared" si="7"/>
        <v>0</v>
      </c>
      <c r="F28" s="77">
        <f t="shared" si="7"/>
        <v>0</v>
      </c>
      <c r="G28" s="124">
        <v>5754</v>
      </c>
      <c r="H28" s="124">
        <v>37505</v>
      </c>
      <c r="I28" s="25">
        <f t="shared" si="8"/>
        <v>426259</v>
      </c>
      <c r="J28" s="25">
        <f t="shared" si="8"/>
        <v>844863</v>
      </c>
      <c r="K28" s="25">
        <f t="shared" si="0"/>
        <v>0</v>
      </c>
      <c r="L28" s="25">
        <f t="shared" si="3"/>
        <v>43259</v>
      </c>
      <c r="M28" s="25">
        <f t="shared" si="1"/>
        <v>0</v>
      </c>
      <c r="N28" s="25">
        <f t="shared" si="2"/>
        <v>1271122</v>
      </c>
    </row>
    <row r="29" spans="1:14" ht="15">
      <c r="A29" s="3">
        <f t="shared" si="4"/>
        <v>22</v>
      </c>
      <c r="B29" s="146">
        <v>43007</v>
      </c>
      <c r="C29" s="147">
        <v>0</v>
      </c>
      <c r="D29" s="147">
        <v>0</v>
      </c>
      <c r="E29" s="77">
        <f t="shared" si="7"/>
        <v>0</v>
      </c>
      <c r="F29" s="77">
        <f t="shared" si="7"/>
        <v>0</v>
      </c>
      <c r="G29" s="124">
        <v>27282</v>
      </c>
      <c r="H29" s="124">
        <v>3280</v>
      </c>
      <c r="I29" s="25">
        <f t="shared" si="8"/>
        <v>453541</v>
      </c>
      <c r="J29" s="25">
        <f t="shared" si="8"/>
        <v>848143</v>
      </c>
      <c r="K29" s="59">
        <f t="shared" si="0"/>
        <v>0</v>
      </c>
      <c r="L29" s="25">
        <f t="shared" si="3"/>
        <v>30562</v>
      </c>
      <c r="M29" s="55">
        <f t="shared" si="1"/>
        <v>0</v>
      </c>
      <c r="N29" s="25">
        <f t="shared" si="2"/>
        <v>1301684</v>
      </c>
    </row>
    <row r="30" spans="1:16" ht="15">
      <c r="A30" s="3">
        <f t="shared" si="4"/>
        <v>23</v>
      </c>
      <c r="B30" s="146">
        <v>43014</v>
      </c>
      <c r="C30" s="147">
        <v>0</v>
      </c>
      <c r="D30" s="147">
        <v>0</v>
      </c>
      <c r="E30" s="77">
        <f t="shared" si="7"/>
        <v>0</v>
      </c>
      <c r="F30" s="77">
        <f t="shared" si="7"/>
        <v>0</v>
      </c>
      <c r="G30" s="124">
        <v>6904</v>
      </c>
      <c r="H30" s="124">
        <v>53804</v>
      </c>
      <c r="I30" s="25">
        <f t="shared" si="8"/>
        <v>460445</v>
      </c>
      <c r="J30" s="25">
        <f t="shared" si="8"/>
        <v>901947</v>
      </c>
      <c r="K30" s="26">
        <f t="shared" si="0"/>
        <v>0</v>
      </c>
      <c r="L30" s="25">
        <f t="shared" si="3"/>
        <v>60708</v>
      </c>
      <c r="M30" s="25">
        <f t="shared" si="1"/>
        <v>0</v>
      </c>
      <c r="N30" s="55">
        <f t="shared" si="2"/>
        <v>1362392</v>
      </c>
      <c r="P30" s="83" t="s">
        <v>88</v>
      </c>
    </row>
    <row r="31" spans="1:14" ht="15">
      <c r="A31" s="3">
        <f t="shared" si="4"/>
        <v>24</v>
      </c>
      <c r="B31" s="146">
        <v>43021</v>
      </c>
      <c r="C31" s="147">
        <v>0</v>
      </c>
      <c r="D31" s="147">
        <v>0</v>
      </c>
      <c r="E31" s="77">
        <f t="shared" si="7"/>
        <v>0</v>
      </c>
      <c r="F31" s="77">
        <f t="shared" si="7"/>
        <v>0</v>
      </c>
      <c r="G31" s="124">
        <v>6016</v>
      </c>
      <c r="H31" s="124">
        <v>4557</v>
      </c>
      <c r="I31" s="25">
        <f t="shared" si="8"/>
        <v>466461</v>
      </c>
      <c r="J31" s="25">
        <f t="shared" si="8"/>
        <v>906504</v>
      </c>
      <c r="K31" s="26">
        <f t="shared" si="0"/>
        <v>0</v>
      </c>
      <c r="L31" s="25">
        <f t="shared" si="3"/>
        <v>10573</v>
      </c>
      <c r="M31" s="25">
        <f t="shared" si="1"/>
        <v>0</v>
      </c>
      <c r="N31" s="55">
        <f t="shared" si="2"/>
        <v>1372965</v>
      </c>
    </row>
    <row r="32" spans="1:14" ht="15">
      <c r="A32" s="3">
        <f t="shared" si="4"/>
        <v>25</v>
      </c>
      <c r="B32" s="146">
        <v>43028</v>
      </c>
      <c r="C32" s="147">
        <v>0</v>
      </c>
      <c r="D32" s="147">
        <v>0</v>
      </c>
      <c r="E32" s="77">
        <f t="shared" si="7"/>
        <v>0</v>
      </c>
      <c r="F32" s="77">
        <f t="shared" si="7"/>
        <v>0</v>
      </c>
      <c r="G32" s="124">
        <v>8291</v>
      </c>
      <c r="H32" s="124">
        <v>2029</v>
      </c>
      <c r="I32" s="25">
        <f t="shared" si="8"/>
        <v>474752</v>
      </c>
      <c r="J32" s="25">
        <f t="shared" si="8"/>
        <v>908533</v>
      </c>
      <c r="K32" s="26">
        <f t="shared" si="0"/>
        <v>0</v>
      </c>
      <c r="L32" s="25">
        <f t="shared" si="3"/>
        <v>10320</v>
      </c>
      <c r="M32" s="25">
        <f t="shared" si="1"/>
        <v>0</v>
      </c>
      <c r="N32" s="55">
        <f t="shared" si="2"/>
        <v>1383285</v>
      </c>
    </row>
    <row r="33" spans="1:14" ht="15">
      <c r="A33" s="3">
        <f t="shared" si="4"/>
        <v>26</v>
      </c>
      <c r="B33" s="146">
        <v>43035</v>
      </c>
      <c r="C33" s="147">
        <v>0</v>
      </c>
      <c r="D33" s="147">
        <v>0</v>
      </c>
      <c r="E33" s="77">
        <f t="shared" si="7"/>
        <v>0</v>
      </c>
      <c r="F33" s="77">
        <f t="shared" si="7"/>
        <v>0</v>
      </c>
      <c r="G33" s="124">
        <v>8841</v>
      </c>
      <c r="H33" s="124">
        <v>59100</v>
      </c>
      <c r="I33" s="25">
        <f t="shared" si="8"/>
        <v>483593</v>
      </c>
      <c r="J33" s="25">
        <f t="shared" si="8"/>
        <v>967633</v>
      </c>
      <c r="K33" s="26">
        <f>C33+D33</f>
        <v>0</v>
      </c>
      <c r="L33" s="25">
        <f t="shared" si="3"/>
        <v>67941</v>
      </c>
      <c r="M33" s="25">
        <f t="shared" si="1"/>
        <v>0</v>
      </c>
      <c r="N33" s="55">
        <f t="shared" si="2"/>
        <v>1451226</v>
      </c>
    </row>
    <row r="34" spans="1:14" ht="15">
      <c r="A34" s="3">
        <f t="shared" si="4"/>
        <v>27</v>
      </c>
      <c r="B34" s="146">
        <v>43042</v>
      </c>
      <c r="C34" s="147">
        <v>0</v>
      </c>
      <c r="D34" s="147">
        <v>0</v>
      </c>
      <c r="E34" s="77">
        <f t="shared" si="7"/>
        <v>0</v>
      </c>
      <c r="F34" s="77">
        <f t="shared" si="7"/>
        <v>0</v>
      </c>
      <c r="G34" s="124">
        <v>5658</v>
      </c>
      <c r="H34" s="124">
        <v>10419</v>
      </c>
      <c r="I34" s="25">
        <f t="shared" si="8"/>
        <v>489251</v>
      </c>
      <c r="J34" s="25">
        <f t="shared" si="8"/>
        <v>978052</v>
      </c>
      <c r="K34" s="26">
        <f t="shared" si="0"/>
        <v>0</v>
      </c>
      <c r="L34" s="25">
        <f t="shared" si="3"/>
        <v>16077</v>
      </c>
      <c r="M34" s="25">
        <f t="shared" si="1"/>
        <v>0</v>
      </c>
      <c r="N34" s="55">
        <f t="shared" si="2"/>
        <v>1467303</v>
      </c>
    </row>
    <row r="35" spans="1:14" ht="15">
      <c r="A35" s="3">
        <f t="shared" si="4"/>
        <v>28</v>
      </c>
      <c r="B35" s="146">
        <v>43049</v>
      </c>
      <c r="C35" s="147">
        <v>0</v>
      </c>
      <c r="D35" s="147">
        <v>0</v>
      </c>
      <c r="E35" s="77">
        <f t="shared" si="7"/>
        <v>0</v>
      </c>
      <c r="F35" s="77">
        <f t="shared" si="7"/>
        <v>0</v>
      </c>
      <c r="G35" s="124">
        <v>7546</v>
      </c>
      <c r="H35" s="124">
        <v>50936</v>
      </c>
      <c r="I35" s="25">
        <f t="shared" si="8"/>
        <v>496797</v>
      </c>
      <c r="J35" s="25">
        <f t="shared" si="8"/>
        <v>1028988</v>
      </c>
      <c r="K35" s="26">
        <f t="shared" si="0"/>
        <v>0</v>
      </c>
      <c r="L35" s="25">
        <f t="shared" si="3"/>
        <v>58482</v>
      </c>
      <c r="M35" s="25">
        <f t="shared" si="1"/>
        <v>0</v>
      </c>
      <c r="N35" s="55">
        <f t="shared" si="2"/>
        <v>1525785</v>
      </c>
    </row>
    <row r="36" spans="1:14" ht="15">
      <c r="A36" s="3">
        <f t="shared" si="4"/>
        <v>29</v>
      </c>
      <c r="B36" s="146">
        <v>43056</v>
      </c>
      <c r="C36" s="147">
        <v>0</v>
      </c>
      <c r="D36" s="147">
        <v>0</v>
      </c>
      <c r="E36" s="77">
        <f t="shared" si="7"/>
        <v>0</v>
      </c>
      <c r="F36" s="77">
        <f t="shared" si="7"/>
        <v>0</v>
      </c>
      <c r="G36" s="124">
        <v>8099</v>
      </c>
      <c r="H36" s="124">
        <v>3560</v>
      </c>
      <c r="I36" s="25">
        <f t="shared" si="8"/>
        <v>504896</v>
      </c>
      <c r="J36" s="25">
        <f t="shared" si="8"/>
        <v>1032548</v>
      </c>
      <c r="K36" s="26">
        <f t="shared" si="0"/>
        <v>0</v>
      </c>
      <c r="L36" s="25">
        <f t="shared" si="3"/>
        <v>11659</v>
      </c>
      <c r="M36" s="25">
        <f t="shared" si="1"/>
        <v>0</v>
      </c>
      <c r="N36" s="55">
        <f t="shared" si="2"/>
        <v>1537444</v>
      </c>
    </row>
    <row r="37" spans="1:14" ht="15">
      <c r="A37" s="3">
        <f t="shared" si="4"/>
        <v>30</v>
      </c>
      <c r="B37" s="146">
        <v>43063</v>
      </c>
      <c r="C37" s="147">
        <v>0</v>
      </c>
      <c r="D37" s="147">
        <v>0</v>
      </c>
      <c r="E37" s="77">
        <f t="shared" si="7"/>
        <v>0</v>
      </c>
      <c r="F37" s="77">
        <f t="shared" si="7"/>
        <v>0</v>
      </c>
      <c r="G37" s="124">
        <v>8249</v>
      </c>
      <c r="H37" s="124">
        <v>26548</v>
      </c>
      <c r="I37" s="25">
        <f t="shared" si="8"/>
        <v>513145</v>
      </c>
      <c r="J37" s="25">
        <f t="shared" si="8"/>
        <v>1059096</v>
      </c>
      <c r="K37" s="26">
        <f t="shared" si="0"/>
        <v>0</v>
      </c>
      <c r="L37" s="25">
        <f t="shared" si="3"/>
        <v>34797</v>
      </c>
      <c r="M37" s="25">
        <f t="shared" si="1"/>
        <v>0</v>
      </c>
      <c r="N37" s="55">
        <f t="shared" si="2"/>
        <v>1572241</v>
      </c>
    </row>
    <row r="38" spans="1:14" ht="15">
      <c r="A38" s="3">
        <f t="shared" si="4"/>
        <v>31</v>
      </c>
      <c r="B38" s="146">
        <v>43070</v>
      </c>
      <c r="C38" s="147">
        <v>0</v>
      </c>
      <c r="D38" s="147">
        <v>0</v>
      </c>
      <c r="E38" s="77">
        <f t="shared" si="7"/>
        <v>0</v>
      </c>
      <c r="F38" s="77">
        <f t="shared" si="7"/>
        <v>0</v>
      </c>
      <c r="G38" s="124">
        <v>4884</v>
      </c>
      <c r="H38" s="124">
        <v>58459</v>
      </c>
      <c r="I38" s="25">
        <f t="shared" si="8"/>
        <v>518029</v>
      </c>
      <c r="J38" s="25">
        <f t="shared" si="8"/>
        <v>1117555</v>
      </c>
      <c r="K38" s="26">
        <f t="shared" si="0"/>
        <v>0</v>
      </c>
      <c r="L38" s="25">
        <f t="shared" si="3"/>
        <v>63343</v>
      </c>
      <c r="M38" s="25">
        <f t="shared" si="1"/>
        <v>0</v>
      </c>
      <c r="N38" s="55">
        <f t="shared" si="2"/>
        <v>1635584</v>
      </c>
    </row>
    <row r="39" spans="1:14" ht="15">
      <c r="A39" s="3">
        <f t="shared" si="4"/>
        <v>32</v>
      </c>
      <c r="B39" s="146">
        <v>43077</v>
      </c>
      <c r="C39" s="147">
        <v>0</v>
      </c>
      <c r="D39" s="147">
        <v>0</v>
      </c>
      <c r="E39" s="77">
        <f t="shared" si="7"/>
        <v>0</v>
      </c>
      <c r="F39" s="77">
        <f t="shared" si="7"/>
        <v>0</v>
      </c>
      <c r="G39" s="175">
        <v>5507</v>
      </c>
      <c r="H39" s="175">
        <v>42875</v>
      </c>
      <c r="I39" s="25">
        <f t="shared" si="8"/>
        <v>523536</v>
      </c>
      <c r="J39" s="25">
        <f t="shared" si="8"/>
        <v>1160430</v>
      </c>
      <c r="K39" s="26">
        <f t="shared" si="0"/>
        <v>0</v>
      </c>
      <c r="L39" s="25">
        <f t="shared" si="3"/>
        <v>48382</v>
      </c>
      <c r="M39" s="25">
        <f t="shared" si="1"/>
        <v>0</v>
      </c>
      <c r="N39" s="55">
        <f t="shared" si="2"/>
        <v>1683966</v>
      </c>
    </row>
    <row r="40" spans="1:14" ht="15">
      <c r="A40" s="3">
        <f t="shared" si="4"/>
        <v>33</v>
      </c>
      <c r="B40" s="146">
        <v>43084</v>
      </c>
      <c r="C40" s="147">
        <v>0</v>
      </c>
      <c r="D40" s="147">
        <v>0</v>
      </c>
      <c r="E40" s="77">
        <f t="shared" si="7"/>
        <v>0</v>
      </c>
      <c r="F40" s="77">
        <f t="shared" si="7"/>
        <v>0</v>
      </c>
      <c r="G40" s="147">
        <v>0</v>
      </c>
      <c r="H40" s="147">
        <v>0</v>
      </c>
      <c r="I40" s="25">
        <f t="shared" si="8"/>
        <v>523536</v>
      </c>
      <c r="J40" s="25">
        <f t="shared" si="8"/>
        <v>1160430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1683966</v>
      </c>
    </row>
    <row r="41" spans="1:14" ht="15">
      <c r="A41" s="3">
        <f t="shared" si="4"/>
        <v>34</v>
      </c>
      <c r="B41" s="146">
        <v>43091</v>
      </c>
      <c r="C41" s="147">
        <v>0</v>
      </c>
      <c r="D41" s="147">
        <v>0</v>
      </c>
      <c r="E41" s="77">
        <f t="shared" si="7"/>
        <v>0</v>
      </c>
      <c r="F41" s="77">
        <f t="shared" si="7"/>
        <v>0</v>
      </c>
      <c r="G41" s="147">
        <v>0</v>
      </c>
      <c r="H41" s="147">
        <v>0</v>
      </c>
      <c r="I41" s="25">
        <f t="shared" si="8"/>
        <v>523536</v>
      </c>
      <c r="J41" s="25">
        <f t="shared" si="8"/>
        <v>1160430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1683966</v>
      </c>
    </row>
    <row r="42" spans="1:14" ht="15">
      <c r="A42" s="3">
        <f t="shared" si="4"/>
        <v>35</v>
      </c>
      <c r="B42" s="146">
        <v>43098</v>
      </c>
      <c r="C42" s="147">
        <v>0</v>
      </c>
      <c r="D42" s="147">
        <v>0</v>
      </c>
      <c r="E42" s="77">
        <f aca="true" t="shared" si="9" ref="E42:F57">E41+C42</f>
        <v>0</v>
      </c>
      <c r="F42" s="77">
        <f t="shared" si="9"/>
        <v>0</v>
      </c>
      <c r="G42" s="147">
        <v>19897</v>
      </c>
      <c r="H42" s="147">
        <v>47797</v>
      </c>
      <c r="I42" s="25">
        <f aca="true" t="shared" si="10" ref="I42:J57">I41+G42</f>
        <v>543433</v>
      </c>
      <c r="J42" s="25">
        <f t="shared" si="10"/>
        <v>1208227</v>
      </c>
      <c r="K42" s="26">
        <f t="shared" si="0"/>
        <v>0</v>
      </c>
      <c r="L42" s="25">
        <f t="shared" si="3"/>
        <v>67694</v>
      </c>
      <c r="M42" s="25">
        <f t="shared" si="1"/>
        <v>0</v>
      </c>
      <c r="N42" s="55">
        <f t="shared" si="2"/>
        <v>1751660</v>
      </c>
    </row>
    <row r="43" spans="1:14" ht="15">
      <c r="A43" s="3">
        <f t="shared" si="4"/>
        <v>36</v>
      </c>
      <c r="B43" s="146">
        <v>43105</v>
      </c>
      <c r="C43" s="147">
        <v>0</v>
      </c>
      <c r="D43" s="147">
        <v>0</v>
      </c>
      <c r="E43" s="77">
        <f t="shared" si="9"/>
        <v>0</v>
      </c>
      <c r="F43" s="77">
        <f t="shared" si="9"/>
        <v>0</v>
      </c>
      <c r="G43" s="124">
        <v>3243</v>
      </c>
      <c r="H43" s="121">
        <v>2084</v>
      </c>
      <c r="I43" s="25">
        <f t="shared" si="10"/>
        <v>546676</v>
      </c>
      <c r="J43" s="25">
        <f t="shared" si="10"/>
        <v>1210311</v>
      </c>
      <c r="K43" s="26">
        <f t="shared" si="0"/>
        <v>0</v>
      </c>
      <c r="L43" s="25">
        <f t="shared" si="3"/>
        <v>5327</v>
      </c>
      <c r="M43" s="25">
        <f t="shared" si="1"/>
        <v>0</v>
      </c>
      <c r="N43" s="55">
        <f t="shared" si="2"/>
        <v>1756987</v>
      </c>
    </row>
    <row r="44" spans="1:14" ht="15">
      <c r="A44" s="3">
        <f t="shared" si="4"/>
        <v>37</v>
      </c>
      <c r="B44" s="146">
        <v>43112</v>
      </c>
      <c r="C44" s="147">
        <v>0</v>
      </c>
      <c r="D44" s="147">
        <v>0</v>
      </c>
      <c r="E44" s="77">
        <f t="shared" si="9"/>
        <v>0</v>
      </c>
      <c r="F44" s="77">
        <f t="shared" si="9"/>
        <v>0</v>
      </c>
      <c r="G44" s="124">
        <v>4780</v>
      </c>
      <c r="H44" s="121">
        <v>44177</v>
      </c>
      <c r="I44" s="25">
        <f t="shared" si="10"/>
        <v>551456</v>
      </c>
      <c r="J44" s="25">
        <f t="shared" si="10"/>
        <v>1254488</v>
      </c>
      <c r="K44" s="26">
        <f t="shared" si="0"/>
        <v>0</v>
      </c>
      <c r="L44" s="25">
        <f t="shared" si="3"/>
        <v>48957</v>
      </c>
      <c r="M44" s="25">
        <f t="shared" si="1"/>
        <v>0</v>
      </c>
      <c r="N44" s="55">
        <f t="shared" si="2"/>
        <v>1805944</v>
      </c>
    </row>
    <row r="45" spans="1:14" ht="15">
      <c r="A45" s="3">
        <f t="shared" si="4"/>
        <v>38</v>
      </c>
      <c r="B45" s="146">
        <v>43119</v>
      </c>
      <c r="C45" s="147">
        <v>0</v>
      </c>
      <c r="D45" s="147">
        <v>0</v>
      </c>
      <c r="E45" s="77">
        <f t="shared" si="9"/>
        <v>0</v>
      </c>
      <c r="F45" s="77">
        <f t="shared" si="9"/>
        <v>0</v>
      </c>
      <c r="G45" s="124">
        <v>7451</v>
      </c>
      <c r="H45" s="121">
        <v>13536</v>
      </c>
      <c r="I45" s="25">
        <f t="shared" si="10"/>
        <v>558907</v>
      </c>
      <c r="J45" s="25">
        <f t="shared" si="10"/>
        <v>1268024</v>
      </c>
      <c r="K45" s="26">
        <f t="shared" si="0"/>
        <v>0</v>
      </c>
      <c r="L45" s="25">
        <f t="shared" si="3"/>
        <v>20987</v>
      </c>
      <c r="M45" s="25">
        <f t="shared" si="1"/>
        <v>0</v>
      </c>
      <c r="N45" s="55">
        <f t="shared" si="2"/>
        <v>1826931</v>
      </c>
    </row>
    <row r="46" spans="1:14" ht="15">
      <c r="A46" s="3">
        <f t="shared" si="4"/>
        <v>39</v>
      </c>
      <c r="B46" s="146">
        <v>43126</v>
      </c>
      <c r="C46" s="147">
        <v>0</v>
      </c>
      <c r="D46" s="147">
        <v>0</v>
      </c>
      <c r="E46" s="77">
        <f t="shared" si="9"/>
        <v>0</v>
      </c>
      <c r="F46" s="77">
        <f t="shared" si="9"/>
        <v>0</v>
      </c>
      <c r="G46" s="124">
        <v>10362</v>
      </c>
      <c r="H46" s="121">
        <v>3858</v>
      </c>
      <c r="I46" s="25">
        <f t="shared" si="10"/>
        <v>569269</v>
      </c>
      <c r="J46" s="25">
        <f t="shared" si="10"/>
        <v>1271882</v>
      </c>
      <c r="K46" s="26">
        <f t="shared" si="0"/>
        <v>0</v>
      </c>
      <c r="L46" s="25">
        <f t="shared" si="3"/>
        <v>14220</v>
      </c>
      <c r="M46" s="25">
        <f t="shared" si="1"/>
        <v>0</v>
      </c>
      <c r="N46" s="55">
        <f t="shared" si="2"/>
        <v>1841151</v>
      </c>
    </row>
    <row r="47" spans="1:14" ht="15">
      <c r="A47" s="3">
        <f t="shared" si="4"/>
        <v>40</v>
      </c>
      <c r="B47" s="146">
        <v>43133</v>
      </c>
      <c r="C47" s="147">
        <v>0</v>
      </c>
      <c r="D47" s="147">
        <v>0</v>
      </c>
      <c r="E47" s="77">
        <f t="shared" si="9"/>
        <v>0</v>
      </c>
      <c r="F47" s="77">
        <f t="shared" si="9"/>
        <v>0</v>
      </c>
      <c r="G47" s="124">
        <v>6481</v>
      </c>
      <c r="H47" s="121">
        <v>45112</v>
      </c>
      <c r="I47" s="25">
        <f t="shared" si="10"/>
        <v>575750</v>
      </c>
      <c r="J47" s="25">
        <f t="shared" si="10"/>
        <v>1316994</v>
      </c>
      <c r="K47" s="26">
        <f t="shared" si="0"/>
        <v>0</v>
      </c>
      <c r="L47" s="25">
        <f t="shared" si="3"/>
        <v>51593</v>
      </c>
      <c r="M47" s="25">
        <f t="shared" si="1"/>
        <v>0</v>
      </c>
      <c r="N47" s="55">
        <f t="shared" si="2"/>
        <v>1892744</v>
      </c>
    </row>
    <row r="48" spans="1:14" ht="15">
      <c r="A48" s="3">
        <f t="shared" si="4"/>
        <v>41</v>
      </c>
      <c r="B48" s="146">
        <v>43140</v>
      </c>
      <c r="C48" s="147">
        <v>0</v>
      </c>
      <c r="D48" s="147">
        <v>0</v>
      </c>
      <c r="E48" s="77">
        <f t="shared" si="9"/>
        <v>0</v>
      </c>
      <c r="F48" s="77">
        <f t="shared" si="9"/>
        <v>0</v>
      </c>
      <c r="G48" s="124">
        <v>7005</v>
      </c>
      <c r="H48" s="121">
        <v>22373</v>
      </c>
      <c r="I48" s="25">
        <f t="shared" si="10"/>
        <v>582755</v>
      </c>
      <c r="J48" s="25">
        <f t="shared" si="10"/>
        <v>1339367</v>
      </c>
      <c r="K48" s="26">
        <f t="shared" si="0"/>
        <v>0</v>
      </c>
      <c r="L48" s="25">
        <f t="shared" si="3"/>
        <v>29378</v>
      </c>
      <c r="M48" s="25">
        <f t="shared" si="1"/>
        <v>0</v>
      </c>
      <c r="N48" s="55">
        <f t="shared" si="2"/>
        <v>1922122</v>
      </c>
    </row>
    <row r="49" spans="1:14" ht="15">
      <c r="A49" s="3">
        <f t="shared" si="4"/>
        <v>42</v>
      </c>
      <c r="B49" s="146">
        <v>43147</v>
      </c>
      <c r="C49" s="147">
        <v>0</v>
      </c>
      <c r="D49" s="147">
        <v>0</v>
      </c>
      <c r="E49" s="77">
        <f t="shared" si="9"/>
        <v>0</v>
      </c>
      <c r="F49" s="77">
        <f t="shared" si="9"/>
        <v>0</v>
      </c>
      <c r="G49" s="124">
        <v>8053</v>
      </c>
      <c r="H49" s="121">
        <v>31688</v>
      </c>
      <c r="I49" s="25">
        <f t="shared" si="10"/>
        <v>590808</v>
      </c>
      <c r="J49" s="25">
        <f t="shared" si="10"/>
        <v>1371055</v>
      </c>
      <c r="K49" s="26">
        <f t="shared" si="0"/>
        <v>0</v>
      </c>
      <c r="L49" s="25">
        <f t="shared" si="3"/>
        <v>39741</v>
      </c>
      <c r="M49" s="25">
        <f t="shared" si="1"/>
        <v>0</v>
      </c>
      <c r="N49" s="55">
        <f t="shared" si="2"/>
        <v>1961863</v>
      </c>
    </row>
    <row r="50" spans="1:14" ht="15">
      <c r="A50" s="3">
        <f t="shared" si="4"/>
        <v>43</v>
      </c>
      <c r="B50" s="146">
        <v>43154</v>
      </c>
      <c r="C50" s="147">
        <v>0</v>
      </c>
      <c r="D50" s="147">
        <v>0</v>
      </c>
      <c r="E50" s="77">
        <f t="shared" si="9"/>
        <v>0</v>
      </c>
      <c r="F50" s="77">
        <f t="shared" si="9"/>
        <v>0</v>
      </c>
      <c r="G50" s="124">
        <v>11993</v>
      </c>
      <c r="H50" s="121">
        <v>16387</v>
      </c>
      <c r="I50" s="25">
        <f t="shared" si="10"/>
        <v>602801</v>
      </c>
      <c r="J50" s="25">
        <f t="shared" si="10"/>
        <v>1387442</v>
      </c>
      <c r="K50" s="26">
        <f>C50+D50</f>
        <v>0</v>
      </c>
      <c r="L50" s="25">
        <f t="shared" si="3"/>
        <v>28380</v>
      </c>
      <c r="M50" s="25">
        <f t="shared" si="1"/>
        <v>0</v>
      </c>
      <c r="N50" s="55">
        <f t="shared" si="2"/>
        <v>1990243</v>
      </c>
    </row>
    <row r="51" spans="1:14" ht="15">
      <c r="A51" s="3">
        <f t="shared" si="4"/>
        <v>44</v>
      </c>
      <c r="B51" s="146">
        <v>43161</v>
      </c>
      <c r="C51" s="147">
        <v>0</v>
      </c>
      <c r="D51" s="147">
        <v>0</v>
      </c>
      <c r="E51" s="77">
        <f t="shared" si="9"/>
        <v>0</v>
      </c>
      <c r="F51" s="77">
        <f t="shared" si="9"/>
        <v>0</v>
      </c>
      <c r="G51" s="124">
        <v>9487</v>
      </c>
      <c r="H51" s="121">
        <v>5185</v>
      </c>
      <c r="I51" s="25">
        <f t="shared" si="10"/>
        <v>612288</v>
      </c>
      <c r="J51" s="25">
        <f t="shared" si="10"/>
        <v>1392627</v>
      </c>
      <c r="K51" s="26">
        <f>C51+D51</f>
        <v>0</v>
      </c>
      <c r="L51" s="25">
        <f t="shared" si="3"/>
        <v>14672</v>
      </c>
      <c r="M51" s="25">
        <f t="shared" si="1"/>
        <v>0</v>
      </c>
      <c r="N51" s="55">
        <f t="shared" si="2"/>
        <v>2004915</v>
      </c>
    </row>
    <row r="52" spans="1:14" ht="15">
      <c r="A52" s="3">
        <f t="shared" si="4"/>
        <v>45</v>
      </c>
      <c r="B52" s="146">
        <v>43168</v>
      </c>
      <c r="C52" s="147">
        <v>0</v>
      </c>
      <c r="D52" s="147">
        <v>0</v>
      </c>
      <c r="E52" s="77">
        <f t="shared" si="9"/>
        <v>0</v>
      </c>
      <c r="F52" s="77">
        <f t="shared" si="9"/>
        <v>0</v>
      </c>
      <c r="G52" s="124">
        <v>9476</v>
      </c>
      <c r="H52" s="121">
        <v>4498</v>
      </c>
      <c r="I52" s="25">
        <f t="shared" si="10"/>
        <v>621764</v>
      </c>
      <c r="J52" s="25">
        <f t="shared" si="10"/>
        <v>1397125</v>
      </c>
      <c r="K52" s="26">
        <f t="shared" si="0"/>
        <v>0</v>
      </c>
      <c r="L52" s="25">
        <f t="shared" si="3"/>
        <v>13974</v>
      </c>
      <c r="M52" s="25">
        <f t="shared" si="1"/>
        <v>0</v>
      </c>
      <c r="N52" s="55">
        <f t="shared" si="2"/>
        <v>2018889</v>
      </c>
    </row>
    <row r="53" spans="1:14" ht="15">
      <c r="A53" s="3">
        <f t="shared" si="4"/>
        <v>46</v>
      </c>
      <c r="B53" s="146">
        <v>43175</v>
      </c>
      <c r="C53" s="147">
        <v>0</v>
      </c>
      <c r="D53" s="147">
        <v>0</v>
      </c>
      <c r="E53" s="77">
        <f t="shared" si="9"/>
        <v>0</v>
      </c>
      <c r="F53" s="77">
        <f t="shared" si="9"/>
        <v>0</v>
      </c>
      <c r="G53" s="124">
        <v>24066</v>
      </c>
      <c r="H53" s="121">
        <v>3613</v>
      </c>
      <c r="I53" s="25">
        <f t="shared" si="10"/>
        <v>645830</v>
      </c>
      <c r="J53" s="25">
        <f t="shared" si="10"/>
        <v>1400738</v>
      </c>
      <c r="K53" s="26">
        <f t="shared" si="0"/>
        <v>0</v>
      </c>
      <c r="L53" s="25">
        <f t="shared" si="3"/>
        <v>27679</v>
      </c>
      <c r="M53" s="25">
        <f t="shared" si="1"/>
        <v>0</v>
      </c>
      <c r="N53" s="55">
        <f t="shared" si="2"/>
        <v>2046568</v>
      </c>
    </row>
    <row r="54" spans="1:14" ht="15">
      <c r="A54" s="3">
        <f t="shared" si="4"/>
        <v>47</v>
      </c>
      <c r="B54" s="146">
        <v>43182</v>
      </c>
      <c r="C54" s="147">
        <v>0</v>
      </c>
      <c r="D54" s="147">
        <v>0</v>
      </c>
      <c r="E54" s="77">
        <f t="shared" si="9"/>
        <v>0</v>
      </c>
      <c r="F54" s="77">
        <f t="shared" si="9"/>
        <v>0</v>
      </c>
      <c r="G54" s="124">
        <v>25759</v>
      </c>
      <c r="H54" s="121">
        <v>3506</v>
      </c>
      <c r="I54" s="25">
        <f t="shared" si="10"/>
        <v>671589</v>
      </c>
      <c r="J54" s="25">
        <f t="shared" si="10"/>
        <v>1404244</v>
      </c>
      <c r="K54" s="26">
        <f t="shared" si="0"/>
        <v>0</v>
      </c>
      <c r="L54" s="25">
        <f t="shared" si="3"/>
        <v>29265</v>
      </c>
      <c r="M54" s="25">
        <f t="shared" si="1"/>
        <v>0</v>
      </c>
      <c r="N54" s="55">
        <f t="shared" si="2"/>
        <v>2075833</v>
      </c>
    </row>
    <row r="55" spans="1:14" ht="15">
      <c r="A55" s="3">
        <f t="shared" si="4"/>
        <v>48</v>
      </c>
      <c r="B55" s="146">
        <v>43189</v>
      </c>
      <c r="C55" s="147">
        <v>0</v>
      </c>
      <c r="D55" s="147">
        <v>0</v>
      </c>
      <c r="E55" s="77">
        <f t="shared" si="9"/>
        <v>0</v>
      </c>
      <c r="F55" s="77">
        <f t="shared" si="9"/>
        <v>0</v>
      </c>
      <c r="G55" s="124">
        <v>10003</v>
      </c>
      <c r="H55" s="121">
        <v>4528</v>
      </c>
      <c r="I55" s="25">
        <f t="shared" si="10"/>
        <v>681592</v>
      </c>
      <c r="J55" s="25">
        <f t="shared" si="10"/>
        <v>1408772</v>
      </c>
      <c r="K55" s="26">
        <f t="shared" si="0"/>
        <v>0</v>
      </c>
      <c r="L55" s="25">
        <f t="shared" si="3"/>
        <v>14531</v>
      </c>
      <c r="M55" s="25">
        <f t="shared" si="1"/>
        <v>0</v>
      </c>
      <c r="N55" s="55">
        <f t="shared" si="2"/>
        <v>2090364</v>
      </c>
    </row>
    <row r="56" spans="1:14" ht="15">
      <c r="A56" s="3">
        <f t="shared" si="4"/>
        <v>49</v>
      </c>
      <c r="B56" s="146">
        <v>43196</v>
      </c>
      <c r="C56" s="147">
        <v>0</v>
      </c>
      <c r="D56" s="147">
        <v>0</v>
      </c>
      <c r="E56" s="77">
        <f t="shared" si="9"/>
        <v>0</v>
      </c>
      <c r="F56" s="77">
        <f t="shared" si="9"/>
        <v>0</v>
      </c>
      <c r="G56" s="124">
        <v>53912</v>
      </c>
      <c r="H56" s="121">
        <v>2682</v>
      </c>
      <c r="I56" s="25">
        <f t="shared" si="10"/>
        <v>735504</v>
      </c>
      <c r="J56" s="25">
        <f t="shared" si="10"/>
        <v>1411454</v>
      </c>
      <c r="K56" s="26">
        <f t="shared" si="0"/>
        <v>0</v>
      </c>
      <c r="L56" s="25">
        <f>G56+H56</f>
        <v>56594</v>
      </c>
      <c r="M56" s="25">
        <f t="shared" si="1"/>
        <v>0</v>
      </c>
      <c r="N56" s="55">
        <f t="shared" si="2"/>
        <v>2146958</v>
      </c>
    </row>
    <row r="57" spans="1:14" ht="15">
      <c r="A57" s="3">
        <f t="shared" si="4"/>
        <v>50</v>
      </c>
      <c r="B57" s="146">
        <v>43203</v>
      </c>
      <c r="C57" s="147">
        <v>0</v>
      </c>
      <c r="D57" s="147">
        <v>0</v>
      </c>
      <c r="E57" s="77">
        <f t="shared" si="9"/>
        <v>0</v>
      </c>
      <c r="F57" s="77">
        <f t="shared" si="9"/>
        <v>0</v>
      </c>
      <c r="G57" s="124">
        <v>15564</v>
      </c>
      <c r="H57" s="121">
        <v>3444</v>
      </c>
      <c r="I57" s="25">
        <f t="shared" si="10"/>
        <v>751068</v>
      </c>
      <c r="J57" s="25">
        <f t="shared" si="10"/>
        <v>1414898</v>
      </c>
      <c r="K57" s="26">
        <f t="shared" si="0"/>
        <v>0</v>
      </c>
      <c r="L57" s="25">
        <f t="shared" si="3"/>
        <v>19008</v>
      </c>
      <c r="M57" s="25">
        <f t="shared" si="1"/>
        <v>0</v>
      </c>
      <c r="N57" s="55">
        <f t="shared" si="2"/>
        <v>2165966</v>
      </c>
    </row>
    <row r="58" spans="1:14" ht="15">
      <c r="A58" s="3">
        <f t="shared" si="4"/>
        <v>51</v>
      </c>
      <c r="B58" s="146">
        <v>43210</v>
      </c>
      <c r="C58" s="147">
        <v>0</v>
      </c>
      <c r="D58" s="147">
        <v>0</v>
      </c>
      <c r="E58" s="77">
        <f>E57+C58</f>
        <v>0</v>
      </c>
      <c r="F58" s="77">
        <f>F57+D58</f>
        <v>0</v>
      </c>
      <c r="G58" s="124">
        <v>11018</v>
      </c>
      <c r="H58" s="121">
        <v>3272</v>
      </c>
      <c r="I58" s="25">
        <f>I57+G58</f>
        <v>762086</v>
      </c>
      <c r="J58" s="25">
        <f>J57+H58</f>
        <v>1418170</v>
      </c>
      <c r="K58" s="26">
        <f t="shared" si="0"/>
        <v>0</v>
      </c>
      <c r="L58" s="25">
        <f t="shared" si="3"/>
        <v>14290</v>
      </c>
      <c r="M58" s="25">
        <f t="shared" si="1"/>
        <v>0</v>
      </c>
      <c r="N58" s="55">
        <f t="shared" si="2"/>
        <v>2180256</v>
      </c>
    </row>
    <row r="59" spans="1:14" ht="15.75" thickBot="1">
      <c r="A59" s="3">
        <f t="shared" si="4"/>
        <v>52</v>
      </c>
      <c r="B59" s="148">
        <v>43217</v>
      </c>
      <c r="C59" s="149">
        <v>0</v>
      </c>
      <c r="D59" s="149">
        <v>0</v>
      </c>
      <c r="E59" s="75">
        <f>E58+C59</f>
        <v>0</v>
      </c>
      <c r="F59" s="75">
        <f>F58+D59</f>
        <v>0</v>
      </c>
      <c r="G59" s="157">
        <v>7887</v>
      </c>
      <c r="H59" s="150">
        <v>58531</v>
      </c>
      <c r="I59" s="58">
        <f>I58+G59</f>
        <v>769973</v>
      </c>
      <c r="J59" s="58">
        <f>J58+H59</f>
        <v>1476701</v>
      </c>
      <c r="K59" s="56">
        <f t="shared" si="0"/>
        <v>0</v>
      </c>
      <c r="L59" s="58">
        <f t="shared" si="3"/>
        <v>66418</v>
      </c>
      <c r="M59" s="58">
        <f t="shared" si="1"/>
        <v>0</v>
      </c>
      <c r="N59" s="57">
        <f t="shared" si="2"/>
        <v>2246674</v>
      </c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spans="2:7" ht="12.75">
      <c r="B66" s="53"/>
      <c r="G66" s="8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06"/>
  <sheetViews>
    <sheetView tabSelected="1" zoomScale="71" zoomScaleNormal="71" zoomScalePageLayoutView="0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9" sqref="B49"/>
    </sheetView>
  </sheetViews>
  <sheetFormatPr defaultColWidth="8.8515625" defaultRowHeight="12.75"/>
  <cols>
    <col min="1" max="1" width="6.7109375" style="3" customWidth="1"/>
    <col min="2" max="2" width="11.57421875" style="15" bestFit="1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14.28125" style="69" customWidth="1"/>
    <col min="8" max="10" width="11.28125" style="69" customWidth="1"/>
    <col min="11" max="11" width="9.7109375" style="15" customWidth="1"/>
    <col min="12" max="12" width="11.421875" style="15" customWidth="1"/>
    <col min="13" max="13" width="10.7109375" style="15" customWidth="1"/>
    <col min="14" max="14" width="10.7109375" style="15" bestFit="1" customWidth="1"/>
    <col min="15" max="18" width="11.28125" style="15" customWidth="1"/>
    <col min="19" max="19" width="16.00390625" style="15" customWidth="1"/>
    <col min="20" max="20" width="15.7109375" style="15" customWidth="1"/>
    <col min="21" max="21" width="15.00390625" style="15" customWidth="1"/>
    <col min="22" max="22" width="15.8515625" style="15" customWidth="1"/>
    <col min="23" max="16384" width="8.8515625" style="15" customWidth="1"/>
  </cols>
  <sheetData>
    <row r="1" spans="3:5" s="3" customFormat="1" ht="15">
      <c r="C1" s="98" t="s">
        <v>239</v>
      </c>
      <c r="D1" s="65"/>
      <c r="E1" s="65"/>
    </row>
    <row r="2" spans="3:23" s="3" customFormat="1" ht="15">
      <c r="C2" s="98" t="s">
        <v>240</v>
      </c>
      <c r="D2" s="65"/>
      <c r="E2" s="65"/>
      <c r="W2" s="82" t="s">
        <v>87</v>
      </c>
    </row>
    <row r="3" spans="3:10" s="3" customFormat="1" ht="13.5" thickBot="1">
      <c r="C3" s="65"/>
      <c r="D3" s="65"/>
      <c r="E3" s="65"/>
      <c r="F3" s="65"/>
      <c r="G3" s="65"/>
      <c r="H3" s="65"/>
      <c r="I3" s="65"/>
      <c r="J3" s="65"/>
    </row>
    <row r="4" spans="2:22" s="1" customFormat="1" ht="13.5" thickBot="1">
      <c r="B4" s="4"/>
      <c r="C4" s="205" t="s">
        <v>242</v>
      </c>
      <c r="D4" s="206"/>
      <c r="E4" s="207" t="s">
        <v>242</v>
      </c>
      <c r="F4" s="208"/>
      <c r="G4" s="205" t="s">
        <v>244</v>
      </c>
      <c r="H4" s="206"/>
      <c r="I4" s="207" t="s">
        <v>244</v>
      </c>
      <c r="J4" s="208"/>
      <c r="K4" s="205" t="s">
        <v>246</v>
      </c>
      <c r="L4" s="206"/>
      <c r="M4" s="207" t="s">
        <v>246</v>
      </c>
      <c r="N4" s="208"/>
      <c r="O4" s="205" t="s">
        <v>248</v>
      </c>
      <c r="P4" s="206"/>
      <c r="Q4" s="207" t="s">
        <v>248</v>
      </c>
      <c r="R4" s="208"/>
      <c r="S4" s="8" t="s">
        <v>30</v>
      </c>
      <c r="T4" s="9" t="s">
        <v>31</v>
      </c>
      <c r="U4" s="8" t="s">
        <v>30</v>
      </c>
      <c r="V4" s="9" t="s">
        <v>31</v>
      </c>
    </row>
    <row r="5" spans="2:22" s="1" customFormat="1" ht="13.5" thickBot="1">
      <c r="B5" s="187"/>
      <c r="C5" s="205" t="s">
        <v>243</v>
      </c>
      <c r="D5" s="206"/>
      <c r="E5" s="207" t="s">
        <v>243</v>
      </c>
      <c r="F5" s="208"/>
      <c r="G5" s="205" t="s">
        <v>245</v>
      </c>
      <c r="H5" s="209"/>
      <c r="I5" s="207" t="s">
        <v>245</v>
      </c>
      <c r="J5" s="210"/>
      <c r="K5" s="205" t="s">
        <v>247</v>
      </c>
      <c r="L5" s="206"/>
      <c r="M5" s="207" t="s">
        <v>247</v>
      </c>
      <c r="N5" s="208"/>
      <c r="O5" s="205" t="s">
        <v>249</v>
      </c>
      <c r="P5" s="209"/>
      <c r="Q5" s="207" t="s">
        <v>249</v>
      </c>
      <c r="R5" s="210"/>
      <c r="S5" s="8"/>
      <c r="T5" s="9"/>
      <c r="U5" s="8"/>
      <c r="V5" s="9"/>
    </row>
    <row r="6" spans="2:25" s="3" customFormat="1" ht="13.5" thickBot="1">
      <c r="B6" s="10" t="s">
        <v>32</v>
      </c>
      <c r="C6" s="114" t="s">
        <v>33</v>
      </c>
      <c r="D6" s="115" t="s">
        <v>34</v>
      </c>
      <c r="E6" s="108" t="s">
        <v>33</v>
      </c>
      <c r="F6" s="95" t="s">
        <v>34</v>
      </c>
      <c r="G6" s="114" t="s">
        <v>33</v>
      </c>
      <c r="H6" s="115" t="s">
        <v>34</v>
      </c>
      <c r="I6" s="188" t="s">
        <v>33</v>
      </c>
      <c r="J6" s="189" t="s">
        <v>34</v>
      </c>
      <c r="K6" s="114" t="s">
        <v>33</v>
      </c>
      <c r="L6" s="115" t="s">
        <v>34</v>
      </c>
      <c r="M6" s="112" t="s">
        <v>33</v>
      </c>
      <c r="N6" s="12" t="s">
        <v>34</v>
      </c>
      <c r="O6" s="114" t="s">
        <v>33</v>
      </c>
      <c r="P6" s="115" t="s">
        <v>34</v>
      </c>
      <c r="Q6" s="188" t="s">
        <v>33</v>
      </c>
      <c r="R6" s="189" t="s">
        <v>34</v>
      </c>
      <c r="S6" s="13" t="s">
        <v>35</v>
      </c>
      <c r="T6" s="14" t="s">
        <v>36</v>
      </c>
      <c r="U6" s="13" t="s">
        <v>35</v>
      </c>
      <c r="V6" s="14" t="s">
        <v>36</v>
      </c>
      <c r="X6" s="15"/>
      <c r="Y6" s="15"/>
    </row>
    <row r="7" spans="2:22" s="3" customFormat="1" ht="13.5" thickBot="1">
      <c r="B7" s="10" t="s">
        <v>37</v>
      </c>
      <c r="C7" s="116"/>
      <c r="D7" s="113"/>
      <c r="E7" s="111" t="s">
        <v>38</v>
      </c>
      <c r="F7" s="151" t="s">
        <v>39</v>
      </c>
      <c r="G7" s="116"/>
      <c r="H7" s="113"/>
      <c r="I7" s="190" t="s">
        <v>38</v>
      </c>
      <c r="J7" s="191" t="s">
        <v>39</v>
      </c>
      <c r="K7" s="116"/>
      <c r="L7" s="113"/>
      <c r="M7" s="112" t="s">
        <v>38</v>
      </c>
      <c r="N7" s="17" t="s">
        <v>39</v>
      </c>
      <c r="O7" s="116"/>
      <c r="P7" s="113"/>
      <c r="Q7" s="190" t="s">
        <v>38</v>
      </c>
      <c r="R7" s="191" t="s">
        <v>39</v>
      </c>
      <c r="S7" s="18" t="s">
        <v>40</v>
      </c>
      <c r="T7" s="19" t="s">
        <v>40</v>
      </c>
      <c r="U7" s="13" t="s">
        <v>38</v>
      </c>
      <c r="V7" s="14" t="s">
        <v>39</v>
      </c>
    </row>
    <row r="8" spans="2:22" s="3" customFormat="1" ht="13.5" thickBot="1">
      <c r="B8" s="20"/>
      <c r="C8" s="109" t="s">
        <v>41</v>
      </c>
      <c r="D8" s="68" t="s">
        <v>41</v>
      </c>
      <c r="E8" s="108" t="s">
        <v>41</v>
      </c>
      <c r="F8" s="95" t="s">
        <v>41</v>
      </c>
      <c r="G8" s="109" t="s">
        <v>41</v>
      </c>
      <c r="H8" s="68" t="s">
        <v>41</v>
      </c>
      <c r="I8" s="192" t="s">
        <v>41</v>
      </c>
      <c r="J8" s="193" t="s">
        <v>41</v>
      </c>
      <c r="K8" s="109" t="s">
        <v>41</v>
      </c>
      <c r="L8" s="68" t="s">
        <v>41</v>
      </c>
      <c r="M8" s="13" t="s">
        <v>41</v>
      </c>
      <c r="N8" s="21" t="s">
        <v>41</v>
      </c>
      <c r="O8" s="109" t="s">
        <v>41</v>
      </c>
      <c r="P8" s="68" t="s">
        <v>41</v>
      </c>
      <c r="Q8" s="192" t="s">
        <v>41</v>
      </c>
      <c r="R8" s="193" t="s">
        <v>41</v>
      </c>
      <c r="S8" s="23" t="s">
        <v>41</v>
      </c>
      <c r="T8" s="23" t="s">
        <v>41</v>
      </c>
      <c r="U8" s="23" t="s">
        <v>41</v>
      </c>
      <c r="V8" s="22" t="s">
        <v>41</v>
      </c>
    </row>
    <row r="9" spans="1:22" s="3" customFormat="1" ht="15">
      <c r="A9" s="3">
        <v>1</v>
      </c>
      <c r="B9" s="146">
        <v>43224</v>
      </c>
      <c r="C9" s="147">
        <v>0</v>
      </c>
      <c r="D9" s="147">
        <v>0</v>
      </c>
      <c r="E9" s="76">
        <f>+C9</f>
        <v>0</v>
      </c>
      <c r="F9" s="76">
        <f>+D9</f>
        <v>0</v>
      </c>
      <c r="G9" s="201"/>
      <c r="H9" s="201"/>
      <c r="I9" s="76"/>
      <c r="J9" s="76"/>
      <c r="K9" s="130">
        <v>23627</v>
      </c>
      <c r="L9" s="122">
        <v>1653</v>
      </c>
      <c r="M9" s="24">
        <f>+K9</f>
        <v>23627</v>
      </c>
      <c r="N9" s="24">
        <f>+L9</f>
        <v>1653</v>
      </c>
      <c r="O9" s="24"/>
      <c r="P9" s="24"/>
      <c r="Q9" s="24"/>
      <c r="R9" s="24"/>
      <c r="S9" s="24">
        <f aca="true" t="shared" si="0" ref="S9:S27">C9+D9</f>
        <v>0</v>
      </c>
      <c r="T9" s="24">
        <f>K9+L9</f>
        <v>25280</v>
      </c>
      <c r="U9" s="24">
        <f aca="true" t="shared" si="1" ref="U9:U40">E9+F9</f>
        <v>0</v>
      </c>
      <c r="V9" s="24">
        <f aca="true" t="shared" si="2" ref="V9:V60">M9+N9</f>
        <v>25280</v>
      </c>
    </row>
    <row r="10" spans="1:22" s="3" customFormat="1" ht="15">
      <c r="A10" s="3">
        <f>A9+1</f>
        <v>2</v>
      </c>
      <c r="B10" s="146">
        <v>43231</v>
      </c>
      <c r="C10" s="147">
        <v>0</v>
      </c>
      <c r="D10" s="147">
        <v>0</v>
      </c>
      <c r="E10" s="77">
        <f aca="true" t="shared" si="3" ref="E10:E41">E9+C10</f>
        <v>0</v>
      </c>
      <c r="F10" s="77">
        <f aca="true" t="shared" si="4" ref="F10:F41">F9+D10</f>
        <v>0</v>
      </c>
      <c r="G10" s="202"/>
      <c r="H10" s="202"/>
      <c r="I10" s="77"/>
      <c r="J10" s="77"/>
      <c r="K10" s="130">
        <v>11627</v>
      </c>
      <c r="L10" s="122">
        <v>3612</v>
      </c>
      <c r="M10" s="25">
        <f>M9+K10</f>
        <v>35254</v>
      </c>
      <c r="N10" s="25">
        <f>N9+L10</f>
        <v>5265</v>
      </c>
      <c r="O10" s="25"/>
      <c r="P10" s="25"/>
      <c r="Q10" s="25"/>
      <c r="R10" s="25"/>
      <c r="S10" s="25">
        <f t="shared" si="0"/>
        <v>0</v>
      </c>
      <c r="T10" s="25">
        <f aca="true" t="shared" si="5" ref="T10:T60">K10+L10</f>
        <v>15239</v>
      </c>
      <c r="U10" s="25">
        <f t="shared" si="1"/>
        <v>0</v>
      </c>
      <c r="V10" s="25">
        <f t="shared" si="2"/>
        <v>40519</v>
      </c>
    </row>
    <row r="11" spans="1:22" ht="15">
      <c r="A11" s="3">
        <f aca="true" t="shared" si="6" ref="A11:A60">A10+1</f>
        <v>3</v>
      </c>
      <c r="B11" s="146">
        <v>43238</v>
      </c>
      <c r="C11" s="147">
        <v>0</v>
      </c>
      <c r="D11" s="147">
        <v>0</v>
      </c>
      <c r="E11" s="77">
        <f t="shared" si="3"/>
        <v>0</v>
      </c>
      <c r="F11" s="77">
        <f t="shared" si="4"/>
        <v>0</v>
      </c>
      <c r="G11" s="202"/>
      <c r="H11" s="202"/>
      <c r="I11" s="77"/>
      <c r="J11" s="77"/>
      <c r="K11" s="130">
        <v>7803</v>
      </c>
      <c r="L11" s="122">
        <v>57217</v>
      </c>
      <c r="M11" s="25">
        <f aca="true" t="shared" si="7" ref="M11:M26">M10+K11</f>
        <v>43057</v>
      </c>
      <c r="N11" s="25">
        <f aca="true" t="shared" si="8" ref="N11:N46">N10+L11</f>
        <v>62482</v>
      </c>
      <c r="O11" s="25"/>
      <c r="P11" s="25"/>
      <c r="Q11" s="25"/>
      <c r="R11" s="25"/>
      <c r="S11" s="25">
        <f t="shared" si="0"/>
        <v>0</v>
      </c>
      <c r="T11" s="25">
        <f t="shared" si="5"/>
        <v>65020</v>
      </c>
      <c r="U11" s="25">
        <f t="shared" si="1"/>
        <v>0</v>
      </c>
      <c r="V11" s="25">
        <f t="shared" si="2"/>
        <v>105539</v>
      </c>
    </row>
    <row r="12" spans="1:22" ht="15">
      <c r="A12" s="3">
        <f t="shared" si="6"/>
        <v>4</v>
      </c>
      <c r="B12" s="146">
        <v>43245</v>
      </c>
      <c r="C12" s="147">
        <v>0</v>
      </c>
      <c r="D12" s="147">
        <v>0</v>
      </c>
      <c r="E12" s="77">
        <f t="shared" si="3"/>
        <v>0</v>
      </c>
      <c r="F12" s="77">
        <f t="shared" si="4"/>
        <v>0</v>
      </c>
      <c r="G12" s="202"/>
      <c r="H12" s="202"/>
      <c r="I12" s="77"/>
      <c r="J12" s="77"/>
      <c r="K12" s="130">
        <v>10083</v>
      </c>
      <c r="L12" s="122">
        <v>72705</v>
      </c>
      <c r="M12" s="25">
        <f t="shared" si="7"/>
        <v>53140</v>
      </c>
      <c r="N12" s="25">
        <f t="shared" si="8"/>
        <v>135187</v>
      </c>
      <c r="O12" s="25"/>
      <c r="P12" s="25"/>
      <c r="Q12" s="25"/>
      <c r="R12" s="25"/>
      <c r="S12" s="25">
        <f t="shared" si="0"/>
        <v>0</v>
      </c>
      <c r="T12" s="25">
        <f t="shared" si="5"/>
        <v>82788</v>
      </c>
      <c r="U12" s="25">
        <f t="shared" si="1"/>
        <v>0</v>
      </c>
      <c r="V12" s="25">
        <f t="shared" si="2"/>
        <v>188327</v>
      </c>
    </row>
    <row r="13" spans="1:22" ht="15">
      <c r="A13" s="3">
        <f t="shared" si="6"/>
        <v>5</v>
      </c>
      <c r="B13" s="146">
        <v>43252</v>
      </c>
      <c r="C13" s="147">
        <v>0</v>
      </c>
      <c r="D13" s="147">
        <v>0</v>
      </c>
      <c r="E13" s="77">
        <f t="shared" si="3"/>
        <v>0</v>
      </c>
      <c r="F13" s="77">
        <f t="shared" si="4"/>
        <v>0</v>
      </c>
      <c r="G13" s="202"/>
      <c r="H13" s="202"/>
      <c r="I13" s="77"/>
      <c r="J13" s="77"/>
      <c r="K13" s="130">
        <v>6102</v>
      </c>
      <c r="L13" s="122">
        <v>95487</v>
      </c>
      <c r="M13" s="25">
        <f t="shared" si="7"/>
        <v>59242</v>
      </c>
      <c r="N13" s="25">
        <f t="shared" si="8"/>
        <v>230674</v>
      </c>
      <c r="O13" s="25"/>
      <c r="P13" s="25"/>
      <c r="Q13" s="25"/>
      <c r="R13" s="25"/>
      <c r="S13" s="25">
        <f t="shared" si="0"/>
        <v>0</v>
      </c>
      <c r="T13" s="25">
        <f t="shared" si="5"/>
        <v>101589</v>
      </c>
      <c r="U13" s="25">
        <f t="shared" si="1"/>
        <v>0</v>
      </c>
      <c r="V13" s="25">
        <f t="shared" si="2"/>
        <v>289916</v>
      </c>
    </row>
    <row r="14" spans="1:22" ht="15">
      <c r="A14" s="3">
        <f t="shared" si="6"/>
        <v>6</v>
      </c>
      <c r="B14" s="146">
        <v>43259</v>
      </c>
      <c r="C14" s="147">
        <v>0</v>
      </c>
      <c r="D14" s="147">
        <v>0</v>
      </c>
      <c r="E14" s="77">
        <f t="shared" si="3"/>
        <v>0</v>
      </c>
      <c r="F14" s="77">
        <f t="shared" si="4"/>
        <v>0</v>
      </c>
      <c r="G14" s="202"/>
      <c r="H14" s="202"/>
      <c r="I14" s="77"/>
      <c r="J14" s="77"/>
      <c r="K14" s="130">
        <v>6503</v>
      </c>
      <c r="L14" s="122">
        <v>21577</v>
      </c>
      <c r="M14" s="25">
        <f t="shared" si="7"/>
        <v>65745</v>
      </c>
      <c r="N14" s="25">
        <f t="shared" si="8"/>
        <v>252251</v>
      </c>
      <c r="O14" s="25"/>
      <c r="P14" s="25"/>
      <c r="Q14" s="25"/>
      <c r="R14" s="25"/>
      <c r="S14" s="25">
        <f t="shared" si="0"/>
        <v>0</v>
      </c>
      <c r="T14" s="25">
        <f t="shared" si="5"/>
        <v>28080</v>
      </c>
      <c r="U14" s="25">
        <f t="shared" si="1"/>
        <v>0</v>
      </c>
      <c r="V14" s="25">
        <f t="shared" si="2"/>
        <v>317996</v>
      </c>
    </row>
    <row r="15" spans="1:22" ht="15">
      <c r="A15" s="3">
        <f t="shared" si="6"/>
        <v>7</v>
      </c>
      <c r="B15" s="146">
        <v>43266</v>
      </c>
      <c r="C15" s="147">
        <v>0</v>
      </c>
      <c r="D15" s="147">
        <v>0</v>
      </c>
      <c r="E15" s="77">
        <f t="shared" si="3"/>
        <v>0</v>
      </c>
      <c r="F15" s="77">
        <f t="shared" si="4"/>
        <v>0</v>
      </c>
      <c r="G15" s="202"/>
      <c r="H15" s="202"/>
      <c r="I15" s="77"/>
      <c r="J15" s="77"/>
      <c r="K15" s="130">
        <v>5697</v>
      </c>
      <c r="L15" s="122">
        <v>80499</v>
      </c>
      <c r="M15" s="25">
        <f t="shared" si="7"/>
        <v>71442</v>
      </c>
      <c r="N15" s="25">
        <f t="shared" si="8"/>
        <v>332750</v>
      </c>
      <c r="O15" s="25"/>
      <c r="P15" s="25"/>
      <c r="Q15" s="25"/>
      <c r="R15" s="25"/>
      <c r="S15" s="25">
        <f t="shared" si="0"/>
        <v>0</v>
      </c>
      <c r="T15" s="25">
        <f t="shared" si="5"/>
        <v>86196</v>
      </c>
      <c r="U15" s="25">
        <f t="shared" si="1"/>
        <v>0</v>
      </c>
      <c r="V15" s="25">
        <f t="shared" si="2"/>
        <v>404192</v>
      </c>
    </row>
    <row r="16" spans="1:22" ht="15">
      <c r="A16" s="3">
        <f t="shared" si="6"/>
        <v>8</v>
      </c>
      <c r="B16" s="146">
        <v>43273</v>
      </c>
      <c r="C16" s="147">
        <v>0</v>
      </c>
      <c r="D16" s="147">
        <v>0</v>
      </c>
      <c r="E16" s="77">
        <f t="shared" si="3"/>
        <v>0</v>
      </c>
      <c r="F16" s="77">
        <f t="shared" si="4"/>
        <v>0</v>
      </c>
      <c r="G16" s="202"/>
      <c r="H16" s="202"/>
      <c r="I16" s="77"/>
      <c r="J16" s="77"/>
      <c r="K16" s="130">
        <v>7252</v>
      </c>
      <c r="L16" s="122">
        <v>67905</v>
      </c>
      <c r="M16" s="25">
        <f t="shared" si="7"/>
        <v>78694</v>
      </c>
      <c r="N16" s="25">
        <f t="shared" si="8"/>
        <v>400655</v>
      </c>
      <c r="O16" s="25"/>
      <c r="P16" s="25"/>
      <c r="Q16" s="25"/>
      <c r="R16" s="25"/>
      <c r="S16" s="25">
        <f t="shared" si="0"/>
        <v>0</v>
      </c>
      <c r="T16" s="25">
        <f t="shared" si="5"/>
        <v>75157</v>
      </c>
      <c r="U16" s="25">
        <f t="shared" si="1"/>
        <v>0</v>
      </c>
      <c r="V16" s="25">
        <f t="shared" si="2"/>
        <v>479349</v>
      </c>
    </row>
    <row r="17" spans="1:22" ht="15">
      <c r="A17" s="3">
        <f t="shared" si="6"/>
        <v>9</v>
      </c>
      <c r="B17" s="146">
        <v>43280</v>
      </c>
      <c r="C17" s="147">
        <v>0</v>
      </c>
      <c r="D17" s="147">
        <v>0</v>
      </c>
      <c r="E17" s="77">
        <f t="shared" si="3"/>
        <v>0</v>
      </c>
      <c r="F17" s="77">
        <f t="shared" si="4"/>
        <v>0</v>
      </c>
      <c r="G17" s="202">
        <v>0</v>
      </c>
      <c r="H17" s="202">
        <v>0</v>
      </c>
      <c r="I17" s="77">
        <f>G17</f>
        <v>0</v>
      </c>
      <c r="J17" s="77">
        <f>H17</f>
        <v>0</v>
      </c>
      <c r="K17" s="130">
        <v>9042</v>
      </c>
      <c r="L17" s="122">
        <v>58646</v>
      </c>
      <c r="M17" s="25">
        <f t="shared" si="7"/>
        <v>87736</v>
      </c>
      <c r="N17" s="25">
        <f t="shared" si="8"/>
        <v>459301</v>
      </c>
      <c r="O17" s="195"/>
      <c r="P17" s="195"/>
      <c r="Q17" s="25">
        <f>O17</f>
        <v>0</v>
      </c>
      <c r="R17" s="25">
        <f>P17</f>
        <v>0</v>
      </c>
      <c r="S17" s="25">
        <f t="shared" si="0"/>
        <v>0</v>
      </c>
      <c r="T17" s="25">
        <f t="shared" si="5"/>
        <v>67688</v>
      </c>
      <c r="U17" s="25">
        <f t="shared" si="1"/>
        <v>0</v>
      </c>
      <c r="V17" s="25">
        <f t="shared" si="2"/>
        <v>547037</v>
      </c>
    </row>
    <row r="18" spans="1:22" ht="15">
      <c r="A18" s="3">
        <f t="shared" si="6"/>
        <v>10</v>
      </c>
      <c r="B18" s="146">
        <v>43287</v>
      </c>
      <c r="C18" s="147">
        <v>0</v>
      </c>
      <c r="D18" s="147">
        <v>0</v>
      </c>
      <c r="E18" s="77">
        <f t="shared" si="3"/>
        <v>0</v>
      </c>
      <c r="F18" s="77">
        <f t="shared" si="4"/>
        <v>0</v>
      </c>
      <c r="G18" s="202">
        <v>0</v>
      </c>
      <c r="H18" s="202">
        <v>0</v>
      </c>
      <c r="I18" s="77">
        <f>I17+G18</f>
        <v>0</v>
      </c>
      <c r="J18" s="77">
        <f>J17+H18</f>
        <v>0</v>
      </c>
      <c r="K18" s="130">
        <v>6026</v>
      </c>
      <c r="L18" s="122">
        <v>116344</v>
      </c>
      <c r="M18" s="25">
        <f t="shared" si="7"/>
        <v>93762</v>
      </c>
      <c r="N18" s="25">
        <f t="shared" si="8"/>
        <v>575645</v>
      </c>
      <c r="O18" s="195"/>
      <c r="P18" s="195"/>
      <c r="Q18" s="25">
        <f>Q17+O18</f>
        <v>0</v>
      </c>
      <c r="R18" s="25">
        <f>R17+P18</f>
        <v>0</v>
      </c>
      <c r="S18" s="25">
        <f t="shared" si="0"/>
        <v>0</v>
      </c>
      <c r="T18" s="25">
        <f t="shared" si="5"/>
        <v>122370</v>
      </c>
      <c r="U18" s="25">
        <f t="shared" si="1"/>
        <v>0</v>
      </c>
      <c r="V18" s="25">
        <f t="shared" si="2"/>
        <v>669407</v>
      </c>
    </row>
    <row r="19" spans="1:22" ht="15">
      <c r="A19" s="3">
        <f t="shared" si="6"/>
        <v>11</v>
      </c>
      <c r="B19" s="146">
        <v>43294</v>
      </c>
      <c r="C19" s="147">
        <v>0</v>
      </c>
      <c r="D19" s="147">
        <v>0</v>
      </c>
      <c r="E19" s="77">
        <f t="shared" si="3"/>
        <v>0</v>
      </c>
      <c r="F19" s="77">
        <f t="shared" si="4"/>
        <v>0</v>
      </c>
      <c r="G19" s="202">
        <v>0</v>
      </c>
      <c r="H19" s="202">
        <v>0</v>
      </c>
      <c r="I19" s="77">
        <f aca="true" t="shared" si="9" ref="I19:I26">I18+G19</f>
        <v>0</v>
      </c>
      <c r="J19" s="77">
        <f aca="true" t="shared" si="10" ref="J19:J26">J18+H19</f>
        <v>0</v>
      </c>
      <c r="K19" s="130">
        <v>5316</v>
      </c>
      <c r="L19" s="122">
        <v>89717</v>
      </c>
      <c r="M19" s="25">
        <f t="shared" si="7"/>
        <v>99078</v>
      </c>
      <c r="N19" s="25">
        <f t="shared" si="8"/>
        <v>665362</v>
      </c>
      <c r="O19" s="195"/>
      <c r="P19" s="195"/>
      <c r="Q19" s="25">
        <f aca="true" t="shared" si="11" ref="Q19:Q26">Q18+O19</f>
        <v>0</v>
      </c>
      <c r="R19" s="25">
        <f aca="true" t="shared" si="12" ref="R19:R26">R18+P19</f>
        <v>0</v>
      </c>
      <c r="S19" s="25">
        <f t="shared" si="0"/>
        <v>0</v>
      </c>
      <c r="T19" s="25">
        <f t="shared" si="5"/>
        <v>95033</v>
      </c>
      <c r="U19" s="25">
        <f t="shared" si="1"/>
        <v>0</v>
      </c>
      <c r="V19" s="25">
        <f t="shared" si="2"/>
        <v>764440</v>
      </c>
    </row>
    <row r="20" spans="1:22" ht="15">
      <c r="A20" s="3">
        <f t="shared" si="6"/>
        <v>12</v>
      </c>
      <c r="B20" s="146">
        <v>43301</v>
      </c>
      <c r="C20" s="147">
        <v>0</v>
      </c>
      <c r="D20" s="147">
        <v>0</v>
      </c>
      <c r="E20" s="77">
        <f t="shared" si="3"/>
        <v>0</v>
      </c>
      <c r="F20" s="77">
        <f t="shared" si="4"/>
        <v>0</v>
      </c>
      <c r="G20" s="202">
        <v>0</v>
      </c>
      <c r="H20" s="202">
        <v>0</v>
      </c>
      <c r="I20" s="77">
        <f t="shared" si="9"/>
        <v>0</v>
      </c>
      <c r="J20" s="77">
        <f t="shared" si="10"/>
        <v>0</v>
      </c>
      <c r="K20" s="130">
        <v>5148</v>
      </c>
      <c r="L20" s="122">
        <v>68967</v>
      </c>
      <c r="M20" s="25">
        <f t="shared" si="7"/>
        <v>104226</v>
      </c>
      <c r="N20" s="25">
        <f t="shared" si="8"/>
        <v>734329</v>
      </c>
      <c r="O20" s="195"/>
      <c r="P20" s="195"/>
      <c r="Q20" s="25">
        <f t="shared" si="11"/>
        <v>0</v>
      </c>
      <c r="R20" s="25">
        <f t="shared" si="12"/>
        <v>0</v>
      </c>
      <c r="S20" s="25">
        <f t="shared" si="0"/>
        <v>0</v>
      </c>
      <c r="T20" s="25">
        <f t="shared" si="5"/>
        <v>74115</v>
      </c>
      <c r="U20" s="25">
        <f t="shared" si="1"/>
        <v>0</v>
      </c>
      <c r="V20" s="25">
        <f t="shared" si="2"/>
        <v>838555</v>
      </c>
    </row>
    <row r="21" spans="1:22" ht="15">
      <c r="A21" s="3">
        <f t="shared" si="6"/>
        <v>13</v>
      </c>
      <c r="B21" s="146">
        <v>43308</v>
      </c>
      <c r="C21" s="147">
        <v>0</v>
      </c>
      <c r="D21" s="147">
        <v>0</v>
      </c>
      <c r="E21" s="77">
        <f t="shared" si="3"/>
        <v>0</v>
      </c>
      <c r="F21" s="77">
        <f t="shared" si="4"/>
        <v>0</v>
      </c>
      <c r="G21" s="202">
        <v>0</v>
      </c>
      <c r="H21" s="202">
        <v>0</v>
      </c>
      <c r="I21" s="77">
        <f t="shared" si="9"/>
        <v>0</v>
      </c>
      <c r="J21" s="77">
        <f t="shared" si="10"/>
        <v>0</v>
      </c>
      <c r="K21" s="130">
        <v>8211</v>
      </c>
      <c r="L21" s="122">
        <v>123778</v>
      </c>
      <c r="M21" s="25">
        <f t="shared" si="7"/>
        <v>112437</v>
      </c>
      <c r="N21" s="25">
        <f t="shared" si="8"/>
        <v>858107</v>
      </c>
      <c r="O21" s="195"/>
      <c r="P21" s="195"/>
      <c r="Q21" s="25">
        <f t="shared" si="11"/>
        <v>0</v>
      </c>
      <c r="R21" s="25">
        <f t="shared" si="12"/>
        <v>0</v>
      </c>
      <c r="S21" s="25">
        <f t="shared" si="0"/>
        <v>0</v>
      </c>
      <c r="T21" s="25">
        <f t="shared" si="5"/>
        <v>131989</v>
      </c>
      <c r="U21" s="25">
        <f t="shared" si="1"/>
        <v>0</v>
      </c>
      <c r="V21" s="25">
        <f t="shared" si="2"/>
        <v>970544</v>
      </c>
    </row>
    <row r="22" spans="1:22" ht="15">
      <c r="A22" s="3">
        <f t="shared" si="6"/>
        <v>14</v>
      </c>
      <c r="B22" s="146">
        <v>43315</v>
      </c>
      <c r="C22" s="147">
        <v>0</v>
      </c>
      <c r="D22" s="147">
        <v>0</v>
      </c>
      <c r="E22" s="77">
        <f t="shared" si="3"/>
        <v>0</v>
      </c>
      <c r="F22" s="77">
        <f t="shared" si="4"/>
        <v>0</v>
      </c>
      <c r="G22" s="202">
        <v>0</v>
      </c>
      <c r="H22" s="202">
        <v>0</v>
      </c>
      <c r="I22" s="77">
        <f t="shared" si="9"/>
        <v>0</v>
      </c>
      <c r="J22" s="77">
        <f t="shared" si="10"/>
        <v>0</v>
      </c>
      <c r="K22" s="130">
        <v>3894</v>
      </c>
      <c r="L22" s="122">
        <v>60753</v>
      </c>
      <c r="M22" s="25">
        <f t="shared" si="7"/>
        <v>116331</v>
      </c>
      <c r="N22" s="25">
        <f t="shared" si="8"/>
        <v>918860</v>
      </c>
      <c r="O22" s="195"/>
      <c r="P22" s="195"/>
      <c r="Q22" s="25">
        <f t="shared" si="11"/>
        <v>0</v>
      </c>
      <c r="R22" s="25">
        <f t="shared" si="12"/>
        <v>0</v>
      </c>
      <c r="S22" s="25">
        <f t="shared" si="0"/>
        <v>0</v>
      </c>
      <c r="T22" s="25">
        <f t="shared" si="5"/>
        <v>64647</v>
      </c>
      <c r="U22" s="25">
        <f t="shared" si="1"/>
        <v>0</v>
      </c>
      <c r="V22" s="25">
        <f t="shared" si="2"/>
        <v>1035191</v>
      </c>
    </row>
    <row r="23" spans="1:22" ht="15">
      <c r="A23" s="3">
        <f t="shared" si="6"/>
        <v>15</v>
      </c>
      <c r="B23" s="146">
        <v>43322</v>
      </c>
      <c r="C23" s="147">
        <v>0</v>
      </c>
      <c r="D23" s="147">
        <v>0</v>
      </c>
      <c r="E23" s="77">
        <f t="shared" si="3"/>
        <v>0</v>
      </c>
      <c r="F23" s="77">
        <f t="shared" si="4"/>
        <v>0</v>
      </c>
      <c r="G23" s="202">
        <v>0</v>
      </c>
      <c r="H23" s="202">
        <v>0</v>
      </c>
      <c r="I23" s="77">
        <f t="shared" si="9"/>
        <v>0</v>
      </c>
      <c r="J23" s="77">
        <f t="shared" si="10"/>
        <v>0</v>
      </c>
      <c r="K23" s="130">
        <v>5498</v>
      </c>
      <c r="L23" s="122">
        <v>30070</v>
      </c>
      <c r="M23" s="25">
        <f t="shared" si="7"/>
        <v>121829</v>
      </c>
      <c r="N23" s="25">
        <f t="shared" si="8"/>
        <v>948930</v>
      </c>
      <c r="O23" s="195"/>
      <c r="P23" s="195"/>
      <c r="Q23" s="25">
        <f t="shared" si="11"/>
        <v>0</v>
      </c>
      <c r="R23" s="25">
        <f t="shared" si="12"/>
        <v>0</v>
      </c>
      <c r="S23" s="25">
        <f t="shared" si="0"/>
        <v>0</v>
      </c>
      <c r="T23" s="25">
        <f t="shared" si="5"/>
        <v>35568</v>
      </c>
      <c r="U23" s="25">
        <f t="shared" si="1"/>
        <v>0</v>
      </c>
      <c r="V23" s="25">
        <f t="shared" si="2"/>
        <v>1070759</v>
      </c>
    </row>
    <row r="24" spans="1:22" ht="15">
      <c r="A24" s="3">
        <f t="shared" si="6"/>
        <v>16</v>
      </c>
      <c r="B24" s="146">
        <v>43329</v>
      </c>
      <c r="C24" s="147">
        <v>0</v>
      </c>
      <c r="D24" s="147">
        <v>0</v>
      </c>
      <c r="E24" s="77">
        <f t="shared" si="3"/>
        <v>0</v>
      </c>
      <c r="F24" s="77">
        <f t="shared" si="4"/>
        <v>0</v>
      </c>
      <c r="G24" s="202">
        <v>0</v>
      </c>
      <c r="H24" s="202">
        <v>0</v>
      </c>
      <c r="I24" s="77">
        <f t="shared" si="9"/>
        <v>0</v>
      </c>
      <c r="J24" s="77">
        <f t="shared" si="10"/>
        <v>0</v>
      </c>
      <c r="K24" s="130">
        <v>5252</v>
      </c>
      <c r="L24" s="122">
        <v>51967</v>
      </c>
      <c r="M24" s="25">
        <f t="shared" si="7"/>
        <v>127081</v>
      </c>
      <c r="N24" s="25">
        <f t="shared" si="8"/>
        <v>1000897</v>
      </c>
      <c r="O24" s="195"/>
      <c r="P24" s="195"/>
      <c r="Q24" s="25">
        <f t="shared" si="11"/>
        <v>0</v>
      </c>
      <c r="R24" s="25">
        <f t="shared" si="12"/>
        <v>0</v>
      </c>
      <c r="S24" s="25">
        <f t="shared" si="0"/>
        <v>0</v>
      </c>
      <c r="T24" s="25">
        <f t="shared" si="5"/>
        <v>57219</v>
      </c>
      <c r="U24" s="25">
        <f t="shared" si="1"/>
        <v>0</v>
      </c>
      <c r="V24" s="25">
        <f t="shared" si="2"/>
        <v>1127978</v>
      </c>
    </row>
    <row r="25" spans="1:22" ht="15">
      <c r="A25" s="3">
        <f t="shared" si="6"/>
        <v>17</v>
      </c>
      <c r="B25" s="146">
        <v>43336</v>
      </c>
      <c r="C25" s="147">
        <v>0</v>
      </c>
      <c r="D25" s="147">
        <v>0</v>
      </c>
      <c r="E25" s="77">
        <f t="shared" si="3"/>
        <v>0</v>
      </c>
      <c r="F25" s="77">
        <f t="shared" si="4"/>
        <v>0</v>
      </c>
      <c r="G25" s="202">
        <v>0</v>
      </c>
      <c r="H25" s="202">
        <v>0</v>
      </c>
      <c r="I25" s="77">
        <f t="shared" si="9"/>
        <v>0</v>
      </c>
      <c r="J25" s="77">
        <f t="shared" si="10"/>
        <v>0</v>
      </c>
      <c r="K25" s="130">
        <v>7156</v>
      </c>
      <c r="L25" s="122">
        <v>54884</v>
      </c>
      <c r="M25" s="25">
        <f t="shared" si="7"/>
        <v>134237</v>
      </c>
      <c r="N25" s="25">
        <f t="shared" si="8"/>
        <v>1055781</v>
      </c>
      <c r="O25" s="195"/>
      <c r="P25" s="195"/>
      <c r="Q25" s="25">
        <f t="shared" si="11"/>
        <v>0</v>
      </c>
      <c r="R25" s="25">
        <f t="shared" si="12"/>
        <v>0</v>
      </c>
      <c r="S25" s="25">
        <f t="shared" si="0"/>
        <v>0</v>
      </c>
      <c r="T25" s="25">
        <f t="shared" si="5"/>
        <v>62040</v>
      </c>
      <c r="U25" s="25">
        <f t="shared" si="1"/>
        <v>0</v>
      </c>
      <c r="V25" s="25">
        <f t="shared" si="2"/>
        <v>1190018</v>
      </c>
    </row>
    <row r="26" spans="1:22" ht="15">
      <c r="A26" s="3">
        <f t="shared" si="6"/>
        <v>18</v>
      </c>
      <c r="B26" s="146">
        <v>43343</v>
      </c>
      <c r="C26" s="147">
        <v>0</v>
      </c>
      <c r="D26" s="147">
        <v>0</v>
      </c>
      <c r="E26" s="77">
        <f t="shared" si="3"/>
        <v>0</v>
      </c>
      <c r="F26" s="77">
        <f t="shared" si="4"/>
        <v>0</v>
      </c>
      <c r="G26" s="202">
        <v>0</v>
      </c>
      <c r="H26" s="202">
        <v>0</v>
      </c>
      <c r="I26" s="77">
        <f t="shared" si="9"/>
        <v>0</v>
      </c>
      <c r="J26" s="77">
        <f t="shared" si="10"/>
        <v>0</v>
      </c>
      <c r="K26" s="130">
        <v>5631</v>
      </c>
      <c r="L26" s="122">
        <v>11844</v>
      </c>
      <c r="M26" s="25">
        <f t="shared" si="7"/>
        <v>139868</v>
      </c>
      <c r="N26" s="25">
        <f t="shared" si="8"/>
        <v>1067625</v>
      </c>
      <c r="O26" s="195"/>
      <c r="P26" s="195"/>
      <c r="Q26" s="25">
        <f t="shared" si="11"/>
        <v>0</v>
      </c>
      <c r="R26" s="25">
        <f t="shared" si="12"/>
        <v>0</v>
      </c>
      <c r="S26" s="25">
        <f t="shared" si="0"/>
        <v>0</v>
      </c>
      <c r="T26" s="25">
        <f t="shared" si="5"/>
        <v>17475</v>
      </c>
      <c r="U26" s="25">
        <f t="shared" si="1"/>
        <v>0</v>
      </c>
      <c r="V26" s="25">
        <f t="shared" si="2"/>
        <v>1207493</v>
      </c>
    </row>
    <row r="27" spans="1:22" ht="15">
      <c r="A27" s="3">
        <f t="shared" si="6"/>
        <v>19</v>
      </c>
      <c r="B27" s="146">
        <v>43350</v>
      </c>
      <c r="C27" s="147">
        <v>0</v>
      </c>
      <c r="D27" s="147">
        <v>0</v>
      </c>
      <c r="E27" s="77">
        <f t="shared" si="3"/>
        <v>0</v>
      </c>
      <c r="F27" s="77">
        <f t="shared" si="4"/>
        <v>0</v>
      </c>
      <c r="G27" s="202">
        <v>0</v>
      </c>
      <c r="H27" s="202">
        <v>0</v>
      </c>
      <c r="I27" s="77">
        <f aca="true" t="shared" si="13" ref="I27:J29">I26+G27</f>
        <v>0</v>
      </c>
      <c r="J27" s="77">
        <f t="shared" si="13"/>
        <v>0</v>
      </c>
      <c r="K27" s="130">
        <v>4623</v>
      </c>
      <c r="L27" s="122">
        <v>3570</v>
      </c>
      <c r="M27" s="25">
        <f aca="true" t="shared" si="14" ref="M27:M42">M26+K27</f>
        <v>144491</v>
      </c>
      <c r="N27" s="25">
        <f t="shared" si="8"/>
        <v>1071195</v>
      </c>
      <c r="O27" s="195"/>
      <c r="P27" s="195"/>
      <c r="Q27" s="25">
        <f aca="true" t="shared" si="15" ref="Q27:R29">Q26+O27</f>
        <v>0</v>
      </c>
      <c r="R27" s="25">
        <f t="shared" si="15"/>
        <v>0</v>
      </c>
      <c r="S27" s="25">
        <f t="shared" si="0"/>
        <v>0</v>
      </c>
      <c r="T27" s="25">
        <f t="shared" si="5"/>
        <v>8193</v>
      </c>
      <c r="U27" s="25">
        <f t="shared" si="1"/>
        <v>0</v>
      </c>
      <c r="V27" s="25">
        <f t="shared" si="2"/>
        <v>1215686</v>
      </c>
    </row>
    <row r="28" spans="1:22" ht="15">
      <c r="A28" s="3">
        <f t="shared" si="6"/>
        <v>20</v>
      </c>
      <c r="B28" s="146">
        <v>43357</v>
      </c>
      <c r="C28" s="147">
        <v>0</v>
      </c>
      <c r="D28" s="147">
        <v>0</v>
      </c>
      <c r="E28" s="77">
        <f t="shared" si="3"/>
        <v>0</v>
      </c>
      <c r="F28" s="77">
        <f t="shared" si="4"/>
        <v>0</v>
      </c>
      <c r="G28" s="202">
        <v>0</v>
      </c>
      <c r="H28" s="202">
        <v>0</v>
      </c>
      <c r="I28" s="77">
        <f t="shared" si="13"/>
        <v>0</v>
      </c>
      <c r="J28" s="77">
        <f t="shared" si="13"/>
        <v>0</v>
      </c>
      <c r="K28" s="130">
        <v>4899</v>
      </c>
      <c r="L28" s="122">
        <v>21036</v>
      </c>
      <c r="M28" s="25">
        <f t="shared" si="14"/>
        <v>149390</v>
      </c>
      <c r="N28" s="25">
        <f t="shared" si="8"/>
        <v>1092231</v>
      </c>
      <c r="O28" s="195"/>
      <c r="P28" s="195"/>
      <c r="Q28" s="25">
        <f t="shared" si="15"/>
        <v>0</v>
      </c>
      <c r="R28" s="25">
        <f t="shared" si="15"/>
        <v>0</v>
      </c>
      <c r="S28" s="25" t="s">
        <v>99</v>
      </c>
      <c r="T28" s="25">
        <f t="shared" si="5"/>
        <v>25935</v>
      </c>
      <c r="U28" s="25">
        <f t="shared" si="1"/>
        <v>0</v>
      </c>
      <c r="V28" s="25">
        <f t="shared" si="2"/>
        <v>1241621</v>
      </c>
    </row>
    <row r="29" spans="1:22" ht="15">
      <c r="A29" s="3">
        <f t="shared" si="6"/>
        <v>21</v>
      </c>
      <c r="B29" s="146">
        <v>43364</v>
      </c>
      <c r="C29" s="147">
        <v>0</v>
      </c>
      <c r="D29" s="147">
        <v>0</v>
      </c>
      <c r="E29" s="77">
        <f t="shared" si="3"/>
        <v>0</v>
      </c>
      <c r="F29" s="77">
        <f t="shared" si="4"/>
        <v>0</v>
      </c>
      <c r="G29" s="202">
        <v>0</v>
      </c>
      <c r="H29" s="202">
        <v>0</v>
      </c>
      <c r="I29" s="77">
        <f t="shared" si="13"/>
        <v>0</v>
      </c>
      <c r="J29" s="77">
        <f t="shared" si="13"/>
        <v>0</v>
      </c>
      <c r="K29" s="198">
        <v>6829</v>
      </c>
      <c r="L29" s="124">
        <v>80610</v>
      </c>
      <c r="M29" s="25">
        <f t="shared" si="14"/>
        <v>156219</v>
      </c>
      <c r="N29" s="25">
        <f t="shared" si="8"/>
        <v>1172841</v>
      </c>
      <c r="O29" s="195"/>
      <c r="P29" s="195"/>
      <c r="Q29" s="25">
        <f t="shared" si="15"/>
        <v>0</v>
      </c>
      <c r="R29" s="25">
        <f t="shared" si="15"/>
        <v>0</v>
      </c>
      <c r="S29" s="25">
        <f aca="true" t="shared" si="16" ref="S29:S60">C29+D29</f>
        <v>0</v>
      </c>
      <c r="T29" s="25">
        <f t="shared" si="5"/>
        <v>87439</v>
      </c>
      <c r="U29" s="25">
        <f t="shared" si="1"/>
        <v>0</v>
      </c>
      <c r="V29" s="25">
        <f t="shared" si="2"/>
        <v>1329060</v>
      </c>
    </row>
    <row r="30" spans="1:22" ht="15">
      <c r="A30" s="3">
        <f t="shared" si="6"/>
        <v>22</v>
      </c>
      <c r="B30" s="146">
        <v>43371</v>
      </c>
      <c r="C30" s="147">
        <v>0</v>
      </c>
      <c r="D30" s="147">
        <v>0</v>
      </c>
      <c r="E30" s="77">
        <f t="shared" si="3"/>
        <v>0</v>
      </c>
      <c r="F30" s="77">
        <f t="shared" si="4"/>
        <v>0</v>
      </c>
      <c r="G30" s="202">
        <v>0</v>
      </c>
      <c r="H30" s="202">
        <v>0</v>
      </c>
      <c r="I30" s="77">
        <f aca="true" t="shared" si="17" ref="I30:J34">I29+G30</f>
        <v>0</v>
      </c>
      <c r="J30" s="77">
        <f t="shared" si="17"/>
        <v>0</v>
      </c>
      <c r="K30" s="198">
        <v>7405</v>
      </c>
      <c r="L30" s="124">
        <v>11822</v>
      </c>
      <c r="M30" s="25">
        <f t="shared" si="14"/>
        <v>163624</v>
      </c>
      <c r="N30" s="25">
        <f t="shared" si="8"/>
        <v>1184663</v>
      </c>
      <c r="O30" s="196"/>
      <c r="P30" s="196"/>
      <c r="Q30" s="25"/>
      <c r="R30" s="25"/>
      <c r="S30" s="59">
        <f t="shared" si="16"/>
        <v>0</v>
      </c>
      <c r="T30" s="25">
        <f t="shared" si="5"/>
        <v>19227</v>
      </c>
      <c r="U30" s="55">
        <f t="shared" si="1"/>
        <v>0</v>
      </c>
      <c r="V30" s="25">
        <f t="shared" si="2"/>
        <v>1348287</v>
      </c>
    </row>
    <row r="31" spans="1:24" ht="15">
      <c r="A31" s="3">
        <f t="shared" si="6"/>
        <v>23</v>
      </c>
      <c r="B31" s="146">
        <v>43378</v>
      </c>
      <c r="C31" s="147">
        <v>0</v>
      </c>
      <c r="D31" s="147">
        <v>0</v>
      </c>
      <c r="E31" s="77">
        <f t="shared" si="3"/>
        <v>0</v>
      </c>
      <c r="F31" s="77">
        <f t="shared" si="4"/>
        <v>0</v>
      </c>
      <c r="G31" s="202">
        <v>0</v>
      </c>
      <c r="H31" s="202">
        <v>0</v>
      </c>
      <c r="I31" s="77">
        <f t="shared" si="17"/>
        <v>0</v>
      </c>
      <c r="J31" s="77">
        <f t="shared" si="17"/>
        <v>0</v>
      </c>
      <c r="K31" s="198">
        <v>4331</v>
      </c>
      <c r="L31" s="124">
        <v>53541</v>
      </c>
      <c r="M31" s="25">
        <f t="shared" si="14"/>
        <v>167955</v>
      </c>
      <c r="N31" s="25">
        <f t="shared" si="8"/>
        <v>1238204</v>
      </c>
      <c r="O31" s="195"/>
      <c r="P31" s="195"/>
      <c r="Q31" s="25"/>
      <c r="R31" s="25"/>
      <c r="S31" s="26">
        <f t="shared" si="16"/>
        <v>0</v>
      </c>
      <c r="T31" s="25">
        <f t="shared" si="5"/>
        <v>57872</v>
      </c>
      <c r="U31" s="25">
        <f t="shared" si="1"/>
        <v>0</v>
      </c>
      <c r="V31" s="55">
        <f t="shared" si="2"/>
        <v>1406159</v>
      </c>
      <c r="X31" s="83" t="s">
        <v>88</v>
      </c>
    </row>
    <row r="32" spans="1:22" ht="15">
      <c r="A32" s="3">
        <f t="shared" si="6"/>
        <v>24</v>
      </c>
      <c r="B32" s="146">
        <v>43385</v>
      </c>
      <c r="C32" s="147">
        <v>0</v>
      </c>
      <c r="D32" s="147">
        <v>0</v>
      </c>
      <c r="E32" s="77">
        <f t="shared" si="3"/>
        <v>0</v>
      </c>
      <c r="F32" s="77">
        <f t="shared" si="4"/>
        <v>0</v>
      </c>
      <c r="G32" s="202">
        <v>0</v>
      </c>
      <c r="H32" s="202">
        <v>0</v>
      </c>
      <c r="I32" s="77">
        <f t="shared" si="17"/>
        <v>0</v>
      </c>
      <c r="J32" s="77">
        <f t="shared" si="17"/>
        <v>0</v>
      </c>
      <c r="K32" s="198">
        <v>4419</v>
      </c>
      <c r="L32" s="124">
        <v>25295</v>
      </c>
      <c r="M32" s="25">
        <f t="shared" si="14"/>
        <v>172374</v>
      </c>
      <c r="N32" s="25">
        <f t="shared" si="8"/>
        <v>1263499</v>
      </c>
      <c r="O32" s="195"/>
      <c r="P32" s="195"/>
      <c r="Q32" s="25"/>
      <c r="R32" s="25"/>
      <c r="S32" s="26">
        <f t="shared" si="16"/>
        <v>0</v>
      </c>
      <c r="T32" s="25">
        <f t="shared" si="5"/>
        <v>29714</v>
      </c>
      <c r="U32" s="25">
        <f t="shared" si="1"/>
        <v>0</v>
      </c>
      <c r="V32" s="55">
        <f t="shared" si="2"/>
        <v>1435873</v>
      </c>
    </row>
    <row r="33" spans="1:22" ht="15">
      <c r="A33" s="3">
        <f t="shared" si="6"/>
        <v>25</v>
      </c>
      <c r="B33" s="146">
        <v>43392</v>
      </c>
      <c r="C33" s="147">
        <v>0</v>
      </c>
      <c r="D33" s="147">
        <v>0</v>
      </c>
      <c r="E33" s="77">
        <f t="shared" si="3"/>
        <v>0</v>
      </c>
      <c r="F33" s="77">
        <f t="shared" si="4"/>
        <v>0</v>
      </c>
      <c r="G33" s="202">
        <v>0</v>
      </c>
      <c r="H33" s="202">
        <v>0</v>
      </c>
      <c r="I33" s="77">
        <f t="shared" si="17"/>
        <v>0</v>
      </c>
      <c r="J33" s="77">
        <f t="shared" si="17"/>
        <v>0</v>
      </c>
      <c r="K33" s="198">
        <v>5091</v>
      </c>
      <c r="L33" s="124">
        <v>58312</v>
      </c>
      <c r="M33" s="25">
        <f t="shared" si="14"/>
        <v>177465</v>
      </c>
      <c r="N33" s="25">
        <f t="shared" si="8"/>
        <v>1321811</v>
      </c>
      <c r="O33" s="195"/>
      <c r="P33" s="195"/>
      <c r="Q33" s="25"/>
      <c r="R33" s="25"/>
      <c r="S33" s="26">
        <f t="shared" si="16"/>
        <v>0</v>
      </c>
      <c r="T33" s="25">
        <f t="shared" si="5"/>
        <v>63403</v>
      </c>
      <c r="U33" s="25">
        <f t="shared" si="1"/>
        <v>0</v>
      </c>
      <c r="V33" s="55">
        <f t="shared" si="2"/>
        <v>1499276</v>
      </c>
    </row>
    <row r="34" spans="1:22" ht="15">
      <c r="A34" s="3">
        <f t="shared" si="6"/>
        <v>26</v>
      </c>
      <c r="B34" s="146">
        <v>43399</v>
      </c>
      <c r="C34" s="147">
        <v>0</v>
      </c>
      <c r="D34" s="147">
        <v>0</v>
      </c>
      <c r="E34" s="77">
        <f t="shared" si="3"/>
        <v>0</v>
      </c>
      <c r="F34" s="77">
        <f t="shared" si="4"/>
        <v>0</v>
      </c>
      <c r="G34" s="202">
        <v>0</v>
      </c>
      <c r="H34" s="202">
        <v>0</v>
      </c>
      <c r="I34" s="77">
        <f t="shared" si="17"/>
        <v>0</v>
      </c>
      <c r="J34" s="77">
        <f t="shared" si="17"/>
        <v>0</v>
      </c>
      <c r="K34" s="198">
        <v>34788</v>
      </c>
      <c r="L34" s="124">
        <v>5585</v>
      </c>
      <c r="M34" s="25">
        <f t="shared" si="14"/>
        <v>212253</v>
      </c>
      <c r="N34" s="25">
        <f t="shared" si="8"/>
        <v>1327396</v>
      </c>
      <c r="O34" s="195"/>
      <c r="P34" s="195"/>
      <c r="Q34" s="25"/>
      <c r="R34" s="25"/>
      <c r="S34" s="26">
        <f t="shared" si="16"/>
        <v>0</v>
      </c>
      <c r="T34" s="25">
        <f t="shared" si="5"/>
        <v>40373</v>
      </c>
      <c r="U34" s="25">
        <f t="shared" si="1"/>
        <v>0</v>
      </c>
      <c r="V34" s="55">
        <f t="shared" si="2"/>
        <v>1539649</v>
      </c>
    </row>
    <row r="35" spans="1:22" ht="15">
      <c r="A35" s="3">
        <f t="shared" si="6"/>
        <v>27</v>
      </c>
      <c r="B35" s="146">
        <v>43406</v>
      </c>
      <c r="C35" s="147">
        <v>0</v>
      </c>
      <c r="D35" s="147">
        <v>0</v>
      </c>
      <c r="E35" s="77">
        <f t="shared" si="3"/>
        <v>0</v>
      </c>
      <c r="F35" s="77">
        <f t="shared" si="4"/>
        <v>0</v>
      </c>
      <c r="G35" s="202">
        <v>0</v>
      </c>
      <c r="H35" s="202">
        <v>0</v>
      </c>
      <c r="I35" s="77">
        <f aca="true" t="shared" si="18" ref="I35:J37">I34+G35</f>
        <v>0</v>
      </c>
      <c r="J35" s="77">
        <f t="shared" si="18"/>
        <v>0</v>
      </c>
      <c r="K35" s="198">
        <v>23745</v>
      </c>
      <c r="L35" s="124">
        <v>5008</v>
      </c>
      <c r="M35" s="25">
        <f t="shared" si="14"/>
        <v>235998</v>
      </c>
      <c r="N35" s="25">
        <f t="shared" si="8"/>
        <v>1332404</v>
      </c>
      <c r="O35" s="195"/>
      <c r="P35" s="195"/>
      <c r="Q35" s="25"/>
      <c r="R35" s="25"/>
      <c r="S35" s="26">
        <f t="shared" si="16"/>
        <v>0</v>
      </c>
      <c r="T35" s="25">
        <f t="shared" si="5"/>
        <v>28753</v>
      </c>
      <c r="U35" s="25">
        <f t="shared" si="1"/>
        <v>0</v>
      </c>
      <c r="V35" s="55">
        <f t="shared" si="2"/>
        <v>1568402</v>
      </c>
    </row>
    <row r="36" spans="1:22" ht="15">
      <c r="A36" s="3">
        <f t="shared" si="6"/>
        <v>28</v>
      </c>
      <c r="B36" s="146">
        <v>43413</v>
      </c>
      <c r="C36" s="147">
        <v>0</v>
      </c>
      <c r="D36" s="147">
        <v>0</v>
      </c>
      <c r="E36" s="77">
        <f t="shared" si="3"/>
        <v>0</v>
      </c>
      <c r="F36" s="77">
        <f t="shared" si="4"/>
        <v>0</v>
      </c>
      <c r="G36" s="202">
        <v>0</v>
      </c>
      <c r="H36" s="202">
        <v>0</v>
      </c>
      <c r="I36" s="77">
        <f t="shared" si="18"/>
        <v>0</v>
      </c>
      <c r="J36" s="77">
        <f t="shared" si="18"/>
        <v>0</v>
      </c>
      <c r="K36" s="198">
        <v>6882</v>
      </c>
      <c r="L36" s="124">
        <v>5817</v>
      </c>
      <c r="M36" s="25">
        <f t="shared" si="14"/>
        <v>242880</v>
      </c>
      <c r="N36" s="25">
        <f t="shared" si="8"/>
        <v>1338221</v>
      </c>
      <c r="O36" s="195"/>
      <c r="P36" s="195"/>
      <c r="Q36" s="25"/>
      <c r="R36" s="25"/>
      <c r="S36" s="26">
        <f t="shared" si="16"/>
        <v>0</v>
      </c>
      <c r="T36" s="25">
        <f t="shared" si="5"/>
        <v>12699</v>
      </c>
      <c r="U36" s="25">
        <f t="shared" si="1"/>
        <v>0</v>
      </c>
      <c r="V36" s="55">
        <f t="shared" si="2"/>
        <v>1581101</v>
      </c>
    </row>
    <row r="37" spans="1:22" ht="15">
      <c r="A37" s="3">
        <f t="shared" si="6"/>
        <v>29</v>
      </c>
      <c r="B37" s="146">
        <v>43420</v>
      </c>
      <c r="C37" s="147">
        <v>0</v>
      </c>
      <c r="D37" s="147">
        <v>0</v>
      </c>
      <c r="E37" s="77">
        <f t="shared" si="3"/>
        <v>0</v>
      </c>
      <c r="F37" s="77">
        <f t="shared" si="4"/>
        <v>0</v>
      </c>
      <c r="G37" s="202">
        <v>0</v>
      </c>
      <c r="H37" s="202">
        <v>0</v>
      </c>
      <c r="I37" s="77">
        <f t="shared" si="18"/>
        <v>0</v>
      </c>
      <c r="J37" s="77">
        <f t="shared" si="18"/>
        <v>0</v>
      </c>
      <c r="K37" s="198">
        <v>8569</v>
      </c>
      <c r="L37" s="124">
        <v>4870</v>
      </c>
      <c r="M37" s="25">
        <f t="shared" si="14"/>
        <v>251449</v>
      </c>
      <c r="N37" s="25">
        <f t="shared" si="8"/>
        <v>1343091</v>
      </c>
      <c r="O37" s="195"/>
      <c r="P37" s="195"/>
      <c r="Q37" s="25"/>
      <c r="R37" s="25"/>
      <c r="S37" s="26">
        <f t="shared" si="16"/>
        <v>0</v>
      </c>
      <c r="T37" s="25">
        <f t="shared" si="5"/>
        <v>13439</v>
      </c>
      <c r="U37" s="25">
        <f t="shared" si="1"/>
        <v>0</v>
      </c>
      <c r="V37" s="55">
        <f t="shared" si="2"/>
        <v>1594540</v>
      </c>
    </row>
    <row r="38" spans="1:22" ht="15">
      <c r="A38" s="3">
        <f t="shared" si="6"/>
        <v>30</v>
      </c>
      <c r="B38" s="146">
        <v>43427</v>
      </c>
      <c r="C38" s="147">
        <v>0</v>
      </c>
      <c r="D38" s="147">
        <v>0</v>
      </c>
      <c r="E38" s="77">
        <f t="shared" si="3"/>
        <v>0</v>
      </c>
      <c r="F38" s="77">
        <f t="shared" si="4"/>
        <v>0</v>
      </c>
      <c r="G38" s="202">
        <v>0</v>
      </c>
      <c r="H38" s="202">
        <v>0</v>
      </c>
      <c r="I38" s="77">
        <f aca="true" t="shared" si="19" ref="I38:J41">I37+G38</f>
        <v>0</v>
      </c>
      <c r="J38" s="77">
        <f t="shared" si="19"/>
        <v>0</v>
      </c>
      <c r="K38" s="198">
        <v>9918</v>
      </c>
      <c r="L38" s="124">
        <v>4924</v>
      </c>
      <c r="M38" s="25">
        <f t="shared" si="14"/>
        <v>261367</v>
      </c>
      <c r="N38" s="25">
        <f t="shared" si="8"/>
        <v>1348015</v>
      </c>
      <c r="O38" s="195"/>
      <c r="P38" s="195"/>
      <c r="Q38" s="25"/>
      <c r="R38" s="25"/>
      <c r="S38" s="26">
        <f t="shared" si="16"/>
        <v>0</v>
      </c>
      <c r="T38" s="25">
        <f t="shared" si="5"/>
        <v>14842</v>
      </c>
      <c r="U38" s="25">
        <f t="shared" si="1"/>
        <v>0</v>
      </c>
      <c r="V38" s="55">
        <f t="shared" si="2"/>
        <v>1609382</v>
      </c>
    </row>
    <row r="39" spans="1:22" ht="15">
      <c r="A39" s="3">
        <f t="shared" si="6"/>
        <v>31</v>
      </c>
      <c r="B39" s="146">
        <v>43434</v>
      </c>
      <c r="C39" s="147">
        <v>0</v>
      </c>
      <c r="D39" s="147">
        <v>0</v>
      </c>
      <c r="E39" s="77">
        <f t="shared" si="3"/>
        <v>0</v>
      </c>
      <c r="F39" s="77">
        <f t="shared" si="4"/>
        <v>0</v>
      </c>
      <c r="G39" s="202">
        <v>0</v>
      </c>
      <c r="H39" s="202">
        <v>0</v>
      </c>
      <c r="I39" s="77">
        <f t="shared" si="19"/>
        <v>0</v>
      </c>
      <c r="J39" s="77">
        <f t="shared" si="19"/>
        <v>0</v>
      </c>
      <c r="K39" s="198">
        <v>16007</v>
      </c>
      <c r="L39" s="124">
        <v>5264</v>
      </c>
      <c r="M39" s="25">
        <f t="shared" si="14"/>
        <v>277374</v>
      </c>
      <c r="N39" s="25">
        <f t="shared" si="8"/>
        <v>1353279</v>
      </c>
      <c r="O39" s="195"/>
      <c r="P39" s="195"/>
      <c r="Q39" s="25"/>
      <c r="R39" s="25"/>
      <c r="S39" s="26">
        <f t="shared" si="16"/>
        <v>0</v>
      </c>
      <c r="T39" s="25">
        <f t="shared" si="5"/>
        <v>21271</v>
      </c>
      <c r="U39" s="25">
        <f t="shared" si="1"/>
        <v>0</v>
      </c>
      <c r="V39" s="55">
        <f t="shared" si="2"/>
        <v>1630653</v>
      </c>
    </row>
    <row r="40" spans="1:22" ht="15">
      <c r="A40" s="3">
        <f t="shared" si="6"/>
        <v>32</v>
      </c>
      <c r="B40" s="146">
        <v>43441</v>
      </c>
      <c r="C40" s="147">
        <v>0</v>
      </c>
      <c r="D40" s="147">
        <v>0</v>
      </c>
      <c r="E40" s="77">
        <f t="shared" si="3"/>
        <v>0</v>
      </c>
      <c r="F40" s="77">
        <f t="shared" si="4"/>
        <v>0</v>
      </c>
      <c r="G40" s="202">
        <v>0</v>
      </c>
      <c r="H40" s="202">
        <v>0</v>
      </c>
      <c r="I40" s="77">
        <f t="shared" si="19"/>
        <v>0</v>
      </c>
      <c r="J40" s="77">
        <f t="shared" si="19"/>
        <v>0</v>
      </c>
      <c r="K40" s="199">
        <v>11424</v>
      </c>
      <c r="L40" s="175">
        <v>58456</v>
      </c>
      <c r="M40" s="25">
        <f t="shared" si="14"/>
        <v>288798</v>
      </c>
      <c r="N40" s="25">
        <f t="shared" si="8"/>
        <v>1411735</v>
      </c>
      <c r="O40" s="195"/>
      <c r="P40" s="195"/>
      <c r="Q40" s="25"/>
      <c r="R40" s="25"/>
      <c r="S40" s="26">
        <f t="shared" si="16"/>
        <v>0</v>
      </c>
      <c r="T40" s="25">
        <f t="shared" si="5"/>
        <v>69880</v>
      </c>
      <c r="U40" s="25">
        <f t="shared" si="1"/>
        <v>0</v>
      </c>
      <c r="V40" s="55">
        <f t="shared" si="2"/>
        <v>1700533</v>
      </c>
    </row>
    <row r="41" spans="1:22" ht="15">
      <c r="A41" s="3">
        <f t="shared" si="6"/>
        <v>33</v>
      </c>
      <c r="B41" s="146">
        <v>43448</v>
      </c>
      <c r="C41" s="147">
        <v>0</v>
      </c>
      <c r="D41" s="147">
        <v>0</v>
      </c>
      <c r="E41" s="77">
        <f t="shared" si="3"/>
        <v>0</v>
      </c>
      <c r="F41" s="77">
        <f t="shared" si="4"/>
        <v>0</v>
      </c>
      <c r="G41" s="202">
        <v>0</v>
      </c>
      <c r="H41" s="202">
        <v>0</v>
      </c>
      <c r="I41" s="77">
        <f t="shared" si="19"/>
        <v>0</v>
      </c>
      <c r="J41" s="77">
        <f t="shared" si="19"/>
        <v>0</v>
      </c>
      <c r="K41" s="200">
        <v>9515</v>
      </c>
      <c r="L41" s="147">
        <v>6409</v>
      </c>
      <c r="M41" s="25">
        <f t="shared" si="14"/>
        <v>298313</v>
      </c>
      <c r="N41" s="25">
        <f t="shared" si="8"/>
        <v>1418144</v>
      </c>
      <c r="O41" s="195"/>
      <c r="P41" s="195"/>
      <c r="Q41" s="25"/>
      <c r="R41" s="25"/>
      <c r="S41" s="26">
        <f t="shared" si="16"/>
        <v>0</v>
      </c>
      <c r="T41" s="25">
        <f t="shared" si="5"/>
        <v>15924</v>
      </c>
      <c r="U41" s="25">
        <f aca="true" t="shared" si="20" ref="U41:U60">E41+F41</f>
        <v>0</v>
      </c>
      <c r="V41" s="55">
        <f t="shared" si="2"/>
        <v>1716457</v>
      </c>
    </row>
    <row r="42" spans="1:22" ht="15">
      <c r="A42" s="3">
        <f t="shared" si="6"/>
        <v>34</v>
      </c>
      <c r="B42" s="146">
        <v>43455</v>
      </c>
      <c r="C42" s="147">
        <v>0</v>
      </c>
      <c r="D42" s="147">
        <v>0</v>
      </c>
      <c r="E42" s="77">
        <f aca="true" t="shared" si="21" ref="E42:E60">E41+C42</f>
        <v>0</v>
      </c>
      <c r="F42" s="77">
        <f aca="true" t="shared" si="22" ref="F42:F60">F41+D42</f>
        <v>0</v>
      </c>
      <c r="G42" s="202">
        <v>0</v>
      </c>
      <c r="H42" s="202">
        <v>0</v>
      </c>
      <c r="I42" s="77">
        <f aca="true" t="shared" si="23" ref="I42:J44">I41+G42</f>
        <v>0</v>
      </c>
      <c r="J42" s="77">
        <f t="shared" si="23"/>
        <v>0</v>
      </c>
      <c r="K42" s="200">
        <v>8867</v>
      </c>
      <c r="L42" s="147">
        <v>3958</v>
      </c>
      <c r="M42" s="25">
        <f t="shared" si="14"/>
        <v>307180</v>
      </c>
      <c r="N42" s="25">
        <f t="shared" si="8"/>
        <v>1422102</v>
      </c>
      <c r="O42" s="195"/>
      <c r="P42" s="195"/>
      <c r="Q42" s="25"/>
      <c r="R42" s="25"/>
      <c r="S42" s="26">
        <f t="shared" si="16"/>
        <v>0</v>
      </c>
      <c r="T42" s="25">
        <f t="shared" si="5"/>
        <v>12825</v>
      </c>
      <c r="U42" s="25">
        <f t="shared" si="20"/>
        <v>0</v>
      </c>
      <c r="V42" s="55">
        <f t="shared" si="2"/>
        <v>1729282</v>
      </c>
    </row>
    <row r="43" spans="1:22" ht="15">
      <c r="A43" s="3">
        <f t="shared" si="6"/>
        <v>35</v>
      </c>
      <c r="B43" s="146">
        <v>43462</v>
      </c>
      <c r="C43" s="147">
        <v>0</v>
      </c>
      <c r="D43" s="147">
        <v>0</v>
      </c>
      <c r="E43" s="77">
        <f t="shared" si="21"/>
        <v>0</v>
      </c>
      <c r="F43" s="77">
        <f t="shared" si="22"/>
        <v>0</v>
      </c>
      <c r="G43" s="202">
        <v>0</v>
      </c>
      <c r="H43" s="202">
        <v>0</v>
      </c>
      <c r="I43" s="77">
        <f t="shared" si="23"/>
        <v>0</v>
      </c>
      <c r="J43" s="77">
        <f t="shared" si="23"/>
        <v>0</v>
      </c>
      <c r="K43" s="200">
        <v>5536</v>
      </c>
      <c r="L43" s="147">
        <v>4225</v>
      </c>
      <c r="M43" s="25">
        <f aca="true" t="shared" si="24" ref="M43:N55">M42+K43</f>
        <v>312716</v>
      </c>
      <c r="N43" s="25">
        <f t="shared" si="8"/>
        <v>1426327</v>
      </c>
      <c r="O43" s="195"/>
      <c r="P43" s="195"/>
      <c r="Q43" s="25"/>
      <c r="R43" s="25"/>
      <c r="S43" s="26">
        <f t="shared" si="16"/>
        <v>0</v>
      </c>
      <c r="T43" s="25">
        <f t="shared" si="5"/>
        <v>9761</v>
      </c>
      <c r="U43" s="25">
        <f t="shared" si="20"/>
        <v>0</v>
      </c>
      <c r="V43" s="55">
        <f t="shared" si="2"/>
        <v>1739043</v>
      </c>
    </row>
    <row r="44" spans="1:22" ht="15">
      <c r="A44" s="3">
        <f t="shared" si="6"/>
        <v>36</v>
      </c>
      <c r="B44" s="146">
        <v>43469</v>
      </c>
      <c r="C44" s="147">
        <v>0</v>
      </c>
      <c r="D44" s="147">
        <v>0</v>
      </c>
      <c r="E44" s="77">
        <f t="shared" si="21"/>
        <v>0</v>
      </c>
      <c r="F44" s="77">
        <f t="shared" si="22"/>
        <v>0</v>
      </c>
      <c r="G44" s="202">
        <v>0</v>
      </c>
      <c r="H44" s="202">
        <v>0</v>
      </c>
      <c r="I44" s="77">
        <f t="shared" si="23"/>
        <v>0</v>
      </c>
      <c r="J44" s="77">
        <f t="shared" si="23"/>
        <v>0</v>
      </c>
      <c r="K44" s="198">
        <v>3377</v>
      </c>
      <c r="L44" s="121">
        <v>2111</v>
      </c>
      <c r="M44" s="25">
        <f t="shared" si="24"/>
        <v>316093</v>
      </c>
      <c r="N44" s="25">
        <f t="shared" si="8"/>
        <v>1428438</v>
      </c>
      <c r="O44" s="195"/>
      <c r="P44" s="195"/>
      <c r="Q44" s="25"/>
      <c r="R44" s="25"/>
      <c r="S44" s="26">
        <f t="shared" si="16"/>
        <v>0</v>
      </c>
      <c r="T44" s="25">
        <f t="shared" si="5"/>
        <v>5488</v>
      </c>
      <c r="U44" s="25">
        <f t="shared" si="20"/>
        <v>0</v>
      </c>
      <c r="V44" s="55">
        <f t="shared" si="2"/>
        <v>1744531</v>
      </c>
    </row>
    <row r="45" spans="1:22" ht="15">
      <c r="A45" s="3">
        <f t="shared" si="6"/>
        <v>37</v>
      </c>
      <c r="B45" s="146">
        <v>43476</v>
      </c>
      <c r="C45" s="147">
        <v>0</v>
      </c>
      <c r="D45" s="147">
        <v>0</v>
      </c>
      <c r="E45" s="77">
        <f t="shared" si="21"/>
        <v>0</v>
      </c>
      <c r="F45" s="77">
        <f t="shared" si="22"/>
        <v>0</v>
      </c>
      <c r="G45" s="202">
        <v>0</v>
      </c>
      <c r="H45" s="202">
        <v>0</v>
      </c>
      <c r="I45" s="77">
        <f aca="true" t="shared" si="25" ref="I45:J47">I44+G45</f>
        <v>0</v>
      </c>
      <c r="J45" s="77">
        <f t="shared" si="25"/>
        <v>0</v>
      </c>
      <c r="K45" s="198">
        <v>11543</v>
      </c>
      <c r="L45" s="121">
        <v>6138</v>
      </c>
      <c r="M45" s="25">
        <f t="shared" si="24"/>
        <v>327636</v>
      </c>
      <c r="N45" s="25">
        <f t="shared" si="8"/>
        <v>1434576</v>
      </c>
      <c r="O45" s="195"/>
      <c r="P45" s="195"/>
      <c r="Q45" s="25"/>
      <c r="R45" s="25"/>
      <c r="S45" s="26">
        <f t="shared" si="16"/>
        <v>0</v>
      </c>
      <c r="T45" s="25">
        <f t="shared" si="5"/>
        <v>17681</v>
      </c>
      <c r="U45" s="25">
        <f t="shared" si="20"/>
        <v>0</v>
      </c>
      <c r="V45" s="55">
        <f t="shared" si="2"/>
        <v>1762212</v>
      </c>
    </row>
    <row r="46" spans="1:22" ht="15">
      <c r="A46" s="3">
        <f t="shared" si="6"/>
        <v>38</v>
      </c>
      <c r="B46" s="146">
        <v>43483</v>
      </c>
      <c r="C46" s="147">
        <v>0</v>
      </c>
      <c r="D46" s="147">
        <v>0</v>
      </c>
      <c r="E46" s="77">
        <f t="shared" si="21"/>
        <v>0</v>
      </c>
      <c r="F46" s="77">
        <f t="shared" si="22"/>
        <v>0</v>
      </c>
      <c r="G46" s="202">
        <v>0</v>
      </c>
      <c r="H46" s="202">
        <v>0</v>
      </c>
      <c r="I46" s="77">
        <f t="shared" si="25"/>
        <v>0</v>
      </c>
      <c r="J46" s="77">
        <f t="shared" si="25"/>
        <v>0</v>
      </c>
      <c r="K46" s="198">
        <v>10729</v>
      </c>
      <c r="L46" s="121">
        <v>6284</v>
      </c>
      <c r="M46" s="25">
        <f t="shared" si="24"/>
        <v>338365</v>
      </c>
      <c r="N46" s="25">
        <f t="shared" si="8"/>
        <v>1440860</v>
      </c>
      <c r="O46" s="195"/>
      <c r="P46" s="195"/>
      <c r="Q46" s="25"/>
      <c r="R46" s="25"/>
      <c r="S46" s="26">
        <f t="shared" si="16"/>
        <v>0</v>
      </c>
      <c r="T46" s="25">
        <f t="shared" si="5"/>
        <v>17013</v>
      </c>
      <c r="U46" s="25">
        <f t="shared" si="20"/>
        <v>0</v>
      </c>
      <c r="V46" s="55">
        <f t="shared" si="2"/>
        <v>1779225</v>
      </c>
    </row>
    <row r="47" spans="1:22" ht="15">
      <c r="A47" s="3">
        <f t="shared" si="6"/>
        <v>39</v>
      </c>
      <c r="B47" s="146">
        <v>43490</v>
      </c>
      <c r="C47" s="147">
        <v>0</v>
      </c>
      <c r="D47" s="147">
        <v>0</v>
      </c>
      <c r="E47" s="77">
        <f t="shared" si="21"/>
        <v>0</v>
      </c>
      <c r="F47" s="77">
        <f t="shared" si="22"/>
        <v>0</v>
      </c>
      <c r="G47" s="202">
        <v>0</v>
      </c>
      <c r="H47" s="202">
        <v>0</v>
      </c>
      <c r="I47" s="77">
        <f t="shared" si="25"/>
        <v>0</v>
      </c>
      <c r="J47" s="77">
        <f t="shared" si="25"/>
        <v>0</v>
      </c>
      <c r="K47" s="198">
        <v>9386</v>
      </c>
      <c r="L47" s="121">
        <v>4621</v>
      </c>
      <c r="M47" s="25">
        <f t="shared" si="24"/>
        <v>347751</v>
      </c>
      <c r="N47" s="25">
        <f t="shared" si="24"/>
        <v>1445481</v>
      </c>
      <c r="O47" s="195"/>
      <c r="P47" s="195"/>
      <c r="Q47" s="25"/>
      <c r="R47" s="25"/>
      <c r="S47" s="26">
        <f t="shared" si="16"/>
        <v>0</v>
      </c>
      <c r="T47" s="25">
        <f t="shared" si="5"/>
        <v>14007</v>
      </c>
      <c r="U47" s="25">
        <f t="shared" si="20"/>
        <v>0</v>
      </c>
      <c r="V47" s="55">
        <f t="shared" si="2"/>
        <v>1793232</v>
      </c>
    </row>
    <row r="48" spans="1:22" ht="15">
      <c r="A48" s="3">
        <f t="shared" si="6"/>
        <v>40</v>
      </c>
      <c r="B48" s="146">
        <v>43497</v>
      </c>
      <c r="C48" s="147">
        <v>0</v>
      </c>
      <c r="D48" s="147">
        <v>0</v>
      </c>
      <c r="E48" s="77">
        <f t="shared" si="21"/>
        <v>0</v>
      </c>
      <c r="F48" s="77">
        <f t="shared" si="22"/>
        <v>0</v>
      </c>
      <c r="G48" s="202">
        <v>0</v>
      </c>
      <c r="H48" s="202">
        <v>0</v>
      </c>
      <c r="I48" s="77">
        <f>I47+G48</f>
        <v>0</v>
      </c>
      <c r="J48" s="77">
        <f>J47+H48</f>
        <v>0</v>
      </c>
      <c r="K48" s="198">
        <v>46693</v>
      </c>
      <c r="L48" s="121">
        <v>5151</v>
      </c>
      <c r="M48" s="25">
        <f t="shared" si="24"/>
        <v>394444</v>
      </c>
      <c r="N48" s="25">
        <f t="shared" si="24"/>
        <v>1450632</v>
      </c>
      <c r="O48" s="195"/>
      <c r="P48" s="195"/>
      <c r="Q48" s="25"/>
      <c r="R48" s="25"/>
      <c r="S48" s="26">
        <f t="shared" si="16"/>
        <v>0</v>
      </c>
      <c r="T48" s="25">
        <f t="shared" si="5"/>
        <v>51844</v>
      </c>
      <c r="U48" s="25">
        <f t="shared" si="20"/>
        <v>0</v>
      </c>
      <c r="V48" s="55">
        <f t="shared" si="2"/>
        <v>1845076</v>
      </c>
    </row>
    <row r="49" spans="1:22" ht="15">
      <c r="A49" s="3">
        <f t="shared" si="6"/>
        <v>41</v>
      </c>
      <c r="B49" s="146">
        <v>43504</v>
      </c>
      <c r="C49" s="147">
        <v>0</v>
      </c>
      <c r="D49" s="147">
        <v>0</v>
      </c>
      <c r="E49" s="77">
        <f t="shared" si="21"/>
        <v>0</v>
      </c>
      <c r="F49" s="77">
        <f t="shared" si="22"/>
        <v>0</v>
      </c>
      <c r="G49" s="202"/>
      <c r="H49" s="202"/>
      <c r="I49" s="77"/>
      <c r="J49" s="77"/>
      <c r="K49" s="198">
        <v>8300</v>
      </c>
      <c r="L49" s="121">
        <v>5135</v>
      </c>
      <c r="M49" s="25">
        <f t="shared" si="24"/>
        <v>402744</v>
      </c>
      <c r="N49" s="25">
        <f t="shared" si="24"/>
        <v>1455767</v>
      </c>
      <c r="O49" s="195"/>
      <c r="P49" s="195"/>
      <c r="Q49" s="25"/>
      <c r="R49" s="25"/>
      <c r="S49" s="26">
        <f t="shared" si="16"/>
        <v>0</v>
      </c>
      <c r="T49" s="25">
        <f t="shared" si="5"/>
        <v>13435</v>
      </c>
      <c r="U49" s="25">
        <f t="shared" si="20"/>
        <v>0</v>
      </c>
      <c r="V49" s="55">
        <f t="shared" si="2"/>
        <v>1858511</v>
      </c>
    </row>
    <row r="50" spans="1:22" ht="15">
      <c r="A50" s="3">
        <f t="shared" si="6"/>
        <v>42</v>
      </c>
      <c r="B50" s="146"/>
      <c r="C50" s="147">
        <v>0</v>
      </c>
      <c r="D50" s="147">
        <v>0</v>
      </c>
      <c r="E50" s="77">
        <f t="shared" si="21"/>
        <v>0</v>
      </c>
      <c r="F50" s="77">
        <f t="shared" si="22"/>
        <v>0</v>
      </c>
      <c r="G50" s="202"/>
      <c r="H50" s="202"/>
      <c r="I50" s="77"/>
      <c r="J50" s="77"/>
      <c r="K50" s="198"/>
      <c r="L50" s="121"/>
      <c r="M50" s="25">
        <f t="shared" si="24"/>
        <v>402744</v>
      </c>
      <c r="N50" s="25">
        <f t="shared" si="24"/>
        <v>1455767</v>
      </c>
      <c r="O50" s="195"/>
      <c r="P50" s="195"/>
      <c r="Q50" s="25"/>
      <c r="R50" s="25"/>
      <c r="S50" s="26">
        <f t="shared" si="16"/>
        <v>0</v>
      </c>
      <c r="T50" s="25">
        <f t="shared" si="5"/>
        <v>0</v>
      </c>
      <c r="U50" s="25">
        <f t="shared" si="20"/>
        <v>0</v>
      </c>
      <c r="V50" s="55">
        <f t="shared" si="2"/>
        <v>1858511</v>
      </c>
    </row>
    <row r="51" spans="1:22" ht="15">
      <c r="A51" s="3">
        <f t="shared" si="6"/>
        <v>43</v>
      </c>
      <c r="B51" s="146"/>
      <c r="C51" s="147">
        <v>0</v>
      </c>
      <c r="D51" s="147">
        <v>0</v>
      </c>
      <c r="E51" s="77">
        <f t="shared" si="21"/>
        <v>0</v>
      </c>
      <c r="F51" s="77">
        <f t="shared" si="22"/>
        <v>0</v>
      </c>
      <c r="G51" s="202"/>
      <c r="H51" s="202"/>
      <c r="I51" s="77"/>
      <c r="J51" s="77"/>
      <c r="K51" s="198"/>
      <c r="L51" s="121"/>
      <c r="M51" s="25">
        <f t="shared" si="24"/>
        <v>402744</v>
      </c>
      <c r="N51" s="25">
        <f t="shared" si="24"/>
        <v>1455767</v>
      </c>
      <c r="O51" s="195"/>
      <c r="P51" s="195"/>
      <c r="Q51" s="25"/>
      <c r="R51" s="25"/>
      <c r="S51" s="26">
        <f t="shared" si="16"/>
        <v>0</v>
      </c>
      <c r="T51" s="25">
        <f t="shared" si="5"/>
        <v>0</v>
      </c>
      <c r="U51" s="25">
        <f t="shared" si="20"/>
        <v>0</v>
      </c>
      <c r="V51" s="55">
        <f t="shared" si="2"/>
        <v>1858511</v>
      </c>
    </row>
    <row r="52" spans="1:22" ht="15">
      <c r="A52" s="3">
        <f t="shared" si="6"/>
        <v>44</v>
      </c>
      <c r="B52" s="146"/>
      <c r="C52" s="147">
        <v>0</v>
      </c>
      <c r="D52" s="147">
        <v>0</v>
      </c>
      <c r="E52" s="77">
        <f t="shared" si="21"/>
        <v>0</v>
      </c>
      <c r="F52" s="77">
        <f t="shared" si="22"/>
        <v>0</v>
      </c>
      <c r="G52" s="202"/>
      <c r="H52" s="202"/>
      <c r="I52" s="77"/>
      <c r="J52" s="77"/>
      <c r="K52" s="198"/>
      <c r="L52" s="121"/>
      <c r="M52" s="25">
        <f t="shared" si="24"/>
        <v>402744</v>
      </c>
      <c r="N52" s="25">
        <f t="shared" si="24"/>
        <v>1455767</v>
      </c>
      <c r="O52" s="195"/>
      <c r="P52" s="195"/>
      <c r="Q52" s="25"/>
      <c r="R52" s="25"/>
      <c r="S52" s="26">
        <f t="shared" si="16"/>
        <v>0</v>
      </c>
      <c r="T52" s="25">
        <f t="shared" si="5"/>
        <v>0</v>
      </c>
      <c r="U52" s="25">
        <f t="shared" si="20"/>
        <v>0</v>
      </c>
      <c r="V52" s="55">
        <f t="shared" si="2"/>
        <v>1858511</v>
      </c>
    </row>
    <row r="53" spans="1:22" ht="15">
      <c r="A53" s="3">
        <f t="shared" si="6"/>
        <v>45</v>
      </c>
      <c r="B53" s="146"/>
      <c r="C53" s="147">
        <v>0</v>
      </c>
      <c r="D53" s="147">
        <v>0</v>
      </c>
      <c r="E53" s="77">
        <f t="shared" si="21"/>
        <v>0</v>
      </c>
      <c r="F53" s="77">
        <f t="shared" si="22"/>
        <v>0</v>
      </c>
      <c r="G53" s="202"/>
      <c r="H53" s="202"/>
      <c r="I53" s="77"/>
      <c r="J53" s="77"/>
      <c r="K53" s="198"/>
      <c r="L53" s="121"/>
      <c r="M53" s="25">
        <f t="shared" si="24"/>
        <v>402744</v>
      </c>
      <c r="N53" s="25">
        <f t="shared" si="24"/>
        <v>1455767</v>
      </c>
      <c r="O53" s="195"/>
      <c r="P53" s="195"/>
      <c r="Q53" s="25"/>
      <c r="R53" s="25"/>
      <c r="S53" s="26">
        <f t="shared" si="16"/>
        <v>0</v>
      </c>
      <c r="T53" s="25">
        <f t="shared" si="5"/>
        <v>0</v>
      </c>
      <c r="U53" s="25">
        <f t="shared" si="20"/>
        <v>0</v>
      </c>
      <c r="V53" s="55">
        <f t="shared" si="2"/>
        <v>1858511</v>
      </c>
    </row>
    <row r="54" spans="1:22" ht="15">
      <c r="A54" s="3">
        <f t="shared" si="6"/>
        <v>46</v>
      </c>
      <c r="B54" s="146"/>
      <c r="C54" s="147">
        <v>0</v>
      </c>
      <c r="D54" s="147">
        <v>0</v>
      </c>
      <c r="E54" s="77">
        <f t="shared" si="21"/>
        <v>0</v>
      </c>
      <c r="F54" s="77">
        <f t="shared" si="22"/>
        <v>0</v>
      </c>
      <c r="G54" s="202"/>
      <c r="H54" s="202"/>
      <c r="I54" s="77"/>
      <c r="J54" s="77"/>
      <c r="K54" s="198"/>
      <c r="L54" s="121"/>
      <c r="M54" s="25">
        <f t="shared" si="24"/>
        <v>402744</v>
      </c>
      <c r="N54" s="25">
        <f t="shared" si="24"/>
        <v>1455767</v>
      </c>
      <c r="O54" s="195"/>
      <c r="P54" s="195"/>
      <c r="Q54" s="25"/>
      <c r="R54" s="25"/>
      <c r="S54" s="26">
        <f t="shared" si="16"/>
        <v>0</v>
      </c>
      <c r="T54" s="25">
        <f t="shared" si="5"/>
        <v>0</v>
      </c>
      <c r="U54" s="25">
        <f t="shared" si="20"/>
        <v>0</v>
      </c>
      <c r="V54" s="55">
        <f t="shared" si="2"/>
        <v>1858511</v>
      </c>
    </row>
    <row r="55" spans="1:22" ht="15">
      <c r="A55" s="3">
        <f t="shared" si="6"/>
        <v>47</v>
      </c>
      <c r="B55" s="146"/>
      <c r="C55" s="147">
        <v>0</v>
      </c>
      <c r="D55" s="147">
        <v>0</v>
      </c>
      <c r="E55" s="77">
        <f t="shared" si="21"/>
        <v>0</v>
      </c>
      <c r="F55" s="77">
        <f t="shared" si="22"/>
        <v>0</v>
      </c>
      <c r="G55" s="202"/>
      <c r="H55" s="202"/>
      <c r="I55" s="77"/>
      <c r="J55" s="77"/>
      <c r="K55" s="198"/>
      <c r="L55" s="121"/>
      <c r="M55" s="25">
        <f t="shared" si="24"/>
        <v>402744</v>
      </c>
      <c r="N55" s="25">
        <f t="shared" si="24"/>
        <v>1455767</v>
      </c>
      <c r="O55" s="195"/>
      <c r="P55" s="195"/>
      <c r="Q55" s="25"/>
      <c r="R55" s="25"/>
      <c r="S55" s="26">
        <f t="shared" si="16"/>
        <v>0</v>
      </c>
      <c r="T55" s="25">
        <f t="shared" si="5"/>
        <v>0</v>
      </c>
      <c r="U55" s="25">
        <f t="shared" si="20"/>
        <v>0</v>
      </c>
      <c r="V55" s="55">
        <f t="shared" si="2"/>
        <v>1858511</v>
      </c>
    </row>
    <row r="56" spans="1:22" ht="15">
      <c r="A56" s="3">
        <f t="shared" si="6"/>
        <v>48</v>
      </c>
      <c r="B56" s="146"/>
      <c r="C56" s="147">
        <v>0</v>
      </c>
      <c r="D56" s="147">
        <v>0</v>
      </c>
      <c r="E56" s="77">
        <f t="shared" si="21"/>
        <v>0</v>
      </c>
      <c r="F56" s="77">
        <f t="shared" si="22"/>
        <v>0</v>
      </c>
      <c r="G56" s="202"/>
      <c r="H56" s="202"/>
      <c r="I56" s="77"/>
      <c r="J56" s="77"/>
      <c r="K56" s="198"/>
      <c r="L56" s="121"/>
      <c r="M56" s="25">
        <f aca="true" t="shared" si="26" ref="M56:N60">M55+K56</f>
        <v>402744</v>
      </c>
      <c r="N56" s="25">
        <f t="shared" si="26"/>
        <v>1455767</v>
      </c>
      <c r="O56" s="195"/>
      <c r="P56" s="195"/>
      <c r="Q56" s="25"/>
      <c r="R56" s="25"/>
      <c r="S56" s="26">
        <f t="shared" si="16"/>
        <v>0</v>
      </c>
      <c r="T56" s="25">
        <f t="shared" si="5"/>
        <v>0</v>
      </c>
      <c r="U56" s="25">
        <f t="shared" si="20"/>
        <v>0</v>
      </c>
      <c r="V56" s="55">
        <f t="shared" si="2"/>
        <v>1858511</v>
      </c>
    </row>
    <row r="57" spans="1:22" ht="15">
      <c r="A57" s="3">
        <f t="shared" si="6"/>
        <v>49</v>
      </c>
      <c r="B57" s="146"/>
      <c r="C57" s="147">
        <v>0</v>
      </c>
      <c r="D57" s="147">
        <v>0</v>
      </c>
      <c r="E57" s="77">
        <f t="shared" si="21"/>
        <v>0</v>
      </c>
      <c r="F57" s="77">
        <f t="shared" si="22"/>
        <v>0</v>
      </c>
      <c r="G57" s="202"/>
      <c r="H57" s="202"/>
      <c r="I57" s="77"/>
      <c r="J57" s="77"/>
      <c r="K57" s="198"/>
      <c r="L57" s="121"/>
      <c r="M57" s="25">
        <f t="shared" si="26"/>
        <v>402744</v>
      </c>
      <c r="N57" s="25">
        <f t="shared" si="26"/>
        <v>1455767</v>
      </c>
      <c r="O57" s="195"/>
      <c r="P57" s="195"/>
      <c r="Q57" s="25"/>
      <c r="R57" s="25"/>
      <c r="S57" s="26">
        <f t="shared" si="16"/>
        <v>0</v>
      </c>
      <c r="T57" s="25">
        <f>K57+L57</f>
        <v>0</v>
      </c>
      <c r="U57" s="25">
        <f t="shared" si="20"/>
        <v>0</v>
      </c>
      <c r="V57" s="55">
        <f t="shared" si="2"/>
        <v>1858511</v>
      </c>
    </row>
    <row r="58" spans="1:22" ht="15">
      <c r="A58" s="3">
        <f t="shared" si="6"/>
        <v>50</v>
      </c>
      <c r="B58" s="146"/>
      <c r="C58" s="147">
        <v>0</v>
      </c>
      <c r="D58" s="147">
        <v>0</v>
      </c>
      <c r="E58" s="77">
        <f t="shared" si="21"/>
        <v>0</v>
      </c>
      <c r="F58" s="77">
        <f t="shared" si="22"/>
        <v>0</v>
      </c>
      <c r="G58" s="202"/>
      <c r="H58" s="202"/>
      <c r="I58" s="77"/>
      <c r="J58" s="77"/>
      <c r="K58" s="198"/>
      <c r="L58" s="121"/>
      <c r="M58" s="25">
        <f t="shared" si="26"/>
        <v>402744</v>
      </c>
      <c r="N58" s="25">
        <f t="shared" si="26"/>
        <v>1455767</v>
      </c>
      <c r="O58" s="195"/>
      <c r="P58" s="195"/>
      <c r="Q58" s="25"/>
      <c r="R58" s="25"/>
      <c r="S58" s="26">
        <f t="shared" si="16"/>
        <v>0</v>
      </c>
      <c r="T58" s="25">
        <f t="shared" si="5"/>
        <v>0</v>
      </c>
      <c r="U58" s="25">
        <f t="shared" si="20"/>
        <v>0</v>
      </c>
      <c r="V58" s="55">
        <f t="shared" si="2"/>
        <v>1858511</v>
      </c>
    </row>
    <row r="59" spans="1:22" ht="15">
      <c r="A59" s="3">
        <f t="shared" si="6"/>
        <v>51</v>
      </c>
      <c r="B59" s="146"/>
      <c r="C59" s="147">
        <v>0</v>
      </c>
      <c r="D59" s="147">
        <v>0</v>
      </c>
      <c r="E59" s="77">
        <f t="shared" si="21"/>
        <v>0</v>
      </c>
      <c r="F59" s="77">
        <f t="shared" si="22"/>
        <v>0</v>
      </c>
      <c r="G59" s="202"/>
      <c r="H59" s="202"/>
      <c r="I59" s="77"/>
      <c r="J59" s="77"/>
      <c r="K59" s="198"/>
      <c r="L59" s="121"/>
      <c r="M59" s="25">
        <f t="shared" si="26"/>
        <v>402744</v>
      </c>
      <c r="N59" s="25">
        <f t="shared" si="26"/>
        <v>1455767</v>
      </c>
      <c r="O59" s="195"/>
      <c r="P59" s="195"/>
      <c r="Q59" s="25"/>
      <c r="R59" s="25"/>
      <c r="S59" s="26">
        <f t="shared" si="16"/>
        <v>0</v>
      </c>
      <c r="T59" s="25">
        <f t="shared" si="5"/>
        <v>0</v>
      </c>
      <c r="U59" s="25">
        <f t="shared" si="20"/>
        <v>0</v>
      </c>
      <c r="V59" s="55">
        <f t="shared" si="2"/>
        <v>1858511</v>
      </c>
    </row>
    <row r="60" spans="1:22" ht="15.75" thickBot="1">
      <c r="A60" s="3">
        <f t="shared" si="6"/>
        <v>52</v>
      </c>
      <c r="B60" s="148"/>
      <c r="C60" s="149">
        <v>0</v>
      </c>
      <c r="D60" s="149">
        <v>0</v>
      </c>
      <c r="E60" s="75">
        <f t="shared" si="21"/>
        <v>0</v>
      </c>
      <c r="F60" s="75">
        <f t="shared" si="22"/>
        <v>0</v>
      </c>
      <c r="G60" s="194"/>
      <c r="H60" s="194"/>
      <c r="I60" s="186"/>
      <c r="J60" s="186"/>
      <c r="K60" s="157"/>
      <c r="L60" s="150"/>
      <c r="M60" s="58">
        <f t="shared" si="26"/>
        <v>402744</v>
      </c>
      <c r="N60" s="58">
        <f t="shared" si="26"/>
        <v>1455767</v>
      </c>
      <c r="O60" s="197"/>
      <c r="P60" s="197"/>
      <c r="Q60" s="58"/>
      <c r="R60" s="58"/>
      <c r="S60" s="56">
        <f t="shared" si="16"/>
        <v>0</v>
      </c>
      <c r="T60" s="58">
        <f t="shared" si="5"/>
        <v>0</v>
      </c>
      <c r="U60" s="58">
        <f t="shared" si="20"/>
        <v>0</v>
      </c>
      <c r="V60" s="57">
        <f t="shared" si="2"/>
        <v>1858511</v>
      </c>
    </row>
    <row r="61" spans="2:22" ht="12.75">
      <c r="B61" s="53"/>
      <c r="E61" s="78"/>
      <c r="F61" s="78"/>
      <c r="G61" s="78"/>
      <c r="H61" s="78"/>
      <c r="I61" s="78"/>
      <c r="J61" s="78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spans="2:11" ht="12.75">
      <c r="B68" s="53"/>
      <c r="K68" s="8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  <row r="4706" ht="12.75">
      <c r="B4706" s="27"/>
    </row>
  </sheetData>
  <sheetProtection/>
  <mergeCells count="16">
    <mergeCell ref="C4:D4"/>
    <mergeCell ref="C5:D5"/>
    <mergeCell ref="E4:F4"/>
    <mergeCell ref="E5:F5"/>
    <mergeCell ref="G4:H4"/>
    <mergeCell ref="G5:H5"/>
    <mergeCell ref="O4:P4"/>
    <mergeCell ref="Q4:R4"/>
    <mergeCell ref="O5:P5"/>
    <mergeCell ref="Q5:R5"/>
    <mergeCell ref="I4:J4"/>
    <mergeCell ref="I5:J5"/>
    <mergeCell ref="K4:L4"/>
    <mergeCell ref="K5:L5"/>
    <mergeCell ref="M4:N4"/>
    <mergeCell ref="M5:N5"/>
  </mergeCells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.75">
      <c r="A1" s="84" t="s">
        <v>159</v>
      </c>
    </row>
    <row r="2" ht="15.75">
      <c r="A2" s="84" t="s">
        <v>0</v>
      </c>
    </row>
    <row r="4" spans="1:2" ht="15">
      <c r="A4" s="158" t="s">
        <v>232</v>
      </c>
      <c r="B4" s="126">
        <f>'Weekliks-Weekly'!B49</f>
        <v>43504</v>
      </c>
    </row>
    <row r="5" spans="1:2" ht="15">
      <c r="A5" s="158" t="s">
        <v>227</v>
      </c>
      <c r="B5" s="86">
        <f>B4</f>
        <v>43504</v>
      </c>
    </row>
    <row r="6" ht="15.75">
      <c r="D6" s="84"/>
    </row>
    <row r="7" spans="1:5" ht="15.75">
      <c r="A7" s="84" t="s">
        <v>1</v>
      </c>
      <c r="B7" s="84" t="s">
        <v>2</v>
      </c>
      <c r="E7" s="87"/>
    </row>
    <row r="8" spans="1:6" ht="15.7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.7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11</v>
      </c>
      <c r="F9" s="88"/>
    </row>
    <row r="10" spans="1:6" ht="15.7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.75">
      <c r="A11" s="91" t="s">
        <v>117</v>
      </c>
      <c r="B11" s="122">
        <f>0</f>
        <v>0</v>
      </c>
      <c r="E11" s="88"/>
      <c r="F11" s="88"/>
    </row>
    <row r="12" spans="1:6" ht="15.75">
      <c r="A12" s="91" t="s">
        <v>126</v>
      </c>
      <c r="B12" s="122">
        <f>0</f>
        <v>0</v>
      </c>
      <c r="E12" s="88"/>
      <c r="F12" s="88"/>
    </row>
    <row r="13" spans="1:6" ht="15.7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.75">
      <c r="A15" s="84" t="s">
        <v>6</v>
      </c>
      <c r="B15" s="85" t="s">
        <v>2</v>
      </c>
      <c r="F15" s="88"/>
    </row>
    <row r="16" spans="1:6" ht="15.7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.7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11</v>
      </c>
      <c r="F17" s="88"/>
    </row>
    <row r="18" spans="1:12" ht="15.7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69"/>
    </row>
    <row r="19" spans="1:12" ht="15.75">
      <c r="A19" s="91" t="s">
        <v>124</v>
      </c>
      <c r="B19" s="122">
        <f>0</f>
        <v>0</v>
      </c>
      <c r="E19" s="88"/>
      <c r="F19" s="88"/>
      <c r="L19" s="169"/>
    </row>
    <row r="20" spans="1:12" ht="15.75">
      <c r="A20" s="91" t="s">
        <v>3</v>
      </c>
      <c r="B20" s="122">
        <f>0</f>
        <v>0</v>
      </c>
      <c r="E20" s="88"/>
      <c r="F20" s="88"/>
      <c r="L20" s="169"/>
    </row>
    <row r="21" spans="1:6" ht="15.75">
      <c r="A21" s="91" t="s">
        <v>98</v>
      </c>
      <c r="B21" s="122">
        <f>0</f>
        <v>0</v>
      </c>
      <c r="E21" s="88"/>
      <c r="F21" s="88"/>
    </row>
    <row r="22" spans="1:6" ht="15.75">
      <c r="A22" s="91" t="s">
        <v>70</v>
      </c>
      <c r="B22" s="122">
        <f>0</f>
        <v>0</v>
      </c>
      <c r="E22" s="88"/>
      <c r="F22" s="88"/>
    </row>
    <row r="23" spans="1:6" ht="15.7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.7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.75">
      <c r="A1" s="84" t="s">
        <v>160</v>
      </c>
    </row>
    <row r="2" s="85" customFormat="1" ht="15.7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6" spans="1:2" s="85" customFormat="1" ht="15">
      <c r="A6" s="158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.75">
      <c r="A1" s="84" t="s">
        <v>158</v>
      </c>
    </row>
    <row r="2" s="85" customFormat="1" ht="15.7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7" spans="1:8" ht="15.75">
      <c r="A7" s="211" t="s">
        <v>164</v>
      </c>
      <c r="B7" s="212"/>
      <c r="C7" s="212"/>
      <c r="D7" s="212"/>
      <c r="E7" s="212"/>
      <c r="F7" s="212"/>
      <c r="G7" s="212"/>
      <c r="H7" s="213"/>
    </row>
    <row r="8" spans="1:8" ht="15.75">
      <c r="A8" s="211" t="s">
        <v>165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152</v>
      </c>
      <c r="D10" s="172" t="s">
        <v>207</v>
      </c>
      <c r="E10" s="172" t="s">
        <v>214</v>
      </c>
      <c r="F10" s="172" t="s">
        <v>151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87</v>
      </c>
      <c r="D12" s="173">
        <v>0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392</v>
      </c>
      <c r="D14" s="173">
        <v>0</v>
      </c>
      <c r="E14" s="173">
        <v>0</v>
      </c>
      <c r="F14" s="173">
        <v>0</v>
      </c>
      <c r="G14" s="174">
        <f t="shared" si="0"/>
        <v>392</v>
      </c>
      <c r="H14" s="174">
        <f t="shared" si="1"/>
        <v>479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4">
        <f t="shared" si="0"/>
        <v>0</v>
      </c>
      <c r="H15" s="174">
        <f t="shared" si="1"/>
        <v>479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479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4">
        <f t="shared" si="0"/>
        <v>0</v>
      </c>
      <c r="H17" s="174">
        <f t="shared" si="1"/>
        <v>479</v>
      </c>
    </row>
    <row r="18" spans="1:8" ht="12.75">
      <c r="A18" s="170">
        <v>8</v>
      </c>
      <c r="B18" s="170" t="s">
        <v>142</v>
      </c>
      <c r="C18" s="173">
        <v>131</v>
      </c>
      <c r="D18" s="173">
        <v>0</v>
      </c>
      <c r="E18" s="173">
        <v>0</v>
      </c>
      <c r="F18" s="173">
        <v>0</v>
      </c>
      <c r="G18" s="174">
        <f t="shared" si="0"/>
        <v>131</v>
      </c>
      <c r="H18" s="174">
        <f t="shared" si="1"/>
        <v>610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610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610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610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610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610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610</v>
      </c>
    </row>
    <row r="25" spans="1:8" ht="12.75">
      <c r="A25" s="170">
        <v>15</v>
      </c>
      <c r="B25" s="170" t="s">
        <v>155</v>
      </c>
      <c r="C25" s="173">
        <v>260</v>
      </c>
      <c r="D25" s="173">
        <v>0</v>
      </c>
      <c r="E25" s="173">
        <v>0</v>
      </c>
      <c r="F25" s="173">
        <v>0</v>
      </c>
      <c r="G25" s="174">
        <f t="shared" si="0"/>
        <v>260</v>
      </c>
      <c r="H25" s="174">
        <f t="shared" si="1"/>
        <v>870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870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0</v>
      </c>
      <c r="F27" s="173">
        <v>0</v>
      </c>
      <c r="G27" s="174">
        <f t="shared" si="0"/>
        <v>0</v>
      </c>
      <c r="H27" s="174">
        <f t="shared" si="1"/>
        <v>870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870</v>
      </c>
    </row>
    <row r="29" spans="1:8" ht="12.75">
      <c r="A29" s="170">
        <v>19</v>
      </c>
      <c r="B29" s="170" t="s">
        <v>174</v>
      </c>
      <c r="C29" s="173">
        <v>143</v>
      </c>
      <c r="D29" s="173">
        <v>0</v>
      </c>
      <c r="E29" s="173">
        <v>0</v>
      </c>
      <c r="F29" s="173">
        <v>0</v>
      </c>
      <c r="G29" s="174">
        <f t="shared" si="0"/>
        <v>143</v>
      </c>
      <c r="H29" s="174">
        <f t="shared" si="1"/>
        <v>1013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1013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1013</v>
      </c>
    </row>
    <row r="32" spans="1:8" ht="12.75">
      <c r="A32" s="170">
        <v>22</v>
      </c>
      <c r="B32" s="170" t="s">
        <v>177</v>
      </c>
      <c r="C32" s="173">
        <v>111</v>
      </c>
      <c r="D32" s="173">
        <v>0</v>
      </c>
      <c r="E32" s="173">
        <v>0</v>
      </c>
      <c r="F32" s="173">
        <v>0</v>
      </c>
      <c r="G32" s="174">
        <f t="shared" si="0"/>
        <v>111</v>
      </c>
      <c r="H32" s="174">
        <f t="shared" si="1"/>
        <v>1124</v>
      </c>
    </row>
    <row r="33" spans="1:8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4">
        <f t="shared" si="0"/>
        <v>0</v>
      </c>
      <c r="H33" s="174">
        <f t="shared" si="1"/>
        <v>1124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1124</v>
      </c>
    </row>
    <row r="35" spans="1:8" ht="12.75">
      <c r="A35" s="170">
        <v>25</v>
      </c>
      <c r="B35" s="170" t="s">
        <v>180</v>
      </c>
      <c r="C35" s="173">
        <v>1022</v>
      </c>
      <c r="D35" s="173">
        <v>8294</v>
      </c>
      <c r="E35" s="173">
        <v>0</v>
      </c>
      <c r="F35" s="173">
        <v>0</v>
      </c>
      <c r="G35" s="174">
        <f t="shared" si="0"/>
        <v>9316</v>
      </c>
      <c r="H35" s="174">
        <f t="shared" si="1"/>
        <v>10440</v>
      </c>
    </row>
    <row r="36" spans="1:8" ht="12.75">
      <c r="A36" s="170">
        <v>26</v>
      </c>
      <c r="B36" s="170" t="s">
        <v>182</v>
      </c>
      <c r="C36" s="173">
        <v>0</v>
      </c>
      <c r="D36" s="173">
        <v>0</v>
      </c>
      <c r="E36" s="173">
        <v>0</v>
      </c>
      <c r="F36" s="173">
        <v>0</v>
      </c>
      <c r="G36" s="174">
        <f t="shared" si="0"/>
        <v>0</v>
      </c>
      <c r="H36" s="174">
        <f t="shared" si="1"/>
        <v>10440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10440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10440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10440</v>
      </c>
    </row>
    <row r="40" spans="1:8" ht="12.75">
      <c r="A40" s="170">
        <v>30</v>
      </c>
      <c r="B40" s="170" t="s">
        <v>187</v>
      </c>
      <c r="C40" s="173">
        <v>0</v>
      </c>
      <c r="D40" s="173">
        <v>0</v>
      </c>
      <c r="E40" s="173">
        <v>0</v>
      </c>
      <c r="F40" s="173">
        <v>0</v>
      </c>
      <c r="G40" s="174">
        <f t="shared" si="0"/>
        <v>0</v>
      </c>
      <c r="H40" s="174">
        <f t="shared" si="1"/>
        <v>10440</v>
      </c>
    </row>
    <row r="41" spans="1:8" ht="12.75">
      <c r="A41" s="170">
        <v>31</v>
      </c>
      <c r="B41" s="170" t="s">
        <v>189</v>
      </c>
      <c r="C41" s="173">
        <v>374</v>
      </c>
      <c r="D41" s="173">
        <v>0</v>
      </c>
      <c r="E41" s="173">
        <v>0</v>
      </c>
      <c r="F41" s="173">
        <v>0</v>
      </c>
      <c r="G41" s="174">
        <f t="shared" si="0"/>
        <v>374</v>
      </c>
      <c r="H41" s="174">
        <f t="shared" si="1"/>
        <v>10814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10814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10814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10814</v>
      </c>
    </row>
    <row r="45" spans="1:8" ht="12.75">
      <c r="A45" s="170" t="s">
        <v>201</v>
      </c>
      <c r="B45" s="170" t="s">
        <v>193</v>
      </c>
      <c r="C45" s="173">
        <v>141</v>
      </c>
      <c r="D45" s="173">
        <v>0</v>
      </c>
      <c r="E45" s="173">
        <v>0</v>
      </c>
      <c r="F45" s="173">
        <v>0</v>
      </c>
      <c r="G45" s="174">
        <f t="shared" si="0"/>
        <v>141</v>
      </c>
      <c r="H45" s="174">
        <f t="shared" si="1"/>
        <v>10955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4">
        <f t="shared" si="0"/>
        <v>0</v>
      </c>
      <c r="H46" s="174">
        <f t="shared" si="1"/>
        <v>10955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4">
        <f t="shared" si="0"/>
        <v>0</v>
      </c>
      <c r="H47" s="174">
        <f t="shared" si="1"/>
        <v>10955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0</v>
      </c>
      <c r="G48" s="174">
        <f t="shared" si="0"/>
        <v>0</v>
      </c>
      <c r="H48" s="174">
        <f t="shared" si="1"/>
        <v>10955</v>
      </c>
    </row>
    <row r="49" spans="1:8" ht="12.75">
      <c r="A49" s="170">
        <v>39</v>
      </c>
      <c r="B49" s="170" t="s">
        <v>199</v>
      </c>
      <c r="C49" s="173">
        <v>0</v>
      </c>
      <c r="D49" s="173">
        <v>0</v>
      </c>
      <c r="E49" s="173">
        <v>0</v>
      </c>
      <c r="F49" s="173">
        <v>0</v>
      </c>
      <c r="G49" s="174">
        <f t="shared" si="0"/>
        <v>0</v>
      </c>
      <c r="H49" s="174">
        <f t="shared" si="1"/>
        <v>10955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149</v>
      </c>
      <c r="F50" s="173">
        <v>0</v>
      </c>
      <c r="G50" s="174">
        <f t="shared" si="0"/>
        <v>149</v>
      </c>
      <c r="H50" s="174">
        <f t="shared" si="1"/>
        <v>11104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11104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11104</v>
      </c>
    </row>
    <row r="53" spans="1:8" ht="12.75">
      <c r="A53" s="170">
        <v>43</v>
      </c>
      <c r="B53" s="170" t="s">
        <v>208</v>
      </c>
      <c r="C53" s="173">
        <v>0</v>
      </c>
      <c r="D53" s="173">
        <v>0</v>
      </c>
      <c r="E53" s="173">
        <v>0</v>
      </c>
      <c r="F53" s="173">
        <v>0</v>
      </c>
      <c r="G53" s="174">
        <f t="shared" si="0"/>
        <v>0</v>
      </c>
      <c r="H53" s="174">
        <f t="shared" si="1"/>
        <v>11104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11104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429</v>
      </c>
      <c r="G55" s="174">
        <f t="shared" si="0"/>
        <v>429</v>
      </c>
      <c r="H55" s="174">
        <f t="shared" si="1"/>
        <v>11533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11533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11533</v>
      </c>
    </row>
    <row r="58" spans="1:8" ht="12.75">
      <c r="A58" s="170">
        <v>48</v>
      </c>
      <c r="B58" s="170" t="s">
        <v>215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11533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11533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11533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11533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11533</v>
      </c>
    </row>
    <row r="63" spans="1:8" ht="12.75">
      <c r="A63" s="170" t="s">
        <v>120</v>
      </c>
      <c r="B63" s="170" t="s">
        <v>121</v>
      </c>
      <c r="C63" s="174">
        <f>SUM(C11:C62)</f>
        <v>2661</v>
      </c>
      <c r="D63" s="174">
        <f>SUM(D11:D62)</f>
        <v>8294</v>
      </c>
      <c r="E63" s="174">
        <f>SUM(E11:E62)</f>
        <v>149</v>
      </c>
      <c r="F63" s="174">
        <f>SUM(F11:F62)</f>
        <v>429</v>
      </c>
      <c r="G63" s="174">
        <f>SUM(G11:G62)</f>
        <v>11533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223</v>
      </c>
      <c r="F65" s="171"/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.75">
      <c r="A1" s="84" t="s">
        <v>168</v>
      </c>
    </row>
    <row r="2" s="85" customFormat="1" ht="15.75">
      <c r="A2" s="84" t="s">
        <v>169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11" ht="15.75">
      <c r="A7" s="211" t="s">
        <v>219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5.75">
      <c r="A8" s="211" t="s">
        <v>203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12.75">
      <c r="A10" s="172"/>
      <c r="B10" s="172" t="s">
        <v>118</v>
      </c>
      <c r="C10" s="172" t="s">
        <v>220</v>
      </c>
      <c r="D10" s="172" t="s">
        <v>166</v>
      </c>
      <c r="E10" s="172" t="s">
        <v>181</v>
      </c>
      <c r="F10" s="172" t="s">
        <v>170</v>
      </c>
      <c r="G10" s="172" t="s">
        <v>171</v>
      </c>
      <c r="H10" s="172" t="s">
        <v>216</v>
      </c>
      <c r="I10" s="172" t="s">
        <v>167</v>
      </c>
      <c r="J10" s="172" t="s">
        <v>146</v>
      </c>
      <c r="K10" s="172" t="s">
        <v>146</v>
      </c>
    </row>
    <row r="11" spans="1:11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4">
        <f aca="true" t="shared" si="0" ref="J11:J62">SUM(C11:I11)</f>
        <v>0</v>
      </c>
      <c r="K11" s="174">
        <f>J11</f>
        <v>0</v>
      </c>
    </row>
    <row r="12" spans="1:11" ht="12.75">
      <c r="A12" s="170">
        <v>2</v>
      </c>
      <c r="B12" s="170" t="s">
        <v>136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136</v>
      </c>
      <c r="J12" s="174">
        <f t="shared" si="0"/>
        <v>136</v>
      </c>
      <c r="K12" s="174">
        <f aca="true" t="shared" si="1" ref="K12:K62">J12+K11</f>
        <v>136</v>
      </c>
    </row>
    <row r="13" spans="1:11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483</v>
      </c>
      <c r="J13" s="174">
        <f t="shared" si="0"/>
        <v>483</v>
      </c>
      <c r="K13" s="174">
        <f t="shared" si="1"/>
        <v>619</v>
      </c>
    </row>
    <row r="14" spans="1:11" ht="12.75">
      <c r="A14" s="170">
        <v>4</v>
      </c>
      <c r="B14" s="170" t="s">
        <v>138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515</v>
      </c>
      <c r="J14" s="174">
        <f t="shared" si="0"/>
        <v>515</v>
      </c>
      <c r="K14" s="174">
        <f t="shared" si="1"/>
        <v>1134</v>
      </c>
    </row>
    <row r="15" spans="1:11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4">
        <f t="shared" si="0"/>
        <v>0</v>
      </c>
      <c r="K15" s="174">
        <f t="shared" si="1"/>
        <v>1134</v>
      </c>
    </row>
    <row r="16" spans="1:11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957</v>
      </c>
      <c r="J16" s="174">
        <f t="shared" si="0"/>
        <v>957</v>
      </c>
      <c r="K16" s="174">
        <f t="shared" si="1"/>
        <v>2091</v>
      </c>
    </row>
    <row r="17" spans="1:11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4">
        <f t="shared" si="0"/>
        <v>0</v>
      </c>
      <c r="K17" s="174">
        <f t="shared" si="1"/>
        <v>2091</v>
      </c>
    </row>
    <row r="18" spans="1:11" ht="12.75">
      <c r="A18" s="170">
        <v>8</v>
      </c>
      <c r="B18" s="170" t="s">
        <v>142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1240</v>
      </c>
      <c r="J18" s="174">
        <f t="shared" si="0"/>
        <v>1240</v>
      </c>
      <c r="K18" s="174">
        <f t="shared" si="1"/>
        <v>3331</v>
      </c>
    </row>
    <row r="19" spans="1:11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4">
        <f t="shared" si="0"/>
        <v>0</v>
      </c>
      <c r="K19" s="174">
        <f t="shared" si="1"/>
        <v>3331</v>
      </c>
    </row>
    <row r="20" spans="1:11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4">
        <f t="shared" si="0"/>
        <v>0</v>
      </c>
      <c r="K20" s="174">
        <f t="shared" si="1"/>
        <v>3331</v>
      </c>
    </row>
    <row r="21" spans="1:11" ht="12.75">
      <c r="A21" s="170">
        <v>11</v>
      </c>
      <c r="B21" s="170" t="s">
        <v>145</v>
      </c>
      <c r="C21" s="173">
        <v>0</v>
      </c>
      <c r="D21" s="173">
        <v>529</v>
      </c>
      <c r="E21" s="173">
        <v>0</v>
      </c>
      <c r="F21" s="173">
        <v>0</v>
      </c>
      <c r="G21" s="173">
        <v>0</v>
      </c>
      <c r="H21" s="173">
        <v>0</v>
      </c>
      <c r="I21" s="173">
        <v>4993</v>
      </c>
      <c r="J21" s="174">
        <f t="shared" si="0"/>
        <v>5522</v>
      </c>
      <c r="K21" s="174">
        <f t="shared" si="1"/>
        <v>8853</v>
      </c>
    </row>
    <row r="22" spans="1:11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4">
        <f t="shared" si="0"/>
        <v>0</v>
      </c>
      <c r="K22" s="174">
        <f t="shared" si="1"/>
        <v>8853</v>
      </c>
    </row>
    <row r="23" spans="1:11" ht="12.75">
      <c r="A23" s="170">
        <v>13</v>
      </c>
      <c r="B23" s="170" t="s">
        <v>150</v>
      </c>
      <c r="C23" s="173">
        <v>0</v>
      </c>
      <c r="D23" s="173">
        <v>3080</v>
      </c>
      <c r="E23" s="173">
        <v>0</v>
      </c>
      <c r="F23" s="173">
        <v>0</v>
      </c>
      <c r="G23" s="173">
        <v>0</v>
      </c>
      <c r="H23" s="173">
        <v>0</v>
      </c>
      <c r="I23" s="173">
        <v>7</v>
      </c>
      <c r="J23" s="174">
        <f t="shared" si="0"/>
        <v>3087</v>
      </c>
      <c r="K23" s="174">
        <f t="shared" si="1"/>
        <v>11940</v>
      </c>
    </row>
    <row r="24" spans="1:11" ht="12.75">
      <c r="A24" s="170">
        <v>14</v>
      </c>
      <c r="B24" s="170" t="s">
        <v>154</v>
      </c>
      <c r="C24" s="173">
        <v>0</v>
      </c>
      <c r="D24" s="173">
        <v>4366</v>
      </c>
      <c r="E24" s="173">
        <v>0</v>
      </c>
      <c r="F24" s="173">
        <v>0</v>
      </c>
      <c r="G24" s="173">
        <v>0</v>
      </c>
      <c r="H24" s="173">
        <v>0</v>
      </c>
      <c r="I24" s="173">
        <v>4183</v>
      </c>
      <c r="J24" s="174">
        <f t="shared" si="0"/>
        <v>8549</v>
      </c>
      <c r="K24" s="174">
        <f t="shared" si="1"/>
        <v>20489</v>
      </c>
    </row>
    <row r="25" spans="1:11" ht="12.75">
      <c r="A25" s="170">
        <v>15</v>
      </c>
      <c r="B25" s="170" t="s">
        <v>155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4">
        <f t="shared" si="0"/>
        <v>0</v>
      </c>
      <c r="K25" s="174">
        <f t="shared" si="1"/>
        <v>20489</v>
      </c>
    </row>
    <row r="26" spans="1:11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8116</v>
      </c>
      <c r="J26" s="174">
        <f t="shared" si="0"/>
        <v>8116</v>
      </c>
      <c r="K26" s="174">
        <f t="shared" si="1"/>
        <v>28605</v>
      </c>
    </row>
    <row r="27" spans="1:11" ht="12.75">
      <c r="A27" s="170">
        <v>17</v>
      </c>
      <c r="B27" s="170" t="s">
        <v>162</v>
      </c>
      <c r="C27" s="173">
        <v>0</v>
      </c>
      <c r="D27" s="173">
        <v>749</v>
      </c>
      <c r="E27" s="173">
        <v>0</v>
      </c>
      <c r="F27" s="173">
        <v>0</v>
      </c>
      <c r="G27" s="173">
        <v>0</v>
      </c>
      <c r="H27" s="173">
        <v>0</v>
      </c>
      <c r="I27" s="173">
        <v>8613</v>
      </c>
      <c r="J27" s="174">
        <f t="shared" si="0"/>
        <v>9362</v>
      </c>
      <c r="K27" s="174">
        <f t="shared" si="1"/>
        <v>37967</v>
      </c>
    </row>
    <row r="28" spans="1:11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7858</v>
      </c>
      <c r="J28" s="174">
        <f t="shared" si="0"/>
        <v>7858</v>
      </c>
      <c r="K28" s="174">
        <f t="shared" si="1"/>
        <v>45825</v>
      </c>
    </row>
    <row r="29" spans="1:11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5356</v>
      </c>
      <c r="J29" s="174">
        <f t="shared" si="0"/>
        <v>5356</v>
      </c>
      <c r="K29" s="174">
        <f t="shared" si="1"/>
        <v>51181</v>
      </c>
    </row>
    <row r="30" spans="1:11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3639</v>
      </c>
      <c r="J30" s="174">
        <f t="shared" si="0"/>
        <v>3639</v>
      </c>
      <c r="K30" s="174">
        <f t="shared" si="1"/>
        <v>54820</v>
      </c>
    </row>
    <row r="31" spans="1:11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4297</v>
      </c>
      <c r="J31" s="174">
        <f t="shared" si="0"/>
        <v>4297</v>
      </c>
      <c r="K31" s="174">
        <f t="shared" si="1"/>
        <v>59117</v>
      </c>
    </row>
    <row r="32" spans="1:11" ht="12.75">
      <c r="A32" s="170">
        <v>22</v>
      </c>
      <c r="B32" s="170" t="s">
        <v>177</v>
      </c>
      <c r="C32" s="173">
        <v>0</v>
      </c>
      <c r="D32" s="173">
        <v>2369</v>
      </c>
      <c r="E32" s="173">
        <v>68</v>
      </c>
      <c r="F32" s="173">
        <v>0</v>
      </c>
      <c r="G32" s="173">
        <v>0</v>
      </c>
      <c r="H32" s="173">
        <v>0</v>
      </c>
      <c r="I32" s="173">
        <v>8532</v>
      </c>
      <c r="J32" s="174">
        <f t="shared" si="0"/>
        <v>10969</v>
      </c>
      <c r="K32" s="174">
        <f t="shared" si="1"/>
        <v>70086</v>
      </c>
    </row>
    <row r="33" spans="1:11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10</v>
      </c>
      <c r="J33" s="174">
        <f t="shared" si="0"/>
        <v>10</v>
      </c>
      <c r="K33" s="174">
        <f t="shared" si="1"/>
        <v>70096</v>
      </c>
    </row>
    <row r="34" spans="1:11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1184</v>
      </c>
      <c r="J34" s="174">
        <f t="shared" si="0"/>
        <v>1184</v>
      </c>
      <c r="K34" s="174">
        <f t="shared" si="1"/>
        <v>71280</v>
      </c>
    </row>
    <row r="35" spans="1:11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3085</v>
      </c>
      <c r="J35" s="174">
        <f t="shared" si="0"/>
        <v>3085</v>
      </c>
      <c r="K35" s="174">
        <f t="shared" si="1"/>
        <v>74365</v>
      </c>
    </row>
    <row r="36" spans="1:11" ht="12.75">
      <c r="A36" s="170">
        <v>26</v>
      </c>
      <c r="B36" s="170" t="s">
        <v>182</v>
      </c>
      <c r="C36" s="173">
        <v>0</v>
      </c>
      <c r="D36" s="173">
        <v>1760</v>
      </c>
      <c r="E36" s="173">
        <v>0</v>
      </c>
      <c r="F36" s="173">
        <v>0</v>
      </c>
      <c r="G36" s="173">
        <v>0</v>
      </c>
      <c r="H36" s="173">
        <v>0</v>
      </c>
      <c r="I36" s="173">
        <v>11964</v>
      </c>
      <c r="J36" s="174">
        <f t="shared" si="0"/>
        <v>13724</v>
      </c>
      <c r="K36" s="174">
        <f t="shared" si="1"/>
        <v>88089</v>
      </c>
    </row>
    <row r="37" spans="1:11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1973</v>
      </c>
      <c r="J37" s="174">
        <f t="shared" si="0"/>
        <v>1973</v>
      </c>
      <c r="K37" s="174">
        <f t="shared" si="1"/>
        <v>90062</v>
      </c>
    </row>
    <row r="38" spans="1:11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470</v>
      </c>
      <c r="J38" s="174">
        <f t="shared" si="0"/>
        <v>470</v>
      </c>
      <c r="K38" s="174">
        <f t="shared" si="1"/>
        <v>90532</v>
      </c>
    </row>
    <row r="39" spans="1:11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7009</v>
      </c>
      <c r="J39" s="174">
        <f t="shared" si="0"/>
        <v>7009</v>
      </c>
      <c r="K39" s="174">
        <f t="shared" si="1"/>
        <v>97541</v>
      </c>
    </row>
    <row r="40" spans="1:11" ht="12.75">
      <c r="A40" s="170">
        <v>30</v>
      </c>
      <c r="B40" s="170" t="s">
        <v>187</v>
      </c>
      <c r="C40" s="173">
        <v>0</v>
      </c>
      <c r="D40" s="173">
        <v>6175</v>
      </c>
      <c r="E40" s="173">
        <v>0</v>
      </c>
      <c r="F40" s="173">
        <v>0</v>
      </c>
      <c r="G40" s="173">
        <v>0</v>
      </c>
      <c r="H40" s="173">
        <v>0</v>
      </c>
      <c r="I40" s="173">
        <v>10366</v>
      </c>
      <c r="J40" s="174">
        <f t="shared" si="0"/>
        <v>16541</v>
      </c>
      <c r="K40" s="174">
        <f t="shared" si="1"/>
        <v>114082</v>
      </c>
    </row>
    <row r="41" spans="1:11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1769</v>
      </c>
      <c r="J41" s="174">
        <f t="shared" si="0"/>
        <v>1769</v>
      </c>
      <c r="K41" s="174">
        <f t="shared" si="1"/>
        <v>115851</v>
      </c>
    </row>
    <row r="42" spans="1:11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4">
        <f t="shared" si="0"/>
        <v>0</v>
      </c>
      <c r="K42" s="174">
        <f t="shared" si="1"/>
        <v>115851</v>
      </c>
    </row>
    <row r="43" spans="1:11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4">
        <f t="shared" si="0"/>
        <v>0</v>
      </c>
      <c r="K43" s="174">
        <f t="shared" si="1"/>
        <v>115851</v>
      </c>
    </row>
    <row r="44" spans="1:11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4">
        <f t="shared" si="0"/>
        <v>0</v>
      </c>
      <c r="K44" s="174">
        <f t="shared" si="1"/>
        <v>115851</v>
      </c>
    </row>
    <row r="45" spans="1:11" ht="12.75">
      <c r="A45" s="170" t="s">
        <v>201</v>
      </c>
      <c r="B45" s="170" t="s">
        <v>193</v>
      </c>
      <c r="C45" s="173">
        <v>0</v>
      </c>
      <c r="D45" s="173">
        <v>10368</v>
      </c>
      <c r="E45" s="173">
        <v>0</v>
      </c>
      <c r="F45" s="173">
        <v>0</v>
      </c>
      <c r="G45" s="173">
        <v>300</v>
      </c>
      <c r="H45" s="173">
        <v>0</v>
      </c>
      <c r="I45" s="173">
        <v>13837</v>
      </c>
      <c r="J45" s="174">
        <f t="shared" si="0"/>
        <v>24505</v>
      </c>
      <c r="K45" s="174">
        <f t="shared" si="1"/>
        <v>140356</v>
      </c>
    </row>
    <row r="46" spans="1:11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1688</v>
      </c>
      <c r="J46" s="174">
        <f t="shared" si="0"/>
        <v>1688</v>
      </c>
      <c r="K46" s="174">
        <f t="shared" si="1"/>
        <v>142044</v>
      </c>
    </row>
    <row r="47" spans="1:11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3">
        <v>407</v>
      </c>
      <c r="H47" s="173">
        <v>0</v>
      </c>
      <c r="I47" s="173">
        <v>2125</v>
      </c>
      <c r="J47" s="174">
        <f t="shared" si="0"/>
        <v>2532</v>
      </c>
      <c r="K47" s="174">
        <f t="shared" si="1"/>
        <v>144576</v>
      </c>
    </row>
    <row r="48" spans="1:11" ht="12.75">
      <c r="A48" s="170">
        <v>38</v>
      </c>
      <c r="B48" s="170" t="s">
        <v>197</v>
      </c>
      <c r="C48" s="173">
        <v>0</v>
      </c>
      <c r="D48" s="173">
        <v>257</v>
      </c>
      <c r="E48" s="173">
        <v>0</v>
      </c>
      <c r="F48" s="173">
        <v>0</v>
      </c>
      <c r="G48" s="173">
        <v>0</v>
      </c>
      <c r="H48" s="173">
        <v>0</v>
      </c>
      <c r="I48" s="173">
        <v>951</v>
      </c>
      <c r="J48" s="174">
        <f t="shared" si="0"/>
        <v>1208</v>
      </c>
      <c r="K48" s="174">
        <f t="shared" si="1"/>
        <v>145784</v>
      </c>
    </row>
    <row r="49" spans="1:11" ht="12.75">
      <c r="A49" s="170">
        <v>39</v>
      </c>
      <c r="B49" s="170" t="s">
        <v>199</v>
      </c>
      <c r="C49" s="173">
        <v>0</v>
      </c>
      <c r="D49" s="173">
        <v>688</v>
      </c>
      <c r="E49" s="173">
        <v>0</v>
      </c>
      <c r="F49" s="173">
        <v>813</v>
      </c>
      <c r="G49" s="173">
        <v>445</v>
      </c>
      <c r="H49" s="173">
        <v>0</v>
      </c>
      <c r="I49" s="173">
        <v>3386</v>
      </c>
      <c r="J49" s="174">
        <f t="shared" si="0"/>
        <v>5332</v>
      </c>
      <c r="K49" s="174">
        <f t="shared" si="1"/>
        <v>151116</v>
      </c>
    </row>
    <row r="50" spans="1:11" ht="12.75">
      <c r="A50" s="170">
        <v>40</v>
      </c>
      <c r="B50" s="170" t="s">
        <v>202</v>
      </c>
      <c r="C50" s="173">
        <v>0</v>
      </c>
      <c r="D50" s="173">
        <v>399</v>
      </c>
      <c r="E50" s="173">
        <v>0</v>
      </c>
      <c r="F50" s="173">
        <v>0</v>
      </c>
      <c r="G50" s="173">
        <v>0</v>
      </c>
      <c r="H50" s="173">
        <v>0</v>
      </c>
      <c r="I50" s="173">
        <v>1855</v>
      </c>
      <c r="J50" s="174">
        <f t="shared" si="0"/>
        <v>2254</v>
      </c>
      <c r="K50" s="174">
        <f t="shared" si="1"/>
        <v>153370</v>
      </c>
    </row>
    <row r="51" spans="1:11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464</v>
      </c>
      <c r="G51" s="173">
        <v>0</v>
      </c>
      <c r="H51" s="173">
        <v>0</v>
      </c>
      <c r="I51" s="173">
        <v>3602</v>
      </c>
      <c r="J51" s="174">
        <f t="shared" si="0"/>
        <v>4066</v>
      </c>
      <c r="K51" s="174">
        <f t="shared" si="1"/>
        <v>157436</v>
      </c>
    </row>
    <row r="52" spans="1:11" ht="12.75">
      <c r="A52" s="170">
        <v>42</v>
      </c>
      <c r="B52" s="170" t="s">
        <v>206</v>
      </c>
      <c r="C52" s="173">
        <v>0</v>
      </c>
      <c r="D52" s="173">
        <v>203</v>
      </c>
      <c r="E52" s="173">
        <v>0</v>
      </c>
      <c r="F52" s="173">
        <v>105</v>
      </c>
      <c r="G52" s="173">
        <v>0</v>
      </c>
      <c r="H52" s="173">
        <v>0</v>
      </c>
      <c r="I52" s="173">
        <v>4841</v>
      </c>
      <c r="J52" s="174">
        <f t="shared" si="0"/>
        <v>5149</v>
      </c>
      <c r="K52" s="174">
        <f t="shared" si="1"/>
        <v>162585</v>
      </c>
    </row>
    <row r="53" spans="1:11" ht="12.75">
      <c r="A53" s="170">
        <v>43</v>
      </c>
      <c r="B53" s="170" t="s">
        <v>208</v>
      </c>
      <c r="C53" s="173">
        <v>0</v>
      </c>
      <c r="D53" s="173">
        <v>1362</v>
      </c>
      <c r="E53" s="173">
        <v>0</v>
      </c>
      <c r="F53" s="173">
        <v>421</v>
      </c>
      <c r="G53" s="173">
        <v>0</v>
      </c>
      <c r="H53" s="173">
        <v>0</v>
      </c>
      <c r="I53" s="173">
        <v>5881</v>
      </c>
      <c r="J53" s="174">
        <f t="shared" si="0"/>
        <v>7664</v>
      </c>
      <c r="K53" s="174">
        <f t="shared" si="1"/>
        <v>170249</v>
      </c>
    </row>
    <row r="54" spans="1:11" ht="12.75">
      <c r="A54" s="170">
        <v>44</v>
      </c>
      <c r="B54" s="170" t="s">
        <v>210</v>
      </c>
      <c r="C54" s="173">
        <v>0</v>
      </c>
      <c r="D54" s="173">
        <v>814</v>
      </c>
      <c r="E54" s="173">
        <v>0</v>
      </c>
      <c r="F54" s="173">
        <v>568</v>
      </c>
      <c r="G54" s="173">
        <v>0</v>
      </c>
      <c r="H54" s="173">
        <v>0</v>
      </c>
      <c r="I54" s="173">
        <v>2022</v>
      </c>
      <c r="J54" s="174">
        <f t="shared" si="0"/>
        <v>3404</v>
      </c>
      <c r="K54" s="174">
        <f t="shared" si="1"/>
        <v>173653</v>
      </c>
    </row>
    <row r="55" spans="1:11" ht="12.75">
      <c r="A55" s="170">
        <v>45</v>
      </c>
      <c r="B55" s="170" t="s">
        <v>211</v>
      </c>
      <c r="C55" s="173">
        <v>0</v>
      </c>
      <c r="D55" s="173">
        <v>1222</v>
      </c>
      <c r="E55" s="173">
        <v>0</v>
      </c>
      <c r="F55" s="173">
        <v>0</v>
      </c>
      <c r="G55" s="173">
        <v>0</v>
      </c>
      <c r="H55" s="173">
        <v>0</v>
      </c>
      <c r="I55" s="173">
        <v>3664</v>
      </c>
      <c r="J55" s="174">
        <f t="shared" si="0"/>
        <v>4886</v>
      </c>
      <c r="K55" s="174">
        <f t="shared" si="1"/>
        <v>178539</v>
      </c>
    </row>
    <row r="56" spans="1:11" ht="12.75">
      <c r="A56" s="170">
        <v>46</v>
      </c>
      <c r="B56" s="170" t="s">
        <v>212</v>
      </c>
      <c r="C56" s="173">
        <v>0</v>
      </c>
      <c r="D56" s="173">
        <v>1421</v>
      </c>
      <c r="E56" s="173">
        <v>0</v>
      </c>
      <c r="F56" s="173">
        <v>0</v>
      </c>
      <c r="G56" s="173">
        <v>0</v>
      </c>
      <c r="H56" s="173">
        <v>0</v>
      </c>
      <c r="I56" s="173">
        <v>4890</v>
      </c>
      <c r="J56" s="174">
        <f t="shared" si="0"/>
        <v>6311</v>
      </c>
      <c r="K56" s="174">
        <f t="shared" si="1"/>
        <v>184850</v>
      </c>
    </row>
    <row r="57" spans="1:11" ht="12.75">
      <c r="A57" s="170">
        <v>47</v>
      </c>
      <c r="B57" s="170" t="s">
        <v>213</v>
      </c>
      <c r="C57" s="173">
        <v>0</v>
      </c>
      <c r="D57" s="173">
        <v>867</v>
      </c>
      <c r="E57" s="173">
        <v>0</v>
      </c>
      <c r="F57" s="173">
        <v>0</v>
      </c>
      <c r="G57" s="173">
        <v>0</v>
      </c>
      <c r="H57" s="173">
        <v>0</v>
      </c>
      <c r="I57" s="173">
        <v>3957</v>
      </c>
      <c r="J57" s="174">
        <f t="shared" si="0"/>
        <v>4824</v>
      </c>
      <c r="K57" s="174">
        <f t="shared" si="1"/>
        <v>189674</v>
      </c>
    </row>
    <row r="58" spans="1:11" ht="12.75">
      <c r="A58" s="170">
        <v>48</v>
      </c>
      <c r="B58" s="170" t="s">
        <v>215</v>
      </c>
      <c r="C58" s="173">
        <v>0</v>
      </c>
      <c r="D58" s="173">
        <v>1202</v>
      </c>
      <c r="E58" s="173">
        <v>0</v>
      </c>
      <c r="F58" s="173">
        <v>107</v>
      </c>
      <c r="G58" s="173">
        <v>0</v>
      </c>
      <c r="H58" s="173">
        <v>19995</v>
      </c>
      <c r="I58" s="173">
        <v>7825</v>
      </c>
      <c r="J58" s="174">
        <f t="shared" si="0"/>
        <v>29129</v>
      </c>
      <c r="K58" s="174">
        <f t="shared" si="1"/>
        <v>218803</v>
      </c>
    </row>
    <row r="59" spans="1:11" ht="12.75">
      <c r="A59" s="170">
        <v>49</v>
      </c>
      <c r="B59" s="170" t="s">
        <v>217</v>
      </c>
      <c r="C59" s="173">
        <v>0</v>
      </c>
      <c r="D59" s="173">
        <v>180</v>
      </c>
      <c r="E59" s="173">
        <v>0</v>
      </c>
      <c r="F59" s="173">
        <v>0</v>
      </c>
      <c r="G59" s="173">
        <v>0</v>
      </c>
      <c r="H59" s="173">
        <v>0</v>
      </c>
      <c r="I59" s="173">
        <v>6217</v>
      </c>
      <c r="J59" s="174">
        <f t="shared" si="0"/>
        <v>6397</v>
      </c>
      <c r="K59" s="174">
        <f t="shared" si="1"/>
        <v>225200</v>
      </c>
    </row>
    <row r="60" spans="1:11" ht="12.75">
      <c r="A60" s="170">
        <v>50</v>
      </c>
      <c r="B60" s="170" t="s">
        <v>218</v>
      </c>
      <c r="C60" s="173">
        <v>809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5273</v>
      </c>
      <c r="J60" s="174">
        <f t="shared" si="0"/>
        <v>6082</v>
      </c>
      <c r="K60" s="174">
        <f t="shared" si="1"/>
        <v>231282</v>
      </c>
    </row>
    <row r="61" spans="1:11" ht="12.75">
      <c r="A61" s="170">
        <v>51</v>
      </c>
      <c r="B61" s="170" t="s">
        <v>221</v>
      </c>
      <c r="C61" s="173">
        <v>600</v>
      </c>
      <c r="D61" s="173">
        <v>102</v>
      </c>
      <c r="E61" s="173">
        <v>0</v>
      </c>
      <c r="F61" s="173">
        <v>0</v>
      </c>
      <c r="G61" s="173">
        <v>0</v>
      </c>
      <c r="H61" s="173">
        <v>0</v>
      </c>
      <c r="I61" s="173">
        <v>2001</v>
      </c>
      <c r="J61" s="174">
        <f t="shared" si="0"/>
        <v>2703</v>
      </c>
      <c r="K61" s="174">
        <f t="shared" si="1"/>
        <v>233985</v>
      </c>
    </row>
    <row r="62" spans="1:11" ht="12.75">
      <c r="A62" s="170">
        <v>52</v>
      </c>
      <c r="B62" s="170" t="s">
        <v>222</v>
      </c>
      <c r="C62" s="173">
        <v>902</v>
      </c>
      <c r="D62" s="173">
        <v>116</v>
      </c>
      <c r="E62" s="173">
        <v>0</v>
      </c>
      <c r="F62" s="173">
        <v>0</v>
      </c>
      <c r="G62" s="173">
        <v>0</v>
      </c>
      <c r="H62" s="173">
        <v>0</v>
      </c>
      <c r="I62" s="173">
        <v>3772</v>
      </c>
      <c r="J62" s="174">
        <f t="shared" si="0"/>
        <v>4790</v>
      </c>
      <c r="K62" s="174">
        <f t="shared" si="1"/>
        <v>238775</v>
      </c>
    </row>
    <row r="63" spans="1:11" ht="12.75">
      <c r="A63" s="170" t="s">
        <v>120</v>
      </c>
      <c r="B63" s="170" t="s">
        <v>121</v>
      </c>
      <c r="C63" s="174">
        <f aca="true" t="shared" si="2" ref="C63:I63">SUM(C11:C62)</f>
        <v>2311</v>
      </c>
      <c r="D63" s="174">
        <f t="shared" si="2"/>
        <v>38229</v>
      </c>
      <c r="E63" s="174">
        <f t="shared" si="2"/>
        <v>68</v>
      </c>
      <c r="F63" s="174">
        <f t="shared" si="2"/>
        <v>2478</v>
      </c>
      <c r="G63" s="174">
        <f t="shared" si="2"/>
        <v>1152</v>
      </c>
      <c r="H63" s="174">
        <f t="shared" si="2"/>
        <v>19995</v>
      </c>
      <c r="I63" s="174">
        <f t="shared" si="2"/>
        <v>174542</v>
      </c>
      <c r="J63" s="174">
        <f>SUM(J11:J62)</f>
        <v>238775</v>
      </c>
      <c r="K63" s="174"/>
    </row>
    <row r="64" spans="1:11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ht="12.75">
      <c r="A65" t="s">
        <v>198</v>
      </c>
      <c r="F65" s="171"/>
      <c r="G65" s="171"/>
      <c r="H65" s="171"/>
      <c r="I65" s="171"/>
      <c r="J65" s="171"/>
      <c r="K65" s="17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.75">
      <c r="A1" s="84" t="s">
        <v>172</v>
      </c>
    </row>
    <row r="2" s="85" customFormat="1" ht="15.75">
      <c r="A2" s="84" t="s">
        <v>173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8" ht="15.75">
      <c r="A7" s="211" t="s">
        <v>209</v>
      </c>
      <c r="B7" s="212"/>
      <c r="C7" s="212"/>
      <c r="D7" s="212"/>
      <c r="E7" s="212"/>
      <c r="F7" s="212"/>
      <c r="G7" s="212"/>
      <c r="H7" s="213"/>
    </row>
    <row r="8" spans="1:8" ht="15.75">
      <c r="A8" s="211" t="s">
        <v>204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194</v>
      </c>
      <c r="D10" s="172" t="s">
        <v>170</v>
      </c>
      <c r="E10" s="172" t="s">
        <v>171</v>
      </c>
      <c r="F10" s="172" t="s">
        <v>167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0</v>
      </c>
      <c r="D12" s="173">
        <v>87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0</v>
      </c>
      <c r="D14" s="173">
        <v>0</v>
      </c>
      <c r="E14" s="173">
        <v>1115</v>
      </c>
      <c r="F14" s="173">
        <v>912</v>
      </c>
      <c r="G14" s="174">
        <f t="shared" si="0"/>
        <v>2027</v>
      </c>
      <c r="H14" s="174">
        <f t="shared" si="1"/>
        <v>2114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290</v>
      </c>
      <c r="F15" s="173">
        <v>0</v>
      </c>
      <c r="G15" s="174">
        <f t="shared" si="0"/>
        <v>290</v>
      </c>
      <c r="H15" s="174">
        <f t="shared" si="1"/>
        <v>2404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426</v>
      </c>
      <c r="F16" s="173">
        <v>0</v>
      </c>
      <c r="G16" s="174">
        <f t="shared" si="0"/>
        <v>426</v>
      </c>
      <c r="H16" s="174">
        <f t="shared" si="1"/>
        <v>2830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71</v>
      </c>
      <c r="F17" s="173">
        <v>0</v>
      </c>
      <c r="G17" s="174">
        <f t="shared" si="0"/>
        <v>71</v>
      </c>
      <c r="H17" s="174">
        <f t="shared" si="1"/>
        <v>2901</v>
      </c>
    </row>
    <row r="18" spans="1:8" ht="12.75">
      <c r="A18" s="170">
        <v>8</v>
      </c>
      <c r="B18" s="170" t="s">
        <v>142</v>
      </c>
      <c r="C18" s="173">
        <v>0</v>
      </c>
      <c r="D18" s="173">
        <v>131</v>
      </c>
      <c r="E18" s="173">
        <v>1096</v>
      </c>
      <c r="F18" s="173">
        <v>0</v>
      </c>
      <c r="G18" s="174">
        <f t="shared" si="0"/>
        <v>1227</v>
      </c>
      <c r="H18" s="174">
        <f t="shared" si="1"/>
        <v>4128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4128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4128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4128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4128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4128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4128</v>
      </c>
    </row>
    <row r="25" spans="1:8" ht="12.75">
      <c r="A25" s="170">
        <v>15</v>
      </c>
      <c r="B25" s="170" t="s">
        <v>155</v>
      </c>
      <c r="C25" s="173">
        <v>0</v>
      </c>
      <c r="D25" s="173">
        <v>39</v>
      </c>
      <c r="E25" s="173">
        <v>0</v>
      </c>
      <c r="F25" s="173">
        <v>0</v>
      </c>
      <c r="G25" s="174">
        <f t="shared" si="0"/>
        <v>39</v>
      </c>
      <c r="H25" s="174">
        <f t="shared" si="1"/>
        <v>4167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4167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97</v>
      </c>
      <c r="F27" s="173">
        <v>0</v>
      </c>
      <c r="G27" s="174">
        <f t="shared" si="0"/>
        <v>97</v>
      </c>
      <c r="H27" s="174">
        <f t="shared" si="1"/>
        <v>4264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4264</v>
      </c>
    </row>
    <row r="29" spans="1:8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4">
        <f t="shared" si="0"/>
        <v>0</v>
      </c>
      <c r="H29" s="174">
        <f t="shared" si="1"/>
        <v>4264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4264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4264</v>
      </c>
    </row>
    <row r="32" spans="1:8" ht="12.75">
      <c r="A32" s="170">
        <v>22</v>
      </c>
      <c r="B32" s="170" t="s">
        <v>177</v>
      </c>
      <c r="C32" s="173">
        <v>0</v>
      </c>
      <c r="D32" s="173">
        <v>210</v>
      </c>
      <c r="E32" s="173">
        <v>0</v>
      </c>
      <c r="F32" s="173">
        <v>0</v>
      </c>
      <c r="G32" s="174">
        <f t="shared" si="0"/>
        <v>210</v>
      </c>
      <c r="H32" s="174">
        <f t="shared" si="1"/>
        <v>4474</v>
      </c>
    </row>
    <row r="33" spans="1:8" ht="12.75">
      <c r="A33" s="170">
        <v>23</v>
      </c>
      <c r="B33" s="170" t="s">
        <v>178</v>
      </c>
      <c r="C33" s="173">
        <v>0</v>
      </c>
      <c r="D33" s="173">
        <v>129</v>
      </c>
      <c r="E33" s="173">
        <v>0</v>
      </c>
      <c r="F33" s="173">
        <v>0</v>
      </c>
      <c r="G33" s="174">
        <f t="shared" si="0"/>
        <v>129</v>
      </c>
      <c r="H33" s="174">
        <f t="shared" si="1"/>
        <v>4603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4603</v>
      </c>
    </row>
    <row r="35" spans="1:8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4">
        <f t="shared" si="0"/>
        <v>0</v>
      </c>
      <c r="H35" s="174">
        <f t="shared" si="1"/>
        <v>4603</v>
      </c>
    </row>
    <row r="36" spans="1:8" ht="12.75">
      <c r="A36" s="170">
        <v>26</v>
      </c>
      <c r="B36" s="170" t="s">
        <v>182</v>
      </c>
      <c r="C36" s="173">
        <v>0</v>
      </c>
      <c r="D36" s="173">
        <v>298</v>
      </c>
      <c r="E36" s="173">
        <v>0</v>
      </c>
      <c r="F36" s="173">
        <v>0</v>
      </c>
      <c r="G36" s="174">
        <f t="shared" si="0"/>
        <v>298</v>
      </c>
      <c r="H36" s="174">
        <f t="shared" si="1"/>
        <v>4901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4901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4901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4901</v>
      </c>
    </row>
    <row r="40" spans="1:8" ht="12.75">
      <c r="A40" s="170">
        <v>30</v>
      </c>
      <c r="B40" s="170" t="s">
        <v>187</v>
      </c>
      <c r="C40" s="173">
        <v>724</v>
      </c>
      <c r="D40" s="173">
        <v>136</v>
      </c>
      <c r="E40" s="173">
        <v>0</v>
      </c>
      <c r="F40" s="173">
        <v>0</v>
      </c>
      <c r="G40" s="174">
        <f t="shared" si="0"/>
        <v>860</v>
      </c>
      <c r="H40" s="174">
        <f t="shared" si="1"/>
        <v>5761</v>
      </c>
    </row>
    <row r="41" spans="1:8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5761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5761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5761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5761</v>
      </c>
    </row>
    <row r="45" spans="1:8" ht="12.75">
      <c r="A45" s="170" t="s">
        <v>201</v>
      </c>
      <c r="B45" s="170" t="s">
        <v>193</v>
      </c>
      <c r="C45" s="173">
        <v>0</v>
      </c>
      <c r="D45" s="173">
        <v>374</v>
      </c>
      <c r="E45" s="173">
        <v>0</v>
      </c>
      <c r="F45" s="173">
        <v>3000</v>
      </c>
      <c r="G45" s="174">
        <f t="shared" si="0"/>
        <v>3374</v>
      </c>
      <c r="H45" s="174">
        <f t="shared" si="1"/>
        <v>9135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466</v>
      </c>
      <c r="G46" s="174">
        <f t="shared" si="0"/>
        <v>466</v>
      </c>
      <c r="H46" s="174">
        <f t="shared" si="1"/>
        <v>9601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1212</v>
      </c>
      <c r="G47" s="174">
        <f t="shared" si="0"/>
        <v>1212</v>
      </c>
      <c r="H47" s="174">
        <f t="shared" si="1"/>
        <v>10813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1327</v>
      </c>
      <c r="G48" s="174">
        <f t="shared" si="0"/>
        <v>1327</v>
      </c>
      <c r="H48" s="174">
        <f t="shared" si="1"/>
        <v>12140</v>
      </c>
    </row>
    <row r="49" spans="1:8" ht="12.75">
      <c r="A49" s="170">
        <v>39</v>
      </c>
      <c r="B49" s="170" t="s">
        <v>199</v>
      </c>
      <c r="C49" s="173">
        <v>0</v>
      </c>
      <c r="D49" s="173">
        <v>141</v>
      </c>
      <c r="E49" s="173">
        <v>0</v>
      </c>
      <c r="F49" s="173">
        <v>1081</v>
      </c>
      <c r="G49" s="174">
        <f t="shared" si="0"/>
        <v>1222</v>
      </c>
      <c r="H49" s="174">
        <f t="shared" si="1"/>
        <v>13362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0</v>
      </c>
      <c r="F50" s="173">
        <v>641</v>
      </c>
      <c r="G50" s="174">
        <f t="shared" si="0"/>
        <v>641</v>
      </c>
      <c r="H50" s="174">
        <f t="shared" si="1"/>
        <v>14003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14003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14003</v>
      </c>
    </row>
    <row r="53" spans="1:8" ht="12.75">
      <c r="A53" s="170">
        <v>43</v>
      </c>
      <c r="B53" s="170" t="s">
        <v>208</v>
      </c>
      <c r="C53" s="173">
        <v>0</v>
      </c>
      <c r="D53" s="173">
        <v>135</v>
      </c>
      <c r="E53" s="173">
        <v>0</v>
      </c>
      <c r="F53" s="173">
        <v>0</v>
      </c>
      <c r="G53" s="174">
        <f t="shared" si="0"/>
        <v>135</v>
      </c>
      <c r="H53" s="174">
        <f t="shared" si="1"/>
        <v>14138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14138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0</v>
      </c>
      <c r="G55" s="174">
        <f t="shared" si="0"/>
        <v>0</v>
      </c>
      <c r="H55" s="174">
        <f t="shared" si="1"/>
        <v>14138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14138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14138</v>
      </c>
    </row>
    <row r="58" spans="1:8" ht="12.75">
      <c r="A58" s="170">
        <v>48</v>
      </c>
      <c r="B58" s="170" t="s">
        <v>215</v>
      </c>
      <c r="C58" s="173">
        <v>0</v>
      </c>
      <c r="D58" s="173">
        <v>14</v>
      </c>
      <c r="E58" s="173">
        <v>429</v>
      </c>
      <c r="F58" s="173">
        <v>721</v>
      </c>
      <c r="G58" s="174">
        <f t="shared" si="0"/>
        <v>1164</v>
      </c>
      <c r="H58" s="174">
        <f t="shared" si="1"/>
        <v>15302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15302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15302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15302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15302</v>
      </c>
    </row>
    <row r="63" spans="1:8" ht="12.75">
      <c r="A63" s="170" t="s">
        <v>120</v>
      </c>
      <c r="B63" s="170" t="s">
        <v>121</v>
      </c>
      <c r="C63" s="174">
        <f>SUM(C11:C62)</f>
        <v>724</v>
      </c>
      <c r="D63" s="174">
        <f>SUM(D11:D62)</f>
        <v>1694</v>
      </c>
      <c r="E63" s="174">
        <f>SUM(E11:E62)</f>
        <v>3524</v>
      </c>
      <c r="F63" s="174">
        <f>SUM(F11:F62)</f>
        <v>9360</v>
      </c>
      <c r="G63" s="174">
        <f>SUM(G11:G62)</f>
        <v>15302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198</v>
      </c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5">
      <c r="A1" s="152" t="s">
        <v>157</v>
      </c>
      <c r="B1" s="153"/>
      <c r="C1" s="153"/>
      <c r="D1" s="153"/>
      <c r="E1" s="153"/>
    </row>
    <row r="2" spans="1:5" ht="15">
      <c r="A2" s="153"/>
      <c r="B2" s="153"/>
      <c r="C2" s="153"/>
      <c r="D2" s="153"/>
      <c r="E2" s="153"/>
    </row>
    <row r="3" spans="1:5" ht="15">
      <c r="A3" s="154" t="s">
        <v>131</v>
      </c>
      <c r="B3" s="155">
        <f>'Weekliks-Weekly'!B60</f>
        <v>0</v>
      </c>
      <c r="C3" s="153"/>
      <c r="D3" s="153"/>
      <c r="E3" s="153"/>
    </row>
    <row r="4" spans="1:5" ht="15">
      <c r="A4" s="154" t="s">
        <v>127</v>
      </c>
      <c r="B4" s="156">
        <f>B3</f>
        <v>0</v>
      </c>
      <c r="C4" s="153"/>
      <c r="D4" s="153"/>
      <c r="E4" s="153"/>
    </row>
    <row r="5" spans="1:5" ht="15">
      <c r="A5" s="153"/>
      <c r="B5" s="153"/>
      <c r="C5" s="153"/>
      <c r="D5" s="153"/>
      <c r="E5" s="153"/>
    </row>
    <row r="6" spans="1:7" ht="15.75">
      <c r="A6" s="211" t="s">
        <v>188</v>
      </c>
      <c r="B6" s="212"/>
      <c r="C6" s="212"/>
      <c r="D6" s="212"/>
      <c r="E6" s="212"/>
      <c r="F6" s="212"/>
      <c r="G6" s="213"/>
    </row>
    <row r="7" spans="1:7" ht="15.75">
      <c r="A7" s="211" t="s">
        <v>148</v>
      </c>
      <c r="B7" s="212"/>
      <c r="C7" s="212"/>
      <c r="D7" s="212"/>
      <c r="E7" s="212"/>
      <c r="F7" s="212"/>
      <c r="G7" s="213"/>
    </row>
    <row r="8" spans="1:7" ht="12.75">
      <c r="A8" s="214" t="s">
        <v>120</v>
      </c>
      <c r="B8" s="215"/>
      <c r="C8" s="215"/>
      <c r="D8" s="215"/>
      <c r="E8" s="215"/>
      <c r="F8" s="215"/>
      <c r="G8" s="216"/>
    </row>
    <row r="9" spans="1:7" ht="12.75">
      <c r="A9" s="172"/>
      <c r="B9" s="172" t="s">
        <v>118</v>
      </c>
      <c r="C9" s="172" t="s">
        <v>119</v>
      </c>
      <c r="D9" s="172" t="s">
        <v>149</v>
      </c>
      <c r="E9" s="172" t="s">
        <v>186</v>
      </c>
      <c r="F9" s="172" t="s">
        <v>224</v>
      </c>
      <c r="G9" s="172" t="s">
        <v>224</v>
      </c>
    </row>
    <row r="10" spans="1:7" ht="12.75">
      <c r="A10" s="170">
        <v>1</v>
      </c>
      <c r="B10" s="170" t="s">
        <v>129</v>
      </c>
      <c r="C10" s="173">
        <v>0</v>
      </c>
      <c r="D10" s="173">
        <v>0</v>
      </c>
      <c r="E10" s="173">
        <v>0</v>
      </c>
      <c r="F10" s="174">
        <f aca="true" t="shared" si="0" ref="F10:F61">SUM(C10:E10)</f>
        <v>0</v>
      </c>
      <c r="G10" s="174">
        <f>F10</f>
        <v>0</v>
      </c>
    </row>
    <row r="11" spans="1:7" ht="12.75">
      <c r="A11" s="170">
        <v>2</v>
      </c>
      <c r="B11" s="170" t="s">
        <v>136</v>
      </c>
      <c r="C11" s="173">
        <v>0</v>
      </c>
      <c r="D11" s="173">
        <v>0</v>
      </c>
      <c r="E11" s="173">
        <v>0</v>
      </c>
      <c r="F11" s="174">
        <f t="shared" si="0"/>
        <v>0</v>
      </c>
      <c r="G11" s="174">
        <f aca="true" t="shared" si="1" ref="G11:G61">F11+G10</f>
        <v>0</v>
      </c>
    </row>
    <row r="12" spans="1:7" ht="12.75">
      <c r="A12" s="170">
        <v>3</v>
      </c>
      <c r="B12" s="170" t="s">
        <v>137</v>
      </c>
      <c r="C12" s="173">
        <v>22313</v>
      </c>
      <c r="D12" s="173">
        <v>0</v>
      </c>
      <c r="E12" s="173">
        <v>0</v>
      </c>
      <c r="F12" s="174">
        <f t="shared" si="0"/>
        <v>22313</v>
      </c>
      <c r="G12" s="174">
        <f t="shared" si="1"/>
        <v>22313</v>
      </c>
    </row>
    <row r="13" spans="1:7" ht="12.75">
      <c r="A13" s="170">
        <v>4</v>
      </c>
      <c r="B13" s="170" t="s">
        <v>138</v>
      </c>
      <c r="C13" s="173">
        <v>0</v>
      </c>
      <c r="D13" s="173">
        <v>0</v>
      </c>
      <c r="E13" s="173">
        <v>0</v>
      </c>
      <c r="F13" s="174">
        <f t="shared" si="0"/>
        <v>0</v>
      </c>
      <c r="G13" s="174">
        <f t="shared" si="1"/>
        <v>22313</v>
      </c>
    </row>
    <row r="14" spans="1:7" ht="12.75">
      <c r="A14" s="170">
        <v>5</v>
      </c>
      <c r="B14" s="170" t="s">
        <v>139</v>
      </c>
      <c r="C14" s="173">
        <v>0</v>
      </c>
      <c r="D14" s="173">
        <v>0</v>
      </c>
      <c r="E14" s="173">
        <v>0</v>
      </c>
      <c r="F14" s="174">
        <f t="shared" si="0"/>
        <v>0</v>
      </c>
      <c r="G14" s="174">
        <f t="shared" si="1"/>
        <v>22313</v>
      </c>
    </row>
    <row r="15" spans="1:7" ht="12.75">
      <c r="A15" s="170">
        <v>6</v>
      </c>
      <c r="B15" s="170" t="s">
        <v>140</v>
      </c>
      <c r="C15" s="173">
        <v>0</v>
      </c>
      <c r="D15" s="173">
        <v>0</v>
      </c>
      <c r="E15" s="173">
        <v>0</v>
      </c>
      <c r="F15" s="174">
        <f t="shared" si="0"/>
        <v>0</v>
      </c>
      <c r="G15" s="174">
        <f t="shared" si="1"/>
        <v>22313</v>
      </c>
    </row>
    <row r="16" spans="1:7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4">
        <f t="shared" si="0"/>
        <v>0</v>
      </c>
      <c r="G16" s="174">
        <f t="shared" si="1"/>
        <v>22313</v>
      </c>
    </row>
    <row r="17" spans="1:7" ht="12.75">
      <c r="A17" s="170">
        <v>8</v>
      </c>
      <c r="B17" s="170" t="s">
        <v>142</v>
      </c>
      <c r="C17" s="173">
        <v>0</v>
      </c>
      <c r="D17" s="173">
        <v>0</v>
      </c>
      <c r="E17" s="173">
        <v>0</v>
      </c>
      <c r="F17" s="174">
        <f t="shared" si="0"/>
        <v>0</v>
      </c>
      <c r="G17" s="174">
        <f t="shared" si="1"/>
        <v>22313</v>
      </c>
    </row>
    <row r="18" spans="1:7" ht="12.75">
      <c r="A18" s="170">
        <v>9</v>
      </c>
      <c r="B18" s="170" t="s">
        <v>143</v>
      </c>
      <c r="C18" s="173">
        <v>1646</v>
      </c>
      <c r="D18" s="173">
        <v>0</v>
      </c>
      <c r="E18" s="173">
        <v>0</v>
      </c>
      <c r="F18" s="174">
        <f t="shared" si="0"/>
        <v>1646</v>
      </c>
      <c r="G18" s="174">
        <f t="shared" si="1"/>
        <v>23959</v>
      </c>
    </row>
    <row r="19" spans="1:7" ht="12.75">
      <c r="A19" s="170">
        <v>10</v>
      </c>
      <c r="B19" s="170" t="s">
        <v>144</v>
      </c>
      <c r="C19" s="173">
        <v>42211</v>
      </c>
      <c r="D19" s="173">
        <v>13807</v>
      </c>
      <c r="E19" s="173">
        <v>0</v>
      </c>
      <c r="F19" s="174">
        <f t="shared" si="0"/>
        <v>56018</v>
      </c>
      <c r="G19" s="174">
        <f t="shared" si="1"/>
        <v>79977</v>
      </c>
    </row>
    <row r="20" spans="1:7" ht="12.75">
      <c r="A20" s="170">
        <v>11</v>
      </c>
      <c r="B20" s="170" t="s">
        <v>145</v>
      </c>
      <c r="C20" s="173">
        <v>18983</v>
      </c>
      <c r="D20" s="173">
        <v>0</v>
      </c>
      <c r="E20" s="173">
        <v>0</v>
      </c>
      <c r="F20" s="174">
        <f t="shared" si="0"/>
        <v>18983</v>
      </c>
      <c r="G20" s="174">
        <f t="shared" si="1"/>
        <v>98960</v>
      </c>
    </row>
    <row r="21" spans="1:7" ht="12.75">
      <c r="A21" s="170">
        <v>12</v>
      </c>
      <c r="B21" s="170" t="s">
        <v>147</v>
      </c>
      <c r="C21" s="173">
        <v>31496</v>
      </c>
      <c r="D21" s="173">
        <v>600</v>
      </c>
      <c r="E21" s="173">
        <v>0</v>
      </c>
      <c r="F21" s="174">
        <f t="shared" si="0"/>
        <v>32096</v>
      </c>
      <c r="G21" s="174">
        <f t="shared" si="1"/>
        <v>131056</v>
      </c>
    </row>
    <row r="22" spans="1:7" ht="12.75">
      <c r="A22" s="170">
        <v>13</v>
      </c>
      <c r="B22" s="170" t="s">
        <v>150</v>
      </c>
      <c r="C22" s="173">
        <v>7745</v>
      </c>
      <c r="D22" s="173">
        <v>15815</v>
      </c>
      <c r="E22" s="173">
        <v>0</v>
      </c>
      <c r="F22" s="174">
        <f t="shared" si="0"/>
        <v>23560</v>
      </c>
      <c r="G22" s="174">
        <f t="shared" si="1"/>
        <v>154616</v>
      </c>
    </row>
    <row r="23" spans="1:7" ht="12.75">
      <c r="A23" s="170">
        <v>14</v>
      </c>
      <c r="B23" s="170" t="s">
        <v>154</v>
      </c>
      <c r="C23" s="173">
        <v>17262</v>
      </c>
      <c r="D23" s="173">
        <v>0</v>
      </c>
      <c r="E23" s="173">
        <v>0</v>
      </c>
      <c r="F23" s="174">
        <f t="shared" si="0"/>
        <v>17262</v>
      </c>
      <c r="G23" s="174">
        <f t="shared" si="1"/>
        <v>171878</v>
      </c>
    </row>
    <row r="24" spans="1:7" ht="12.75">
      <c r="A24" s="170">
        <v>15</v>
      </c>
      <c r="B24" s="170" t="s">
        <v>155</v>
      </c>
      <c r="C24" s="173">
        <v>0</v>
      </c>
      <c r="D24" s="173">
        <v>2894</v>
      </c>
      <c r="E24" s="173">
        <v>0</v>
      </c>
      <c r="F24" s="174">
        <f t="shared" si="0"/>
        <v>2894</v>
      </c>
      <c r="G24" s="174">
        <f t="shared" si="1"/>
        <v>174772</v>
      </c>
    </row>
    <row r="25" spans="1:7" ht="12.75">
      <c r="A25" s="170">
        <v>16</v>
      </c>
      <c r="B25" s="170" t="s">
        <v>161</v>
      </c>
      <c r="C25" s="173">
        <v>28877</v>
      </c>
      <c r="D25" s="173">
        <v>13605</v>
      </c>
      <c r="E25" s="173">
        <v>0</v>
      </c>
      <c r="F25" s="174">
        <f t="shared" si="0"/>
        <v>42482</v>
      </c>
      <c r="G25" s="174">
        <f t="shared" si="1"/>
        <v>217254</v>
      </c>
    </row>
    <row r="26" spans="1:7" ht="12.75">
      <c r="A26" s="170">
        <v>17</v>
      </c>
      <c r="B26" s="170" t="s">
        <v>162</v>
      </c>
      <c r="C26" s="173">
        <v>58091</v>
      </c>
      <c r="D26" s="173">
        <v>0</v>
      </c>
      <c r="E26" s="173">
        <v>0</v>
      </c>
      <c r="F26" s="174">
        <f t="shared" si="0"/>
        <v>58091</v>
      </c>
      <c r="G26" s="174">
        <f t="shared" si="1"/>
        <v>275345</v>
      </c>
    </row>
    <row r="27" spans="1:7" ht="12.75">
      <c r="A27" s="170">
        <v>18</v>
      </c>
      <c r="B27" s="170" t="s">
        <v>163</v>
      </c>
      <c r="C27" s="173">
        <v>14049</v>
      </c>
      <c r="D27" s="173">
        <v>4542</v>
      </c>
      <c r="E27" s="173">
        <v>0</v>
      </c>
      <c r="F27" s="174">
        <f t="shared" si="0"/>
        <v>18591</v>
      </c>
      <c r="G27" s="174">
        <f t="shared" si="1"/>
        <v>293936</v>
      </c>
    </row>
    <row r="28" spans="1:7" ht="12.75">
      <c r="A28" s="170">
        <v>19</v>
      </c>
      <c r="B28" s="170" t="s">
        <v>174</v>
      </c>
      <c r="C28" s="173">
        <v>65488</v>
      </c>
      <c r="D28" s="173">
        <v>8978</v>
      </c>
      <c r="E28" s="173">
        <v>0</v>
      </c>
      <c r="F28" s="174">
        <f t="shared" si="0"/>
        <v>74466</v>
      </c>
      <c r="G28" s="174">
        <f t="shared" si="1"/>
        <v>368402</v>
      </c>
    </row>
    <row r="29" spans="1:7" ht="12.75">
      <c r="A29" s="170">
        <v>20</v>
      </c>
      <c r="B29" s="170" t="s">
        <v>175</v>
      </c>
      <c r="C29" s="173">
        <v>0</v>
      </c>
      <c r="D29" s="173">
        <v>0</v>
      </c>
      <c r="E29" s="173">
        <v>0</v>
      </c>
      <c r="F29" s="174">
        <f t="shared" si="0"/>
        <v>0</v>
      </c>
      <c r="G29" s="174">
        <f t="shared" si="1"/>
        <v>368402</v>
      </c>
    </row>
    <row r="30" spans="1:7" ht="12.75">
      <c r="A30" s="170">
        <v>21</v>
      </c>
      <c r="B30" s="170" t="s">
        <v>176</v>
      </c>
      <c r="C30" s="173">
        <v>0</v>
      </c>
      <c r="D30" s="173">
        <v>17504</v>
      </c>
      <c r="E30" s="173">
        <v>0</v>
      </c>
      <c r="F30" s="174">
        <f t="shared" si="0"/>
        <v>17504</v>
      </c>
      <c r="G30" s="174">
        <f t="shared" si="1"/>
        <v>385906</v>
      </c>
    </row>
    <row r="31" spans="1:7" ht="12.75">
      <c r="A31" s="170">
        <v>22</v>
      </c>
      <c r="B31" s="170" t="s">
        <v>177</v>
      </c>
      <c r="C31" s="173">
        <v>33320</v>
      </c>
      <c r="D31" s="173">
        <v>0</v>
      </c>
      <c r="E31" s="173">
        <v>0</v>
      </c>
      <c r="F31" s="174">
        <f t="shared" si="0"/>
        <v>33320</v>
      </c>
      <c r="G31" s="174">
        <f t="shared" si="1"/>
        <v>419226</v>
      </c>
    </row>
    <row r="32" spans="1:7" ht="12.75">
      <c r="A32" s="170">
        <v>23</v>
      </c>
      <c r="B32" s="170" t="s">
        <v>178</v>
      </c>
      <c r="C32" s="173">
        <v>20565</v>
      </c>
      <c r="D32" s="173">
        <v>0</v>
      </c>
      <c r="E32" s="173">
        <v>0</v>
      </c>
      <c r="F32" s="174">
        <f t="shared" si="0"/>
        <v>20565</v>
      </c>
      <c r="G32" s="174">
        <f t="shared" si="1"/>
        <v>439791</v>
      </c>
    </row>
    <row r="33" spans="1:7" ht="12.75">
      <c r="A33" s="170">
        <v>24</v>
      </c>
      <c r="B33" s="170" t="s">
        <v>179</v>
      </c>
      <c r="C33" s="173">
        <v>6544</v>
      </c>
      <c r="D33" s="173">
        <v>0</v>
      </c>
      <c r="E33" s="173">
        <v>0</v>
      </c>
      <c r="F33" s="174">
        <f t="shared" si="0"/>
        <v>6544</v>
      </c>
      <c r="G33" s="174">
        <f t="shared" si="1"/>
        <v>446335</v>
      </c>
    </row>
    <row r="34" spans="1:7" ht="12.75">
      <c r="A34" s="170">
        <v>25</v>
      </c>
      <c r="B34" s="170" t="s">
        <v>180</v>
      </c>
      <c r="C34" s="173">
        <v>28262</v>
      </c>
      <c r="D34" s="173">
        <v>0</v>
      </c>
      <c r="E34" s="173">
        <v>0</v>
      </c>
      <c r="F34" s="174">
        <f t="shared" si="0"/>
        <v>28262</v>
      </c>
      <c r="G34" s="174">
        <f t="shared" si="1"/>
        <v>474597</v>
      </c>
    </row>
    <row r="35" spans="1:7" ht="12.75">
      <c r="A35" s="170">
        <v>26</v>
      </c>
      <c r="B35" s="170" t="s">
        <v>182</v>
      </c>
      <c r="C35" s="173">
        <v>36656</v>
      </c>
      <c r="D35" s="173">
        <v>20660</v>
      </c>
      <c r="E35" s="173">
        <v>0</v>
      </c>
      <c r="F35" s="174">
        <f t="shared" si="0"/>
        <v>57316</v>
      </c>
      <c r="G35" s="174">
        <f t="shared" si="1"/>
        <v>531913</v>
      </c>
    </row>
    <row r="36" spans="1:7" ht="12.75">
      <c r="A36" s="170">
        <v>27</v>
      </c>
      <c r="B36" s="170" t="s">
        <v>183</v>
      </c>
      <c r="C36" s="173">
        <v>57153</v>
      </c>
      <c r="D36" s="173">
        <v>5843</v>
      </c>
      <c r="E36" s="173">
        <v>0</v>
      </c>
      <c r="F36" s="174">
        <f t="shared" si="0"/>
        <v>62996</v>
      </c>
      <c r="G36" s="174">
        <f t="shared" si="1"/>
        <v>594909</v>
      </c>
    </row>
    <row r="37" spans="1:7" ht="12.75">
      <c r="A37" s="170">
        <v>28</v>
      </c>
      <c r="B37" s="170" t="s">
        <v>184</v>
      </c>
      <c r="C37" s="173">
        <v>18023</v>
      </c>
      <c r="D37" s="173">
        <v>0</v>
      </c>
      <c r="E37" s="173">
        <v>0</v>
      </c>
      <c r="F37" s="174">
        <f t="shared" si="0"/>
        <v>18023</v>
      </c>
      <c r="G37" s="174">
        <f t="shared" si="1"/>
        <v>612932</v>
      </c>
    </row>
    <row r="38" spans="1:7" ht="12.75">
      <c r="A38" s="170">
        <v>29</v>
      </c>
      <c r="B38" s="170" t="s">
        <v>185</v>
      </c>
      <c r="C38" s="173">
        <v>49972</v>
      </c>
      <c r="D38" s="173">
        <v>0</v>
      </c>
      <c r="E38" s="173">
        <v>2482</v>
      </c>
      <c r="F38" s="174">
        <f t="shared" si="0"/>
        <v>52454</v>
      </c>
      <c r="G38" s="174">
        <f t="shared" si="1"/>
        <v>665386</v>
      </c>
    </row>
    <row r="39" spans="1:7" ht="12.75">
      <c r="A39" s="170">
        <v>30</v>
      </c>
      <c r="B39" s="170" t="s">
        <v>187</v>
      </c>
      <c r="C39" s="173">
        <v>28646</v>
      </c>
      <c r="D39" s="173">
        <v>11475</v>
      </c>
      <c r="E39" s="173">
        <v>7805</v>
      </c>
      <c r="F39" s="174">
        <f t="shared" si="0"/>
        <v>47926</v>
      </c>
      <c r="G39" s="174">
        <f t="shared" si="1"/>
        <v>713312</v>
      </c>
    </row>
    <row r="40" spans="1:7" ht="12.75">
      <c r="A40" s="170">
        <v>31</v>
      </c>
      <c r="B40" s="170" t="s">
        <v>189</v>
      </c>
      <c r="C40" s="173">
        <v>32601</v>
      </c>
      <c r="D40" s="173">
        <v>9267</v>
      </c>
      <c r="E40" s="173">
        <v>0</v>
      </c>
      <c r="F40" s="174">
        <f t="shared" si="0"/>
        <v>41868</v>
      </c>
      <c r="G40" s="174">
        <f t="shared" si="1"/>
        <v>755180</v>
      </c>
    </row>
    <row r="41" spans="1:7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4">
        <f t="shared" si="0"/>
        <v>0</v>
      </c>
      <c r="G41" s="174">
        <f t="shared" si="1"/>
        <v>755180</v>
      </c>
    </row>
    <row r="42" spans="1:7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4">
        <f t="shared" si="0"/>
        <v>0</v>
      </c>
      <c r="G42" s="174">
        <f t="shared" si="1"/>
        <v>755180</v>
      </c>
    </row>
    <row r="43" spans="1:7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4">
        <f t="shared" si="0"/>
        <v>0</v>
      </c>
      <c r="G43" s="174">
        <f t="shared" si="1"/>
        <v>755180</v>
      </c>
    </row>
    <row r="44" spans="1:7" ht="12.75">
      <c r="A44" s="170">
        <v>35</v>
      </c>
      <c r="B44" s="170" t="s">
        <v>193</v>
      </c>
      <c r="C44" s="173">
        <v>17521</v>
      </c>
      <c r="D44" s="173">
        <v>26061</v>
      </c>
      <c r="E44" s="173">
        <v>0</v>
      </c>
      <c r="F44" s="174">
        <f t="shared" si="0"/>
        <v>43582</v>
      </c>
      <c r="G44" s="174">
        <f t="shared" si="1"/>
        <v>798762</v>
      </c>
    </row>
    <row r="45" spans="1:7" ht="12.75">
      <c r="A45" s="170">
        <v>36</v>
      </c>
      <c r="B45" s="170" t="s">
        <v>195</v>
      </c>
      <c r="C45" s="173">
        <v>4145</v>
      </c>
      <c r="D45" s="173">
        <v>0</v>
      </c>
      <c r="E45" s="173">
        <v>0</v>
      </c>
      <c r="F45" s="174">
        <f t="shared" si="0"/>
        <v>4145</v>
      </c>
      <c r="G45" s="174">
        <f t="shared" si="1"/>
        <v>802907</v>
      </c>
    </row>
    <row r="46" spans="1:7" ht="12.75">
      <c r="A46" s="170">
        <v>37</v>
      </c>
      <c r="B46" s="170" t="s">
        <v>196</v>
      </c>
      <c r="C46" s="173">
        <v>26531</v>
      </c>
      <c r="D46" s="173">
        <v>0</v>
      </c>
      <c r="E46" s="173">
        <v>0</v>
      </c>
      <c r="F46" s="174">
        <f t="shared" si="0"/>
        <v>26531</v>
      </c>
      <c r="G46" s="174">
        <f t="shared" si="1"/>
        <v>829438</v>
      </c>
    </row>
    <row r="47" spans="1:7" ht="12.75">
      <c r="A47" s="170">
        <v>38</v>
      </c>
      <c r="B47" s="170" t="s">
        <v>197</v>
      </c>
      <c r="C47" s="173">
        <v>0</v>
      </c>
      <c r="D47" s="173">
        <v>0</v>
      </c>
      <c r="E47" s="173">
        <v>0</v>
      </c>
      <c r="F47" s="174">
        <f t="shared" si="0"/>
        <v>0</v>
      </c>
      <c r="G47" s="174">
        <f t="shared" si="1"/>
        <v>829438</v>
      </c>
    </row>
    <row r="48" spans="1:7" ht="12.75">
      <c r="A48" s="170">
        <v>39</v>
      </c>
      <c r="B48" s="170" t="s">
        <v>199</v>
      </c>
      <c r="C48" s="173">
        <v>17090</v>
      </c>
      <c r="D48" s="173">
        <v>4307</v>
      </c>
      <c r="E48" s="173">
        <v>0</v>
      </c>
      <c r="F48" s="174">
        <f t="shared" si="0"/>
        <v>21397</v>
      </c>
      <c r="G48" s="174">
        <f t="shared" si="1"/>
        <v>850835</v>
      </c>
    </row>
    <row r="49" spans="1:7" ht="12.75">
      <c r="A49" s="170">
        <v>40</v>
      </c>
      <c r="B49" s="170" t="s">
        <v>202</v>
      </c>
      <c r="C49" s="173">
        <v>0</v>
      </c>
      <c r="D49" s="173">
        <v>16740</v>
      </c>
      <c r="E49" s="173">
        <v>0</v>
      </c>
      <c r="F49" s="174">
        <f t="shared" si="0"/>
        <v>16740</v>
      </c>
      <c r="G49" s="174">
        <f t="shared" si="1"/>
        <v>867575</v>
      </c>
    </row>
    <row r="50" spans="1:7" ht="12.75">
      <c r="A50" s="170">
        <v>41</v>
      </c>
      <c r="B50" s="170" t="s">
        <v>205</v>
      </c>
      <c r="C50" s="173">
        <v>0</v>
      </c>
      <c r="D50" s="173">
        <v>3590</v>
      </c>
      <c r="E50" s="173">
        <v>0</v>
      </c>
      <c r="F50" s="174">
        <f t="shared" si="0"/>
        <v>3590</v>
      </c>
      <c r="G50" s="174">
        <f t="shared" si="1"/>
        <v>871165</v>
      </c>
    </row>
    <row r="51" spans="1:7" ht="12.75">
      <c r="A51" s="170">
        <v>42</v>
      </c>
      <c r="B51" s="170" t="s">
        <v>206</v>
      </c>
      <c r="C51" s="173">
        <v>0</v>
      </c>
      <c r="D51" s="173">
        <v>0</v>
      </c>
      <c r="E51" s="173">
        <v>0</v>
      </c>
      <c r="F51" s="174">
        <f t="shared" si="0"/>
        <v>0</v>
      </c>
      <c r="G51" s="174">
        <f t="shared" si="1"/>
        <v>871165</v>
      </c>
    </row>
    <row r="52" spans="1:7" ht="12.75">
      <c r="A52" s="170">
        <v>43</v>
      </c>
      <c r="B52" s="170" t="s">
        <v>208</v>
      </c>
      <c r="C52" s="173">
        <v>0</v>
      </c>
      <c r="D52" s="173">
        <v>0</v>
      </c>
      <c r="E52" s="173">
        <v>0</v>
      </c>
      <c r="F52" s="174">
        <f t="shared" si="0"/>
        <v>0</v>
      </c>
      <c r="G52" s="174">
        <f t="shared" si="1"/>
        <v>871165</v>
      </c>
    </row>
    <row r="53" spans="1:7" ht="12.75">
      <c r="A53" s="170">
        <v>44</v>
      </c>
      <c r="B53" s="170" t="s">
        <v>210</v>
      </c>
      <c r="C53" s="173">
        <v>0</v>
      </c>
      <c r="D53" s="173">
        <v>0</v>
      </c>
      <c r="E53" s="173">
        <v>0</v>
      </c>
      <c r="F53" s="174">
        <f t="shared" si="0"/>
        <v>0</v>
      </c>
      <c r="G53" s="174">
        <f t="shared" si="1"/>
        <v>871165</v>
      </c>
    </row>
    <row r="54" spans="1:7" ht="12.75">
      <c r="A54" s="170">
        <v>45</v>
      </c>
      <c r="B54" s="170" t="s">
        <v>211</v>
      </c>
      <c r="C54" s="173">
        <v>0</v>
      </c>
      <c r="D54" s="173">
        <v>0</v>
      </c>
      <c r="E54" s="173">
        <v>0</v>
      </c>
      <c r="F54" s="174">
        <f t="shared" si="0"/>
        <v>0</v>
      </c>
      <c r="G54" s="174">
        <f t="shared" si="1"/>
        <v>871165</v>
      </c>
    </row>
    <row r="55" spans="1:7" ht="12.75">
      <c r="A55" s="170">
        <v>46</v>
      </c>
      <c r="B55" s="170" t="s">
        <v>212</v>
      </c>
      <c r="C55" s="173">
        <v>16455</v>
      </c>
      <c r="D55" s="173">
        <v>0</v>
      </c>
      <c r="E55" s="173">
        <v>0</v>
      </c>
      <c r="F55" s="174">
        <f t="shared" si="0"/>
        <v>16455</v>
      </c>
      <c r="G55" s="174">
        <f t="shared" si="1"/>
        <v>887620</v>
      </c>
    </row>
    <row r="56" spans="1:7" ht="12.75">
      <c r="A56" s="170">
        <v>47</v>
      </c>
      <c r="B56" s="170" t="s">
        <v>213</v>
      </c>
      <c r="C56" s="173">
        <v>560</v>
      </c>
      <c r="D56" s="173">
        <v>10652</v>
      </c>
      <c r="E56" s="173">
        <v>0</v>
      </c>
      <c r="F56" s="174">
        <f t="shared" si="0"/>
        <v>11212</v>
      </c>
      <c r="G56" s="174">
        <f t="shared" si="1"/>
        <v>898832</v>
      </c>
    </row>
    <row r="57" spans="1:7" ht="12.75">
      <c r="A57" s="170">
        <v>48</v>
      </c>
      <c r="B57" s="170" t="s">
        <v>215</v>
      </c>
      <c r="C57" s="173">
        <v>0</v>
      </c>
      <c r="D57" s="173">
        <v>14068</v>
      </c>
      <c r="E57" s="173">
        <v>0</v>
      </c>
      <c r="F57" s="174">
        <f t="shared" si="0"/>
        <v>14068</v>
      </c>
      <c r="G57" s="174">
        <f t="shared" si="1"/>
        <v>912900</v>
      </c>
    </row>
    <row r="58" spans="1:7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4">
        <f t="shared" si="0"/>
        <v>0</v>
      </c>
      <c r="G58" s="174">
        <f t="shared" si="1"/>
        <v>912900</v>
      </c>
    </row>
    <row r="59" spans="1:7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4">
        <f t="shared" si="0"/>
        <v>0</v>
      </c>
      <c r="G59" s="174">
        <f t="shared" si="1"/>
        <v>912900</v>
      </c>
    </row>
    <row r="60" spans="1:7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4">
        <f t="shared" si="0"/>
        <v>0</v>
      </c>
      <c r="G60" s="174">
        <f t="shared" si="1"/>
        <v>912900</v>
      </c>
    </row>
    <row r="61" spans="1:7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4">
        <f t="shared" si="0"/>
        <v>0</v>
      </c>
      <c r="G61" s="174">
        <f t="shared" si="1"/>
        <v>912900</v>
      </c>
    </row>
    <row r="62" spans="1:7" ht="12.75">
      <c r="A62" s="170" t="s">
        <v>120</v>
      </c>
      <c r="B62" s="170" t="s">
        <v>121</v>
      </c>
      <c r="C62" s="174">
        <f>SUM(C10:C61)</f>
        <v>702205</v>
      </c>
      <c r="D62" s="174">
        <f>SUM(D10:D61)</f>
        <v>200408</v>
      </c>
      <c r="E62" s="174">
        <f>SUM(E10:E61)</f>
        <v>10287</v>
      </c>
      <c r="F62" s="174">
        <f>SUM(F10:F61)</f>
        <v>912900</v>
      </c>
      <c r="G62" s="174"/>
    </row>
    <row r="63" spans="1:7" ht="12.75">
      <c r="A63" s="171"/>
      <c r="B63" s="171"/>
      <c r="C63" s="171"/>
      <c r="D63" s="171"/>
      <c r="E63" s="171"/>
      <c r="F63" s="171"/>
      <c r="G63" s="171"/>
    </row>
    <row r="64" spans="1:7" ht="15">
      <c r="A64" s="168" t="s">
        <v>225</v>
      </c>
      <c r="B64" s="168"/>
      <c r="D64" s="171"/>
      <c r="E64" s="171"/>
      <c r="F64" s="171"/>
      <c r="G64" s="171"/>
    </row>
    <row r="65" spans="1:7" ht="15">
      <c r="A65" s="168" t="s">
        <v>226</v>
      </c>
      <c r="B65" s="168"/>
      <c r="D65" s="171"/>
      <c r="E65" s="171"/>
      <c r="F65" s="171"/>
      <c r="G65" s="17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2017-06-15T13:01:19Z</cp:lastPrinted>
  <dcterms:created xsi:type="dcterms:W3CDTF">2005-05-06T06:48:19Z</dcterms:created>
  <dcterms:modified xsi:type="dcterms:W3CDTF">2019-02-14T11:55:34Z</dcterms:modified>
  <cp:category/>
  <cp:version/>
  <cp:contentType/>
  <cp:contentStatus/>
</cp:coreProperties>
</file>