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7680" tabRatio="845" firstSheet="3" activeTab="7"/>
  </bookViews>
  <sheets>
    <sheet name="WM-producer deliveries  " sheetId="1" r:id="rId1"/>
    <sheet name="YM-producer deliveries " sheetId="2" r:id="rId2"/>
    <sheet name="Weeklikse wit- en geellewerings" sheetId="3" r:id="rId3"/>
    <sheet name="Weeklikse totale lewerings" sheetId="4" r:id="rId4"/>
    <sheet name="Weeklikse kumulatiewe lewerings" sheetId="5" r:id="rId5"/>
    <sheet name="Lewerings tot datum" sheetId="6" r:id="rId6"/>
    <sheet name="Table-SAGIS deliver vs CEC est" sheetId="7" r:id="rId7"/>
    <sheet name="Mielies-Maize" sheetId="8" r:id="rId8"/>
    <sheet name="Summary -White maize" sheetId="9" r:id="rId9"/>
    <sheet name="Summary -Yellow maize" sheetId="10" r:id="rId10"/>
    <sheet name="Summary -Total maize" sheetId="11" r:id="rId11"/>
    <sheet name="Summary- Producer deliveries" sheetId="12" r:id="rId12"/>
    <sheet name="Table - Grades" sheetId="13" r:id="rId13"/>
  </sheets>
  <definedNames>
    <definedName name="_xlnm.Print_Area" localSheetId="7">'Mielies-Maize'!$Q$25:$U$26</definedName>
    <definedName name="_xlnm.Print_Area" localSheetId="11">'Summary- Producer deliveries'!$A$1:$J$24</definedName>
    <definedName name="_xlnm.Print_Area" localSheetId="10">'Summary -Total maize'!$B$2:$J$85</definedName>
    <definedName name="_xlnm.Print_Area" localSheetId="8">'Summary -White maize'!$B$2:$I$85</definedName>
    <definedName name="_xlnm.Print_Area" localSheetId="9">'Summary -Yellow maize'!$B$2:$J$85</definedName>
    <definedName name="_xlnm.Print_Area" localSheetId="12">'Table - Grades'!$A$1:$P$1</definedName>
    <definedName name="_xlnm.Print_Area" localSheetId="6">'Table-SAGIS deliver vs CEC est'!$B$1:$F$24</definedName>
  </definedNames>
  <calcPr fullCalcOnLoad="1"/>
</workbook>
</file>

<file path=xl/sharedStrings.xml><?xml version="1.0" encoding="utf-8"?>
<sst xmlns="http://schemas.openxmlformats.org/spreadsheetml/2006/main" count="494" uniqueCount="188">
  <si>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</si>
  <si>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</si>
  <si>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</si>
  <si>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</si>
  <si>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</si>
  <si>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</si>
  <si>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</si>
  <si>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 xml:space="preserve">Witmielies/White maize </t>
  </si>
  <si>
    <t xml:space="preserve">Geelmielies/Yellow maize </t>
  </si>
  <si>
    <t xml:space="preserve">Totaal mielies/Total maize </t>
  </si>
  <si>
    <t>Prog Total</t>
  </si>
  <si>
    <t>White/Wit</t>
  </si>
  <si>
    <t>Yellow/Geel</t>
  </si>
  <si>
    <t>Total/Totaal</t>
  </si>
  <si>
    <t>Periode totaal</t>
  </si>
  <si>
    <t>Period Total</t>
  </si>
  <si>
    <t>Outstanding after adjustment (tons)</t>
  </si>
  <si>
    <t>Uitstaande op NOK na aanpassings (tonne)</t>
  </si>
  <si>
    <t>Marketing season week</t>
  </si>
  <si>
    <t>Bemarkingseisoen week</t>
  </si>
  <si>
    <t>WM1</t>
  </si>
  <si>
    <t>WM2</t>
  </si>
  <si>
    <t>WM3</t>
  </si>
  <si>
    <t>Notas/Notes</t>
  </si>
  <si>
    <t>Negative outstanding means a CEC under estimate/Negatief uitstaande beteken 'n NOK onderskatting</t>
  </si>
  <si>
    <t>Positive outstanding means a CEC over estimate/Positief uitstaande beteken 'n NOK oorskatting</t>
  </si>
  <si>
    <t>Delivery tempo needed to obtain CEC estimate</t>
  </si>
  <si>
    <t>Lewerings tempo benodig</t>
  </si>
  <si>
    <t>2011/12</t>
  </si>
  <si>
    <t>2008/09</t>
  </si>
  <si>
    <t>2009/10</t>
  </si>
  <si>
    <t>2010/11</t>
  </si>
  <si>
    <t>Totale lewerings</t>
  </si>
  <si>
    <t>% Gelewer van die finale Oes</t>
  </si>
  <si>
    <t>2012/13</t>
  </si>
  <si>
    <t>NOK Finale skatting</t>
  </si>
  <si>
    <t>Total deliveries  (tons) (Note 3)</t>
  </si>
  <si>
    <t>Totale lewerings  (tonne) (Nota 3)</t>
  </si>
  <si>
    <t>Adjustment for on farm consumption &amp; storage (tons) (Note: 4)</t>
  </si>
  <si>
    <t>Remaining weeks for delivery (Note 5)</t>
  </si>
  <si>
    <t>Uitstaande weke vir lewering (Nota 5)</t>
  </si>
  <si>
    <t xml:space="preserve">Nota 5:  [52 weke minus (Aantal vroeë lewerings weke plus weke sedert Meimaand)] </t>
  </si>
  <si>
    <t>Nota 3:  Totale lewerings tot datum in 52 weke periode (Let op: Periode geneem as Mar - Feb en nie volgens amptelike bemarkingsjaar, Mei - Apr)</t>
  </si>
  <si>
    <t>Nota 2:  Slegs lewerings vanaf Mei tot Feb word in ag geneem omdat 'n aanname vir Maart en April se vroeë lewerings reeds gemaak is</t>
  </si>
  <si>
    <t>Totale vroee lewerings</t>
  </si>
  <si>
    <t>Nota 4:  Aanname:  Volgens NOK se opnamesyfer onder produsente einde van Nov elke jaar - sien ook Graan SA se vraag- en aanbodbalansstaat.</t>
  </si>
  <si>
    <t>Footnote:</t>
  </si>
  <si>
    <t xml:space="preserve">Remember that the actual producer deliveries as compared with the CEC include early deliveries for February and March as well as data for week 1 - 44. </t>
  </si>
  <si>
    <t>Therefore the comparison in this summary table ends at week 44 whereafter it is assumed that the early deliveries for the next season continues from week 45</t>
  </si>
  <si>
    <t>Grade / Graad:</t>
  </si>
  <si>
    <t>White Maize / Witmielies</t>
  </si>
  <si>
    <t>Yellow Maize / Geelmielies</t>
  </si>
  <si>
    <t xml:space="preserve"> Ton</t>
  </si>
  <si>
    <t>Adjustments / Aanpassings:</t>
  </si>
  <si>
    <t>YM1</t>
  </si>
  <si>
    <t>YM2</t>
  </si>
  <si>
    <t>YM3</t>
  </si>
  <si>
    <t>WMU/WMO</t>
  </si>
  <si>
    <t>YMU/YMO</t>
  </si>
  <si>
    <t>Unknown/Onbekend</t>
  </si>
  <si>
    <t>Week Total / Totaal:</t>
  </si>
  <si>
    <t>2013/14</t>
  </si>
  <si>
    <t xml:space="preserve"> -   </t>
  </si>
  <si>
    <t>Lewerings vanaf Mei</t>
  </si>
  <si>
    <t>Total maize - Weekly delivery comparison / Totaal mielies - Weeklikse lewerings vergelyking</t>
  </si>
  <si>
    <t>Delivery Estimate versus CEC Estimate / Braamde lewering versus NOK skatting</t>
  </si>
  <si>
    <t>SAGIS - Mielies se weeklikse produsentelewerings</t>
  </si>
  <si>
    <t>Deliveries (May-Feb) (tons) (Note 2)</t>
  </si>
  <si>
    <t>Lewerings (Mei-Febr) (tonne) (Nota 2)</t>
  </si>
  <si>
    <t>Vroeë lewering (Mar &amp; Apr)</t>
  </si>
  <si>
    <t>Opsomming</t>
  </si>
  <si>
    <t>Progressive / Progressief: 2013/04/27 - 2013/06/07</t>
  </si>
  <si>
    <t>Progressive / Progressief: 2013/04/27 - 2013/06/14</t>
  </si>
  <si>
    <t>Week 2013/06/01 - 2013/06/21:</t>
  </si>
  <si>
    <t>White maize - Weekly delivery comparison / Witmielies - Weeklikse lewerings vergelyking</t>
  </si>
  <si>
    <t>Yellow maize - Weekly delivery comparison / Geelmielies - Weeklikse lewerings vergelyking</t>
  </si>
  <si>
    <t>5220000</t>
  </si>
  <si>
    <t>Early Deliveries</t>
  </si>
  <si>
    <t xml:space="preserve">Summary: Maize producer deliveries </t>
  </si>
  <si>
    <t>Early deliveries</t>
  </si>
  <si>
    <t>2014/15</t>
  </si>
  <si>
    <t>2015/16</t>
  </si>
  <si>
    <t>NOK - Farm use and seed retention</t>
  </si>
  <si>
    <r>
      <rPr>
        <b/>
        <sz val="10"/>
        <rFont val="Arial"/>
        <family val="2"/>
      </rPr>
      <t>Take note:</t>
    </r>
    <r>
      <rPr>
        <sz val="10"/>
        <rFont val="Arial"/>
        <family val="2"/>
      </rPr>
      <t xml:space="preserve"> % Maize delivered is calculated as followes = Latest crop estimate figures </t>
    </r>
    <r>
      <rPr>
        <i/>
        <sz val="10"/>
        <rFont val="Arial"/>
        <family val="2"/>
      </rPr>
      <t xml:space="preserve">MINUS </t>
    </r>
    <r>
      <rPr>
        <sz val="10"/>
        <rFont val="Arial"/>
        <family val="2"/>
      </rPr>
      <t>farm consumption, storage, seed retention etc</t>
    </r>
  </si>
  <si>
    <t>Farm consumption, storage, seed retention etc</t>
  </si>
  <si>
    <t>Adjustment for seed retention</t>
  </si>
  <si>
    <t>Aanpassing vir saad terughouding</t>
  </si>
  <si>
    <t>Crop estimate MINUS farm consumption, storage, seed retention etc</t>
  </si>
  <si>
    <t>Produksieskatting MIN plaasverbruik, stoor, saad terughouding ens</t>
  </si>
  <si>
    <t>%  Lewerings vanaf week 16-44 / Oesskatting</t>
  </si>
  <si>
    <t>Average</t>
  </si>
  <si>
    <t>2016/17</t>
  </si>
  <si>
    <t>Deliveries as % of CEC estimate minus retensions (%)</t>
  </si>
  <si>
    <t>Lewerings as % van die NOK skatting minus terughoudings(%)</t>
  </si>
  <si>
    <t>2016/17*: It should be noted that early deliveries during the month of January &amp; February 2016 is included</t>
  </si>
  <si>
    <t>2017/18</t>
  </si>
  <si>
    <r>
      <t xml:space="preserve">Vroeë lewerings (Mrt &amp; Apr) (tonne) </t>
    </r>
    <r>
      <rPr>
        <i/>
        <sz val="9"/>
        <rFont val="Arial"/>
        <family val="2"/>
      </rPr>
      <t>(Nota 1)</t>
    </r>
  </si>
  <si>
    <r>
      <rPr>
        <b/>
        <sz val="14"/>
        <rFont val="Arial"/>
        <family val="2"/>
      </rPr>
      <t>Maize White/Witmielies</t>
    </r>
  </si>
  <si>
    <r>
      <rPr>
        <b/>
        <sz val="14"/>
        <rFont val="Arial"/>
        <family val="2"/>
      </rPr>
      <t>Maize Yellow/Geelmielies</t>
    </r>
  </si>
  <si>
    <r>
      <rPr>
        <b/>
        <sz val="14"/>
        <rFont val="Arial"/>
        <family val="2"/>
      </rPr>
      <t>Ton</t>
    </r>
  </si>
  <si>
    <r>
      <rPr>
        <b/>
        <sz val="14"/>
        <rFont val="Arial"/>
        <family val="2"/>
      </rPr>
      <t>WM1</t>
    </r>
  </si>
  <si>
    <r>
      <rPr>
        <b/>
        <sz val="14"/>
        <rFont val="Arial"/>
        <family val="2"/>
      </rPr>
      <t>YM1</t>
    </r>
  </si>
  <si>
    <r>
      <rPr>
        <b/>
        <sz val="14"/>
        <rFont val="Arial"/>
        <family val="2"/>
      </rPr>
      <t>WM2</t>
    </r>
  </si>
  <si>
    <r>
      <rPr>
        <b/>
        <sz val="14"/>
        <rFont val="Arial"/>
        <family val="2"/>
      </rPr>
      <t>YM2</t>
    </r>
  </si>
  <si>
    <r>
      <rPr>
        <b/>
        <sz val="14"/>
        <rFont val="Arial"/>
        <family val="2"/>
      </rPr>
      <t>WM3</t>
    </r>
  </si>
  <si>
    <r>
      <rPr>
        <b/>
        <sz val="14"/>
        <rFont val="Arial"/>
        <family val="2"/>
      </rPr>
      <t>YM3</t>
    </r>
  </si>
  <si>
    <r>
      <rPr>
        <b/>
        <sz val="14"/>
        <rFont val="Arial"/>
        <family val="2"/>
      </rPr>
      <t>WMO</t>
    </r>
  </si>
  <si>
    <r>
      <rPr>
        <b/>
        <sz val="14"/>
        <rFont val="Arial"/>
        <family val="2"/>
      </rPr>
      <t>YMO</t>
    </r>
  </si>
  <si>
    <r>
      <rPr>
        <b/>
        <sz val="14"/>
        <rFont val="Arial"/>
        <family val="2"/>
      </rPr>
      <t>Total/Totaal</t>
    </r>
  </si>
  <si>
    <t>%</t>
  </si>
  <si>
    <t>2018/19*</t>
  </si>
  <si>
    <t>2018/19</t>
  </si>
  <si>
    <t>Produsente lewerings in 2018/19 bemarkingseisoen / Producer deliveries in 2018/19 marketing season</t>
  </si>
  <si>
    <t>Vroeë lewering/Early deliveries (Mar &amp; Apr)</t>
  </si>
  <si>
    <t>Lewerings vanaf Mei/Deliveries from May</t>
  </si>
  <si>
    <t>Totale lewerings/Total deliveries</t>
  </si>
  <si>
    <t>% Gelewer van Oesskatting/% delivered crop estimate</t>
  </si>
  <si>
    <r>
      <t xml:space="preserve">Lewerings vanaf Mei </t>
    </r>
    <r>
      <rPr>
        <sz val="9"/>
        <color indexed="10"/>
        <rFont val="Arial"/>
        <family val="2"/>
      </rPr>
      <t>tot op datum</t>
    </r>
  </si>
  <si>
    <t>Totale lewerings tot op datum</t>
  </si>
  <si>
    <t>SAGIS lewerings weeklies (1 Mrt - 28 Feb)</t>
  </si>
  <si>
    <t>2019/20*</t>
  </si>
  <si>
    <t>Nota 1:  Maart en April 2019 se lewerings word geneem as vroeë lewerings.  Ouseisoenlewerings is moontlik maar waarskynlik minimaal</t>
  </si>
  <si>
    <t>5 Yr. AVG</t>
  </si>
  <si>
    <t>Aanpassing vir op plaas vebruik en stoor</t>
  </si>
  <si>
    <r>
      <t xml:space="preserve">Early deliveries (Mar &amp; Apr) (tons) </t>
    </r>
    <r>
      <rPr>
        <i/>
        <sz val="11"/>
        <rFont val="Arial"/>
        <family val="2"/>
      </rPr>
      <t>(Note 1)</t>
    </r>
  </si>
  <si>
    <t>Jan &amp; Feb 2020</t>
  </si>
  <si>
    <t>Mar 20</t>
  </si>
  <si>
    <t>Apr 20</t>
  </si>
  <si>
    <t>2019/20</t>
  </si>
  <si>
    <t>*2020/21</t>
  </si>
  <si>
    <t>2020/21*</t>
  </si>
  <si>
    <t>01 May 2020</t>
  </si>
  <si>
    <t>08 May 2020</t>
  </si>
  <si>
    <t>15 May 2020</t>
  </si>
  <si>
    <t>22 May 2020</t>
  </si>
  <si>
    <t>29 May 2020</t>
  </si>
  <si>
    <t>05 Jun 2020</t>
  </si>
  <si>
    <t>12 Jun 2020</t>
  </si>
  <si>
    <t>5 yr. Average</t>
  </si>
  <si>
    <t>19 Jun 2020</t>
  </si>
  <si>
    <t>26 Jun 2020</t>
  </si>
  <si>
    <t>03 Jul 2020</t>
  </si>
  <si>
    <t>10 Jul 2020</t>
  </si>
  <si>
    <t>17 Jul 2020</t>
  </si>
  <si>
    <t>18 Jul 2020</t>
  </si>
  <si>
    <t>19 Jul 2020</t>
  </si>
  <si>
    <t>24 Jul 2020</t>
  </si>
  <si>
    <t>31 Jul 2020</t>
  </si>
  <si>
    <t>07 Aug 2020</t>
  </si>
  <si>
    <t>14 Aug 2020</t>
  </si>
  <si>
    <t>21 Aug 2020</t>
  </si>
  <si>
    <t>28 Aug 2020</t>
  </si>
  <si>
    <t>04 Sep 2020</t>
  </si>
  <si>
    <t>11 Sep 2020</t>
  </si>
  <si>
    <t>18 Sep 2020</t>
  </si>
  <si>
    <t>25 Sep 2020</t>
  </si>
  <si>
    <t>02 Oct 2020</t>
  </si>
  <si>
    <t>09 Oct 2020</t>
  </si>
  <si>
    <t>16 Oct 2020</t>
  </si>
  <si>
    <t>23 Oct 2020</t>
  </si>
  <si>
    <t>30 Oct 2020</t>
  </si>
  <si>
    <t>06 Nov 2020</t>
  </si>
  <si>
    <t>13 Nov 2020</t>
  </si>
  <si>
    <t>20 Nov 2020</t>
  </si>
  <si>
    <t>27 Nov 2020</t>
  </si>
  <si>
    <t>05 Dec 2020</t>
  </si>
  <si>
    <t>11 Dec 2020</t>
  </si>
  <si>
    <t>18 Dec 2020</t>
  </si>
  <si>
    <t>25 Dec 2020</t>
  </si>
  <si>
    <t>01 Jan 2021</t>
  </si>
  <si>
    <t>08 Jan 2021</t>
  </si>
  <si>
    <t>CEC final production estimate (tons)</t>
  </si>
  <si>
    <t>NOK finale produksieskatting (ton)</t>
  </si>
  <si>
    <t>15 Jan 2021</t>
  </si>
  <si>
    <t>22 Jan 2021</t>
  </si>
  <si>
    <t>2020/21 bemarkingsjaar</t>
  </si>
  <si>
    <t>29 Jan 2021</t>
  </si>
  <si>
    <t>05 Feb 2021</t>
  </si>
  <si>
    <t>12 Feb 2021</t>
  </si>
  <si>
    <t>19 Feb 2021</t>
  </si>
  <si>
    <t>26 Feb 2021</t>
  </si>
  <si>
    <t>05 Mar 2021</t>
  </si>
  <si>
    <t>12 Mar 2021</t>
  </si>
  <si>
    <t>19 Mar 2021</t>
  </si>
  <si>
    <t>26 Mar 2021</t>
  </si>
  <si>
    <t>02 Apr 2021</t>
  </si>
  <si>
    <t>9 Apr 2021</t>
  </si>
  <si>
    <t>Progressive / Progressief
2020/04/25 - 2021/04/09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</si>
</sst>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&quot;R&quot;* #,##0.00_-;\-&quot;R&quot;* #,##0.00_-;_-&quot;R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 * #,##0_ ;_ * \-#,##0_ ;_ * &quot;-&quot;??_ ;_ @_ "/>
    <numFmt numFmtId="187" formatCode="0.0%"/>
    <numFmt numFmtId="188" formatCode="#,##0,##0"/>
    <numFmt numFmtId="189" formatCode="mmm\-yyyy"/>
    <numFmt numFmtId="190" formatCode="_ * #\ ##0_ ;_ * \-#\ ##0_ ;_ * &quot;-&quot;?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#,###"/>
    <numFmt numFmtId="196" formatCode="##\ ###\ ###"/>
    <numFmt numFmtId="197" formatCode="#\ ###\ ###\ "/>
    <numFmt numFmtId="198" formatCode="#\ ###\ ###"/>
    <numFmt numFmtId="199" formatCode="#\ ###\ ###\ ###"/>
    <numFmt numFmtId="200" formatCode="###\ ###\ ###"/>
    <numFmt numFmtId="201" formatCode="#\ ###\ ##0"/>
    <numFmt numFmtId="202" formatCode="#,###,###,###"/>
    <numFmt numFmtId="203" formatCode="[$-409]dddd\,\ mmmm\ d\,\ yyyy"/>
    <numFmt numFmtId="204" formatCode="[$-409]d\-mmm\-yy;@"/>
    <numFmt numFmtId="205" formatCode="_ * #,##0.0_ ;_ * \-#,##0.0_ ;_ * &quot;-&quot;??_ ;_ @_ "/>
    <numFmt numFmtId="206" formatCode="m/d;@"/>
    <numFmt numFmtId="207" formatCode="#,##0;#,##0"/>
    <numFmt numFmtId="208" formatCode="[$-1C09]dd\ mmmm\ yyyy"/>
    <numFmt numFmtId="209" formatCode="[$-409]hh:mm:ss\ AM/PM"/>
    <numFmt numFmtId="210" formatCode="_ * #\,##0_ ;_ * \-#\,##0_ ;_ * &quot;-&quot;??_ ;_ @_ "/>
    <numFmt numFmtId="211" formatCode="0.000%"/>
    <numFmt numFmtId="212" formatCode="m/d/yy;@"/>
    <numFmt numFmtId="213" formatCode="_-* #,##0.0_-;\-* #,##0.0_-;_-* &quot;-&quot;?_-;_-@_-"/>
    <numFmt numFmtId="214" formatCode="_-* #,##0.0_-;\-* #,##0.0_-;_-* &quot;-&quot;??_-;_-@_-"/>
    <numFmt numFmtId="215" formatCode="_-* #,##0_-;\-* #,##0_-;_-* &quot;-&quot;??_-;_-@_-"/>
  </numFmts>
  <fonts count="12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i/>
      <sz val="11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5.45"/>
      <color indexed="8"/>
      <name val="Calibri"/>
      <family val="2"/>
    </font>
    <font>
      <b/>
      <sz val="6.55"/>
      <color indexed="8"/>
      <name val="Calibri"/>
      <family val="2"/>
    </font>
    <font>
      <b/>
      <sz val="10"/>
      <color indexed="8"/>
      <name val="Arial"/>
      <family val="2"/>
    </font>
    <font>
      <b/>
      <sz val="4.6"/>
      <color indexed="8"/>
      <name val="Arial"/>
      <family val="2"/>
    </font>
    <font>
      <b/>
      <sz val="5.75"/>
      <color indexed="8"/>
      <name val="Calibri"/>
      <family val="2"/>
    </font>
    <font>
      <b/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53"/>
      <name val="Arial"/>
      <family val="2"/>
    </font>
    <font>
      <sz val="11"/>
      <color indexed="56"/>
      <name val="Arial"/>
      <family val="2"/>
    </font>
    <font>
      <b/>
      <sz val="10"/>
      <color indexed="56"/>
      <name val="Cambria"/>
      <family val="2"/>
    </font>
    <font>
      <b/>
      <sz val="10"/>
      <color indexed="63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9"/>
      <color indexed="13"/>
      <name val="Arial"/>
      <family val="2"/>
    </font>
    <font>
      <b/>
      <sz val="10"/>
      <name val="Calibri"/>
      <family val="2"/>
    </font>
    <font>
      <b/>
      <sz val="14"/>
      <color indexed="56"/>
      <name val="Cambria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Tahoma"/>
      <family val="2"/>
    </font>
    <font>
      <b/>
      <sz val="11"/>
      <color indexed="12"/>
      <name val="Calibri"/>
      <family val="2"/>
    </font>
    <font>
      <b/>
      <sz val="13"/>
      <name val="Calibri"/>
      <family val="2"/>
    </font>
    <font>
      <b/>
      <sz val="14"/>
      <color indexed="10"/>
      <name val="Arial"/>
      <family val="2"/>
    </font>
    <font>
      <b/>
      <sz val="9"/>
      <name val="Calibri"/>
      <family val="2"/>
    </font>
    <font>
      <b/>
      <sz val="11"/>
      <color indexed="56"/>
      <name val="Cambria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theme="9" tint="-0.24997000396251678"/>
      <name val="Arial"/>
      <family val="2"/>
    </font>
    <font>
      <sz val="11"/>
      <color theme="3"/>
      <name val="Arial"/>
      <family val="2"/>
    </font>
    <font>
      <b/>
      <sz val="10"/>
      <color theme="3"/>
      <name val="Cambria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3F3F76"/>
      <name val="Calibri"/>
      <family val="2"/>
    </font>
    <font>
      <sz val="11"/>
      <color rgb="FF002060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9"/>
      <color rgb="FFFFFF00"/>
      <name val="Arial"/>
      <family val="2"/>
    </font>
    <font>
      <sz val="9"/>
      <color rgb="FFFF0000"/>
      <name val="Arial"/>
      <family val="2"/>
    </font>
    <font>
      <b/>
      <sz val="14"/>
      <color theme="3"/>
      <name val="Cambria"/>
      <family val="2"/>
    </font>
    <font>
      <b/>
      <sz val="13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Tahoma"/>
      <family val="2"/>
    </font>
    <font>
      <b/>
      <sz val="10"/>
      <color rgb="FF002060"/>
      <name val="Cambria"/>
      <family val="2"/>
    </font>
    <font>
      <b/>
      <sz val="11"/>
      <color rgb="FF0000FF"/>
      <name val="Calibri"/>
      <family val="2"/>
    </font>
    <font>
      <b/>
      <sz val="14"/>
      <color rgb="FFFF0000"/>
      <name val="Arial"/>
      <family val="2"/>
    </font>
    <font>
      <b/>
      <sz val="11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>
        <color rgb="FF3F3F3F"/>
      </right>
      <top>
        <color indexed="63"/>
      </top>
      <bottom style="medium"/>
    </border>
    <border>
      <left style="thin">
        <color rgb="FF3F3F3F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rgb="FF3F3F3F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 style="medium"/>
      <top style="thin"/>
      <bottom style="thin">
        <color rgb="FF7F7F7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>
        <color rgb="FF3F3F3F"/>
      </top>
      <bottom style="thin">
        <color rgb="FF3F3F3F"/>
      </bottom>
    </border>
    <border>
      <left style="thin"/>
      <right style="thin"/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3F3F3F"/>
      </left>
      <right style="medium"/>
      <top style="thin">
        <color rgb="FF3F3F3F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>
        <color theme="4"/>
      </bottom>
    </border>
    <border>
      <left>
        <color indexed="63"/>
      </left>
      <right style="medium"/>
      <top style="thin">
        <color rgb="FF3F3F3F"/>
      </top>
      <bottom style="medium"/>
    </border>
    <border>
      <left style="thin">
        <color rgb="FF3F3F3F"/>
      </left>
      <right style="medium"/>
      <top style="thin">
        <color rgb="FF3F3F3F"/>
      </top>
      <bottom style="medium"/>
    </border>
    <border>
      <left style="medium"/>
      <right style="medium"/>
      <top style="thin">
        <color rgb="FF3F3F3F"/>
      </top>
      <bottom style="medium"/>
    </border>
    <border>
      <left>
        <color indexed="63"/>
      </left>
      <right style="medium"/>
      <top style="medium"/>
      <bottom style="thin"/>
    </border>
    <border>
      <left style="thin">
        <color rgb="FF3F3F3F"/>
      </left>
      <right style="medium">
        <color theme="1"/>
      </right>
      <top style="thin"/>
      <bottom style="thin"/>
    </border>
    <border>
      <left>
        <color indexed="63"/>
      </left>
      <right style="medium">
        <color theme="1"/>
      </right>
      <top style="thin"/>
      <bottom>
        <color indexed="63"/>
      </bottom>
    </border>
    <border>
      <left>
        <color indexed="63"/>
      </left>
      <right style="medium">
        <color theme="1"/>
      </right>
      <top style="thin"/>
      <bottom style="thin"/>
    </border>
    <border>
      <left>
        <color indexed="63"/>
      </left>
      <right style="medium">
        <color theme="1"/>
      </right>
      <top>
        <color indexed="63"/>
      </top>
      <bottom style="thin"/>
    </border>
    <border>
      <left style="thin"/>
      <right style="medium">
        <color theme="1"/>
      </right>
      <top>
        <color indexed="63"/>
      </top>
      <bottom style="medium"/>
    </border>
    <border>
      <left>
        <color indexed="63"/>
      </left>
      <right style="medium">
        <color theme="1"/>
      </right>
      <top style="medium"/>
      <bottom>
        <color indexed="63"/>
      </bottom>
    </border>
    <border>
      <left style="thin"/>
      <right style="thin"/>
      <top style="thin">
        <color rgb="FF3F3F3F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>
        <color rgb="FF7F7F7F"/>
      </top>
      <bottom style="thin">
        <color rgb="FF7F7F7F"/>
      </bottom>
    </border>
    <border>
      <left style="thin"/>
      <right style="medium"/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>
        <color rgb="FF7F7F7F"/>
      </bottom>
    </border>
    <border>
      <left>
        <color indexed="63"/>
      </left>
      <right style="medium"/>
      <top style="thin">
        <color rgb="FF7F7F7F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>
        <color rgb="FF7F7F7F"/>
      </top>
      <bottom style="thin">
        <color rgb="FF7F7F7F"/>
      </bottom>
    </border>
    <border>
      <left style="medium"/>
      <right style="thin"/>
      <top style="thin">
        <color rgb="FF3F3F3F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>
        <color rgb="FF7F7F7F"/>
      </top>
      <bottom style="thin"/>
    </border>
    <border>
      <left style="thin">
        <color rgb="FF3F3F3F"/>
      </left>
      <right>
        <color indexed="63"/>
      </right>
      <top style="thin"/>
      <bottom style="thin"/>
    </border>
    <border>
      <left style="medium"/>
      <right style="medium"/>
      <top style="thin">
        <color rgb="FF7F7F7F"/>
      </top>
      <bottom style="thin">
        <color rgb="FF7F7F7F"/>
      </bottom>
    </border>
    <border>
      <left style="medium"/>
      <right style="medium"/>
      <top style="thin">
        <color rgb="FF7F7F7F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top"/>
      <protection/>
    </xf>
    <xf numFmtId="0" fontId="0" fillId="0" borderId="0">
      <alignment/>
      <protection/>
    </xf>
    <xf numFmtId="0" fontId="89" fillId="0" borderId="0">
      <alignment/>
      <protection/>
    </xf>
    <xf numFmtId="0" fontId="76" fillId="0" borderId="0">
      <alignment/>
      <protection/>
    </xf>
    <xf numFmtId="0" fontId="89" fillId="0" borderId="0">
      <alignment/>
      <protection/>
    </xf>
    <xf numFmtId="0" fontId="90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5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186" fontId="2" fillId="0" borderId="0" xfId="42" applyNumberFormat="1" applyFont="1" applyAlignment="1">
      <alignment/>
    </xf>
    <xf numFmtId="186" fontId="4" fillId="0" borderId="0" xfId="42" applyNumberFormat="1" applyFont="1" applyAlignment="1">
      <alignment/>
    </xf>
    <xf numFmtId="0" fontId="4" fillId="0" borderId="0" xfId="0" applyFont="1" applyAlignment="1">
      <alignment/>
    </xf>
    <xf numFmtId="186" fontId="5" fillId="0" borderId="0" xfId="42" applyNumberFormat="1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186" fontId="2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86" fontId="2" fillId="0" borderId="0" xfId="58" applyNumberFormat="1" applyFont="1" applyBorder="1" applyAlignment="1">
      <alignment/>
    </xf>
    <xf numFmtId="186" fontId="2" fillId="0" borderId="0" xfId="54" applyNumberFormat="1" applyFont="1" applyBorder="1" applyAlignment="1">
      <alignment/>
    </xf>
    <xf numFmtId="186" fontId="2" fillId="0" borderId="0" xfId="42" applyNumberFormat="1" applyFont="1" applyBorder="1" applyAlignment="1">
      <alignment horizontal="right"/>
    </xf>
    <xf numFmtId="0" fontId="95" fillId="0" borderId="0" xfId="0" applyFont="1" applyBorder="1" applyAlignment="1">
      <alignment/>
    </xf>
    <xf numFmtId="15" fontId="96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11" xfId="0" applyFont="1" applyBorder="1" applyAlignment="1">
      <alignment/>
    </xf>
    <xf numFmtId="186" fontId="2" fillId="0" borderId="12" xfId="42" applyNumberFormat="1" applyFont="1" applyBorder="1" applyAlignment="1">
      <alignment/>
    </xf>
    <xf numFmtId="0" fontId="86" fillId="30" borderId="13" xfId="76" applyBorder="1" applyAlignment="1">
      <alignment/>
    </xf>
    <xf numFmtId="0" fontId="85" fillId="0" borderId="14" xfId="73" applyBorder="1" applyAlignment="1">
      <alignment horizontal="center"/>
    </xf>
    <xf numFmtId="0" fontId="85" fillId="0" borderId="15" xfId="73" applyBorder="1" applyAlignment="1">
      <alignment horizontal="center"/>
    </xf>
    <xf numFmtId="0" fontId="93" fillId="0" borderId="16" xfId="99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186" fontId="2" fillId="0" borderId="12" xfId="58" applyNumberFormat="1" applyFont="1" applyBorder="1" applyAlignment="1">
      <alignment/>
    </xf>
    <xf numFmtId="186" fontId="2" fillId="0" borderId="19" xfId="54" applyNumberFormat="1" applyFont="1" applyBorder="1" applyAlignment="1">
      <alignment/>
    </xf>
    <xf numFmtId="186" fontId="2" fillId="0" borderId="12" xfId="54" applyNumberFormat="1" applyFont="1" applyBorder="1" applyAlignment="1">
      <alignment/>
    </xf>
    <xf numFmtId="186" fontId="2" fillId="0" borderId="12" xfId="62" applyNumberFormat="1" applyFont="1" applyBorder="1" applyAlignment="1">
      <alignment/>
    </xf>
    <xf numFmtId="186" fontId="2" fillId="0" borderId="19" xfId="79" applyNumberFormat="1" applyFont="1" applyBorder="1">
      <alignment/>
      <protection/>
    </xf>
    <xf numFmtId="0" fontId="2" fillId="0" borderId="20" xfId="0" applyFont="1" applyBorder="1" applyAlignment="1">
      <alignment horizontal="center"/>
    </xf>
    <xf numFmtId="186" fontId="2" fillId="0" borderId="12" xfId="42" applyNumberFormat="1" applyFont="1" applyBorder="1" applyAlignment="1">
      <alignment horizontal="right"/>
    </xf>
    <xf numFmtId="186" fontId="2" fillId="0" borderId="21" xfId="58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86" fontId="2" fillId="0" borderId="14" xfId="54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4" xfId="0" applyFont="1" applyBorder="1" applyAlignment="1">
      <alignment/>
    </xf>
    <xf numFmtId="0" fontId="85" fillId="0" borderId="5" xfId="73" applyFont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186" fontId="13" fillId="0" borderId="25" xfId="42" applyNumberFormat="1" applyFont="1" applyBorder="1" applyAlignment="1">
      <alignment/>
    </xf>
    <xf numFmtId="186" fontId="14" fillId="0" borderId="25" xfId="42" applyNumberFormat="1" applyFont="1" applyBorder="1" applyAlignment="1">
      <alignment/>
    </xf>
    <xf numFmtId="186" fontId="86" fillId="30" borderId="25" xfId="76" applyNumberFormat="1" applyFont="1" applyBorder="1" applyAlignment="1">
      <alignment/>
    </xf>
    <xf numFmtId="186" fontId="14" fillId="0" borderId="12" xfId="42" applyNumberFormat="1" applyFont="1" applyBorder="1" applyAlignment="1">
      <alignment/>
    </xf>
    <xf numFmtId="186" fontId="13" fillId="0" borderId="19" xfId="42" applyNumberFormat="1" applyFont="1" applyBorder="1" applyAlignment="1">
      <alignment/>
    </xf>
    <xf numFmtId="0" fontId="12" fillId="0" borderId="14" xfId="0" applyFont="1" applyBorder="1" applyAlignment="1">
      <alignment horizontal="center"/>
    </xf>
    <xf numFmtId="186" fontId="14" fillId="0" borderId="26" xfId="53" applyNumberFormat="1" applyFont="1" applyBorder="1" applyAlignment="1">
      <alignment/>
    </xf>
    <xf numFmtId="186" fontId="14" fillId="0" borderId="14" xfId="53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186" fontId="14" fillId="0" borderId="25" xfId="53" applyNumberFormat="1" applyFont="1" applyBorder="1" applyAlignment="1">
      <alignment/>
    </xf>
    <xf numFmtId="186" fontId="14" fillId="0" borderId="19" xfId="53" applyNumberFormat="1" applyFont="1" applyBorder="1" applyAlignment="1">
      <alignment/>
    </xf>
    <xf numFmtId="186" fontId="12" fillId="0" borderId="0" xfId="42" applyNumberFormat="1" applyFont="1" applyAlignment="1">
      <alignment/>
    </xf>
    <xf numFmtId="186" fontId="13" fillId="0" borderId="0" xfId="42" applyNumberFormat="1" applyFont="1" applyAlignment="1">
      <alignment/>
    </xf>
    <xf numFmtId="186" fontId="14" fillId="0" borderId="0" xfId="42" applyNumberFormat="1" applyFont="1" applyAlignment="1">
      <alignment/>
    </xf>
    <xf numFmtId="186" fontId="13" fillId="0" borderId="0" xfId="0" applyNumberFormat="1" applyFont="1" applyAlignment="1">
      <alignment/>
    </xf>
    <xf numFmtId="186" fontId="2" fillId="0" borderId="27" xfId="54" applyNumberFormat="1" applyFont="1" applyBorder="1" applyAlignment="1">
      <alignment/>
    </xf>
    <xf numFmtId="0" fontId="2" fillId="0" borderId="28" xfId="0" applyFont="1" applyBorder="1" applyAlignment="1">
      <alignment/>
    </xf>
    <xf numFmtId="49" fontId="2" fillId="0" borderId="29" xfId="0" applyNumberFormat="1" applyFont="1" applyBorder="1" applyAlignment="1">
      <alignment/>
    </xf>
    <xf numFmtId="186" fontId="2" fillId="0" borderId="30" xfId="79" applyNumberFormat="1" applyFont="1" applyBorder="1">
      <alignment/>
      <protection/>
    </xf>
    <xf numFmtId="0" fontId="2" fillId="0" borderId="31" xfId="0" applyFont="1" applyFill="1" applyBorder="1" applyAlignment="1">
      <alignment/>
    </xf>
    <xf numFmtId="49" fontId="2" fillId="0" borderId="32" xfId="0" applyNumberFormat="1" applyFont="1" applyFill="1" applyBorder="1" applyAlignment="1">
      <alignment/>
    </xf>
    <xf numFmtId="17" fontId="1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186" fontId="97" fillId="0" borderId="25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186" fontId="2" fillId="0" borderId="21" xfId="54" applyNumberFormat="1" applyFont="1" applyBorder="1" applyAlignment="1">
      <alignment/>
    </xf>
    <xf numFmtId="0" fontId="0" fillId="0" borderId="0" xfId="0" applyAlignment="1">
      <alignment horizontal="left"/>
    </xf>
    <xf numFmtId="0" fontId="98" fillId="0" borderId="33" xfId="98" applyFont="1" applyBorder="1" applyAlignment="1">
      <alignment horizontal="left"/>
    </xf>
    <xf numFmtId="0" fontId="0" fillId="0" borderId="0" xfId="0" applyAlignment="1">
      <alignment horizontal="center"/>
    </xf>
    <xf numFmtId="0" fontId="98" fillId="0" borderId="28" xfId="98" applyFont="1" applyBorder="1" applyAlignment="1">
      <alignment horizontal="center"/>
    </xf>
    <xf numFmtId="0" fontId="0" fillId="0" borderId="0" xfId="0" applyFont="1" applyAlignment="1">
      <alignment horizontal="left"/>
    </xf>
    <xf numFmtId="0" fontId="98" fillId="0" borderId="34" xfId="98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49" fontId="0" fillId="0" borderId="29" xfId="0" applyNumberFormat="1" applyFont="1" applyBorder="1" applyAlignment="1">
      <alignment/>
    </xf>
    <xf numFmtId="186" fontId="0" fillId="0" borderId="34" xfId="79" applyNumberFormat="1" applyFont="1" applyBorder="1" applyAlignment="1">
      <alignment horizontal="center"/>
      <protection/>
    </xf>
    <xf numFmtId="186" fontId="0" fillId="0" borderId="29" xfId="79" applyNumberFormat="1" applyFont="1" applyBorder="1" applyAlignment="1">
      <alignment horizontal="center"/>
      <protection/>
    </xf>
    <xf numFmtId="0" fontId="0" fillId="0" borderId="31" xfId="0" applyFont="1" applyFill="1" applyBorder="1" applyAlignment="1">
      <alignment horizontal="left"/>
    </xf>
    <xf numFmtId="49" fontId="0" fillId="0" borderId="32" xfId="0" applyNumberFormat="1" applyFont="1" applyFill="1" applyBorder="1" applyAlignment="1">
      <alignment/>
    </xf>
    <xf numFmtId="186" fontId="0" fillId="0" borderId="35" xfId="79" applyNumberFormat="1" applyFont="1" applyBorder="1" applyAlignment="1">
      <alignment horizontal="center"/>
      <protection/>
    </xf>
    <xf numFmtId="186" fontId="0" fillId="0" borderId="32" xfId="79" applyNumberFormat="1" applyFont="1" applyBorder="1" applyAlignment="1">
      <alignment horizontal="center"/>
      <protection/>
    </xf>
    <xf numFmtId="0" fontId="99" fillId="0" borderId="36" xfId="99" applyFont="1" applyBorder="1" applyAlignment="1">
      <alignment horizontal="left"/>
    </xf>
    <xf numFmtId="49" fontId="99" fillId="0" borderId="37" xfId="99" applyNumberFormat="1" applyFont="1" applyBorder="1" applyAlignment="1">
      <alignment/>
    </xf>
    <xf numFmtId="186" fontId="0" fillId="0" borderId="38" xfId="79" applyNumberFormat="1" applyFont="1" applyBorder="1" applyAlignment="1">
      <alignment horizontal="center"/>
      <protection/>
    </xf>
    <xf numFmtId="186" fontId="0" fillId="0" borderId="37" xfId="79" applyNumberFormat="1" applyFont="1" applyBorder="1" applyAlignment="1">
      <alignment horizontal="center"/>
      <protection/>
    </xf>
    <xf numFmtId="0" fontId="100" fillId="27" borderId="39" xfId="92" applyFont="1" applyBorder="1" applyAlignment="1">
      <alignment horizontal="left"/>
    </xf>
    <xf numFmtId="49" fontId="100" fillId="27" borderId="40" xfId="92" applyNumberFormat="1" applyFont="1" applyBorder="1" applyAlignment="1">
      <alignment/>
    </xf>
    <xf numFmtId="187" fontId="100" fillId="27" borderId="35" xfId="92" applyNumberFormat="1" applyFont="1" applyBorder="1" applyAlignment="1">
      <alignment horizontal="center"/>
    </xf>
    <xf numFmtId="187" fontId="100" fillId="27" borderId="32" xfId="92" applyNumberFormat="1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86" fontId="2" fillId="0" borderId="27" xfId="58" applyNumberFormat="1" applyFont="1" applyBorder="1" applyAlignment="1">
      <alignment/>
    </xf>
    <xf numFmtId="186" fontId="91" fillId="27" borderId="43" xfId="42" applyNumberFormat="1" applyFont="1" applyFill="1" applyBorder="1" applyAlignment="1">
      <alignment horizontal="center"/>
    </xf>
    <xf numFmtId="186" fontId="91" fillId="27" borderId="44" xfId="42" applyNumberFormat="1" applyFont="1" applyFill="1" applyBorder="1" applyAlignment="1">
      <alignment horizontal="center"/>
    </xf>
    <xf numFmtId="0" fontId="1" fillId="0" borderId="32" xfId="79" applyNumberFormat="1" applyFont="1" applyBorder="1">
      <alignment/>
      <protection/>
    </xf>
    <xf numFmtId="187" fontId="100" fillId="27" borderId="0" xfId="92" applyNumberFormat="1" applyFont="1" applyBorder="1" applyAlignment="1">
      <alignment horizontal="center"/>
    </xf>
    <xf numFmtId="0" fontId="98" fillId="0" borderId="10" xfId="98" applyFont="1" applyBorder="1" applyAlignment="1">
      <alignment horizontal="center"/>
    </xf>
    <xf numFmtId="0" fontId="98" fillId="0" borderId="45" xfId="98" applyFont="1" applyBorder="1" applyAlignment="1">
      <alignment horizontal="center"/>
    </xf>
    <xf numFmtId="0" fontId="100" fillId="27" borderId="46" xfId="92" applyFont="1" applyBorder="1" applyAlignment="1">
      <alignment horizontal="left"/>
    </xf>
    <xf numFmtId="49" fontId="100" fillId="27" borderId="47" xfId="92" applyNumberFormat="1" applyFont="1" applyBorder="1" applyAlignment="1">
      <alignment/>
    </xf>
    <xf numFmtId="187" fontId="100" fillId="27" borderId="45" xfId="92" applyNumberFormat="1" applyFont="1" applyBorder="1" applyAlignment="1">
      <alignment horizontal="center"/>
    </xf>
    <xf numFmtId="0" fontId="98" fillId="0" borderId="31" xfId="98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49" fontId="2" fillId="0" borderId="49" xfId="0" applyNumberFormat="1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86" fontId="1" fillId="0" borderId="0" xfId="42" applyNumberFormat="1" applyFont="1" applyBorder="1" applyAlignment="1">
      <alignment/>
    </xf>
    <xf numFmtId="186" fontId="1" fillId="0" borderId="0" xfId="54" applyNumberFormat="1" applyFont="1" applyBorder="1" applyAlignment="1">
      <alignment/>
    </xf>
    <xf numFmtId="0" fontId="2" fillId="0" borderId="27" xfId="0" applyFont="1" applyBorder="1" applyAlignment="1">
      <alignment/>
    </xf>
    <xf numFmtId="186" fontId="91" fillId="27" borderId="47" xfId="42" applyNumberFormat="1" applyFont="1" applyFill="1" applyBorder="1" applyAlignment="1">
      <alignment/>
    </xf>
    <xf numFmtId="0" fontId="1" fillId="0" borderId="32" xfId="79" applyNumberFormat="1" applyFont="1" applyBorder="1" applyAlignment="1">
      <alignment horizontal="center"/>
      <protection/>
    </xf>
    <xf numFmtId="186" fontId="2" fillId="0" borderId="19" xfId="42" applyNumberFormat="1" applyFont="1" applyBorder="1" applyAlignment="1">
      <alignment horizontal="right"/>
    </xf>
    <xf numFmtId="0" fontId="1" fillId="0" borderId="0" xfId="79" applyNumberFormat="1" applyFont="1" applyBorder="1">
      <alignment/>
      <protection/>
    </xf>
    <xf numFmtId="0" fontId="1" fillId="0" borderId="15" xfId="79" applyNumberFormat="1" applyFont="1" applyBorder="1">
      <alignment/>
      <protection/>
    </xf>
    <xf numFmtId="0" fontId="1" fillId="0" borderId="50" xfId="79" applyNumberFormat="1" applyFont="1" applyBorder="1">
      <alignment/>
      <protection/>
    </xf>
    <xf numFmtId="0" fontId="2" fillId="0" borderId="31" xfId="0" applyFont="1" applyBorder="1" applyAlignment="1">
      <alignment/>
    </xf>
    <xf numFmtId="49" fontId="2" fillId="0" borderId="32" xfId="0" applyNumberFormat="1" applyFont="1" applyBorder="1" applyAlignment="1">
      <alignment/>
    </xf>
    <xf numFmtId="186" fontId="91" fillId="27" borderId="19" xfId="42" applyNumberFormat="1" applyFont="1" applyFill="1" applyBorder="1" applyAlignment="1">
      <alignment horizontal="center"/>
    </xf>
    <xf numFmtId="0" fontId="101" fillId="0" borderId="0" xfId="79" applyNumberFormat="1" applyFont="1" applyBorder="1">
      <alignment/>
      <protection/>
    </xf>
    <xf numFmtId="186" fontId="91" fillId="27" borderId="51" xfId="42" applyNumberFormat="1" applyFont="1" applyFill="1" applyBorder="1" applyAlignment="1">
      <alignment horizontal="center"/>
    </xf>
    <xf numFmtId="186" fontId="91" fillId="33" borderId="52" xfId="42" applyNumberFormat="1" applyFont="1" applyFill="1" applyBorder="1" applyAlignment="1">
      <alignment horizontal="center"/>
    </xf>
    <xf numFmtId="0" fontId="2" fillId="0" borderId="53" xfId="0" applyFont="1" applyBorder="1" applyAlignment="1">
      <alignment horizontal="left" vertical="center"/>
    </xf>
    <xf numFmtId="9" fontId="102" fillId="34" borderId="0" xfId="93" applyFont="1" applyFill="1" applyAlignment="1">
      <alignment horizontal="center"/>
    </xf>
    <xf numFmtId="186" fontId="103" fillId="30" borderId="54" xfId="76" applyNumberFormat="1" applyFont="1" applyBorder="1" applyAlignment="1">
      <alignment horizontal="left" vertical="center" wrapText="1"/>
    </xf>
    <xf numFmtId="0" fontId="86" fillId="30" borderId="25" xfId="76" applyFont="1" applyBorder="1" applyAlignment="1">
      <alignment/>
    </xf>
    <xf numFmtId="10" fontId="0" fillId="0" borderId="0" xfId="93" applyNumberFormat="1" applyFont="1" applyAlignment="1">
      <alignment/>
    </xf>
    <xf numFmtId="10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right"/>
    </xf>
    <xf numFmtId="186" fontId="2" fillId="0" borderId="55" xfId="58" applyNumberFormat="1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186" fontId="86" fillId="30" borderId="25" xfId="76" applyNumberFormat="1" applyFont="1" applyBorder="1" applyAlignment="1">
      <alignment/>
    </xf>
    <xf numFmtId="187" fontId="100" fillId="27" borderId="35" xfId="92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48" xfId="0" applyFont="1" applyBorder="1" applyAlignment="1">
      <alignment/>
    </xf>
    <xf numFmtId="187" fontId="100" fillId="27" borderId="45" xfId="92" applyNumberFormat="1" applyFont="1" applyBorder="1" applyAlignment="1">
      <alignment horizontal="center"/>
    </xf>
    <xf numFmtId="186" fontId="91" fillId="27" borderId="19" xfId="50" applyNumberFormat="1" applyFont="1" applyFill="1" applyBorder="1" applyAlignment="1">
      <alignment horizontal="center"/>
    </xf>
    <xf numFmtId="186" fontId="91" fillId="27" borderId="51" xfId="50" applyNumberFormat="1" applyFont="1" applyFill="1" applyBorder="1" applyAlignment="1">
      <alignment horizontal="center"/>
    </xf>
    <xf numFmtId="186" fontId="91" fillId="33" borderId="52" xfId="50" applyNumberFormat="1" applyFont="1" applyFill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2" xfId="0" applyFont="1" applyBorder="1" applyAlignment="1">
      <alignment/>
    </xf>
    <xf numFmtId="3" fontId="18" fillId="0" borderId="25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85" fillId="0" borderId="5" xfId="73" applyNumberFormat="1" applyFont="1" applyAlignment="1">
      <alignment horizontal="center" vertical="center" wrapText="1"/>
    </xf>
    <xf numFmtId="3" fontId="86" fillId="30" borderId="25" xfId="76" applyNumberFormat="1" applyFont="1" applyBorder="1" applyAlignment="1">
      <alignment/>
    </xf>
    <xf numFmtId="3" fontId="12" fillId="0" borderId="0" xfId="42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85" fillId="0" borderId="5" xfId="73" applyNumberFormat="1" applyFont="1" applyAlignment="1">
      <alignment horizontal="center" vertical="center" wrapText="1"/>
    </xf>
    <xf numFmtId="1" fontId="86" fillId="30" borderId="25" xfId="76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2" fillId="0" borderId="25" xfId="42" applyNumberFormat="1" applyFont="1" applyBorder="1" applyAlignment="1">
      <alignment/>
    </xf>
    <xf numFmtId="1" fontId="12" fillId="0" borderId="12" xfId="42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" fontId="1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0" fontId="76" fillId="0" borderId="25" xfId="2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/>
    </xf>
    <xf numFmtId="1" fontId="86" fillId="0" borderId="25" xfId="76" applyNumberFormat="1" applyFont="1" applyFill="1" applyBorder="1" applyAlignment="1">
      <alignment/>
    </xf>
    <xf numFmtId="3" fontId="86" fillId="0" borderId="25" xfId="76" applyNumberFormat="1" applyFont="1" applyFill="1" applyBorder="1" applyAlignment="1">
      <alignment/>
    </xf>
    <xf numFmtId="186" fontId="91" fillId="27" borderId="12" xfId="53" applyNumberFormat="1" applyFont="1" applyFill="1" applyBorder="1" applyAlignment="1">
      <alignment/>
    </xf>
    <xf numFmtId="186" fontId="91" fillId="27" borderId="57" xfId="42" applyNumberFormat="1" applyFont="1" applyFill="1" applyBorder="1" applyAlignment="1">
      <alignment/>
    </xf>
    <xf numFmtId="186" fontId="91" fillId="27" borderId="58" xfId="42" applyNumberFormat="1" applyFont="1" applyFill="1" applyBorder="1" applyAlignment="1">
      <alignment/>
    </xf>
    <xf numFmtId="186" fontId="91" fillId="27" borderId="12" xfId="42" applyNumberFormat="1" applyFont="1" applyFill="1" applyBorder="1" applyAlignment="1">
      <alignment/>
    </xf>
    <xf numFmtId="186" fontId="54" fillId="30" borderId="25" xfId="42" applyNumberFormat="1" applyFont="1" applyFill="1" applyBorder="1" applyAlignment="1">
      <alignment horizontal="center" vertical="center"/>
    </xf>
    <xf numFmtId="186" fontId="54" fillId="30" borderId="25" xfId="76" applyNumberFormat="1" applyFont="1" applyBorder="1" applyAlignment="1">
      <alignment horizontal="center" vertical="center" wrapText="1"/>
    </xf>
    <xf numFmtId="186" fontId="55" fillId="30" borderId="59" xfId="76" applyNumberFormat="1" applyFont="1" applyBorder="1" applyAlignment="1">
      <alignment horizontal="right" vertical="center" wrapText="1"/>
    </xf>
    <xf numFmtId="186" fontId="55" fillId="30" borderId="25" xfId="76" applyNumberFormat="1" applyFont="1" applyBorder="1" applyAlignment="1">
      <alignment horizontal="center" vertical="center" wrapText="1"/>
    </xf>
    <xf numFmtId="9" fontId="0" fillId="0" borderId="0" xfId="93" applyFont="1" applyAlignment="1">
      <alignment/>
    </xf>
    <xf numFmtId="186" fontId="13" fillId="0" borderId="25" xfId="47" applyNumberFormat="1" applyFont="1" applyBorder="1" applyAlignment="1">
      <alignment/>
    </xf>
    <xf numFmtId="186" fontId="86" fillId="30" borderId="25" xfId="76" applyNumberFormat="1" applyFont="1" applyBorder="1" applyAlignment="1">
      <alignment/>
    </xf>
    <xf numFmtId="1" fontId="104" fillId="19" borderId="25" xfId="20" applyNumberFormat="1" applyFont="1" applyFill="1" applyBorder="1" applyAlignment="1">
      <alignment/>
    </xf>
    <xf numFmtId="1" fontId="86" fillId="30" borderId="25" xfId="76" applyNumberFormat="1" applyFont="1" applyBorder="1" applyAlignment="1">
      <alignment/>
    </xf>
    <xf numFmtId="0" fontId="76" fillId="3" borderId="10" xfId="16" applyBorder="1" applyAlignment="1">
      <alignment horizontal="center"/>
    </xf>
    <xf numFmtId="0" fontId="93" fillId="0" borderId="60" xfId="99" applyBorder="1" applyAlignment="1">
      <alignment/>
    </xf>
    <xf numFmtId="0" fontId="84" fillId="33" borderId="25" xfId="72" applyFill="1" applyBorder="1" applyAlignment="1">
      <alignment horizontal="center"/>
    </xf>
    <xf numFmtId="49" fontId="84" fillId="33" borderId="25" xfId="72" applyNumberFormat="1" applyFill="1" applyBorder="1" applyAlignment="1">
      <alignment horizontal="center"/>
    </xf>
    <xf numFmtId="0" fontId="93" fillId="0" borderId="10" xfId="99" applyFill="1" applyBorder="1" applyAlignment="1">
      <alignment horizontal="center"/>
    </xf>
    <xf numFmtId="0" fontId="84" fillId="33" borderId="61" xfId="72" applyFill="1" applyBorder="1" applyAlignment="1">
      <alignment horizontal="center"/>
    </xf>
    <xf numFmtId="0" fontId="84" fillId="33" borderId="62" xfId="72" applyFill="1" applyBorder="1" applyAlignment="1">
      <alignment horizontal="center"/>
    </xf>
    <xf numFmtId="0" fontId="93" fillId="0" borderId="0" xfId="99" applyFill="1" applyBorder="1" applyAlignment="1">
      <alignment horizontal="center"/>
    </xf>
    <xf numFmtId="186" fontId="2" fillId="0" borderId="12" xfId="59" applyNumberFormat="1" applyFont="1" applyBorder="1" applyAlignment="1">
      <alignment/>
    </xf>
    <xf numFmtId="186" fontId="2" fillId="0" borderId="12" xfId="63" applyNumberFormat="1" applyFont="1" applyBorder="1" applyAlignment="1">
      <alignment/>
    </xf>
    <xf numFmtId="186" fontId="2" fillId="0" borderId="12" xfId="55" applyNumberFormat="1" applyFont="1" applyBorder="1" applyAlignment="1">
      <alignment/>
    </xf>
    <xf numFmtId="186" fontId="2" fillId="0" borderId="14" xfId="55" applyNumberFormat="1" applyFont="1" applyBorder="1" applyAlignment="1">
      <alignment/>
    </xf>
    <xf numFmtId="49" fontId="86" fillId="30" borderId="25" xfId="76" applyNumberFormat="1" applyBorder="1" applyAlignment="1">
      <alignment horizontal="center"/>
    </xf>
    <xf numFmtId="186" fontId="86" fillId="30" borderId="25" xfId="76" applyNumberFormat="1" applyFont="1" applyBorder="1" applyAlignment="1">
      <alignment/>
    </xf>
    <xf numFmtId="186" fontId="2" fillId="0" borderId="27" xfId="55" applyNumberFormat="1" applyFont="1" applyBorder="1" applyAlignment="1">
      <alignment/>
    </xf>
    <xf numFmtId="186" fontId="2" fillId="0" borderId="50" xfId="55" applyNumberFormat="1" applyFont="1" applyBorder="1" applyAlignment="1">
      <alignment/>
    </xf>
    <xf numFmtId="0" fontId="84" fillId="33" borderId="20" xfId="72" applyFill="1" applyBorder="1" applyAlignment="1">
      <alignment horizontal="center"/>
    </xf>
    <xf numFmtId="0" fontId="84" fillId="33" borderId="51" xfId="72" applyFill="1" applyBorder="1" applyAlignment="1">
      <alignment/>
    </xf>
    <xf numFmtId="0" fontId="84" fillId="33" borderId="19" xfId="72" applyFill="1" applyBorder="1" applyAlignment="1">
      <alignment horizontal="center"/>
    </xf>
    <xf numFmtId="0" fontId="93" fillId="0" borderId="63" xfId="99" applyBorder="1" applyAlignment="1">
      <alignment/>
    </xf>
    <xf numFmtId="49" fontId="93" fillId="0" borderId="64" xfId="99" applyNumberFormat="1" applyBorder="1" applyAlignment="1">
      <alignment/>
    </xf>
    <xf numFmtId="0" fontId="84" fillId="33" borderId="65" xfId="72" applyFill="1" applyBorder="1" applyAlignment="1">
      <alignment horizontal="center"/>
    </xf>
    <xf numFmtId="186" fontId="2" fillId="0" borderId="27" xfId="59" applyNumberFormat="1" applyFont="1" applyBorder="1" applyAlignment="1">
      <alignment/>
    </xf>
    <xf numFmtId="0" fontId="84" fillId="33" borderId="23" xfId="72" applyFill="1" applyBorder="1" applyAlignment="1">
      <alignment horizontal="center"/>
    </xf>
    <xf numFmtId="49" fontId="84" fillId="33" borderId="14" xfId="72" applyNumberFormat="1" applyFill="1" applyBorder="1" applyAlignment="1">
      <alignment horizontal="center"/>
    </xf>
    <xf numFmtId="0" fontId="91" fillId="27" borderId="66" xfId="92" applyBorder="1" applyAlignment="1">
      <alignment/>
    </xf>
    <xf numFmtId="49" fontId="91" fillId="27" borderId="43" xfId="92" applyNumberFormat="1" applyBorder="1" applyAlignment="1">
      <alignment/>
    </xf>
    <xf numFmtId="186" fontId="91" fillId="27" borderId="43" xfId="92" applyNumberFormat="1" applyBorder="1" applyAlignment="1">
      <alignment/>
    </xf>
    <xf numFmtId="0" fontId="76" fillId="35" borderId="10" xfId="16" applyFill="1" applyBorder="1" applyAlignment="1">
      <alignment horizontal="center"/>
    </xf>
    <xf numFmtId="186" fontId="1" fillId="0" borderId="0" xfId="53" applyNumberFormat="1" applyFont="1" applyBorder="1" applyAlignment="1">
      <alignment/>
    </xf>
    <xf numFmtId="186" fontId="105" fillId="0" borderId="0" xfId="99" applyNumberFormat="1" applyFont="1" applyBorder="1" applyAlignment="1">
      <alignment/>
    </xf>
    <xf numFmtId="186" fontId="2" fillId="35" borderId="19" xfId="76" applyNumberFormat="1" applyFont="1" applyFill="1" applyBorder="1" applyAlignment="1">
      <alignment horizontal="right"/>
    </xf>
    <xf numFmtId="186" fontId="54" fillId="35" borderId="12" xfId="76" applyNumberFormat="1" applyFont="1" applyFill="1" applyBorder="1" applyAlignment="1">
      <alignment/>
    </xf>
    <xf numFmtId="186" fontId="54" fillId="0" borderId="67" xfId="76" applyNumberFormat="1" applyFont="1" applyFill="1" applyBorder="1" applyAlignment="1">
      <alignment horizontal="right"/>
    </xf>
    <xf numFmtId="186" fontId="2" fillId="35" borderId="27" xfId="76" applyNumberFormat="1" applyFont="1" applyFill="1" applyBorder="1" applyAlignment="1">
      <alignment/>
    </xf>
    <xf numFmtId="186" fontId="2" fillId="35" borderId="68" xfId="76" applyNumberFormat="1" applyFont="1" applyFill="1" applyBorder="1" applyAlignment="1">
      <alignment horizontal="right"/>
    </xf>
    <xf numFmtId="186" fontId="86" fillId="30" borderId="13" xfId="76" applyNumberFormat="1" applyBorder="1" applyAlignment="1">
      <alignment/>
    </xf>
    <xf numFmtId="0" fontId="84" fillId="33" borderId="11" xfId="72" applyFill="1" applyBorder="1" applyAlignment="1">
      <alignment horizontal="center"/>
    </xf>
    <xf numFmtId="186" fontId="2" fillId="35" borderId="12" xfId="76" applyNumberFormat="1" applyFont="1" applyFill="1" applyBorder="1" applyAlignment="1">
      <alignment/>
    </xf>
    <xf numFmtId="0" fontId="84" fillId="33" borderId="52" xfId="72" applyFill="1" applyBorder="1" applyAlignment="1">
      <alignment horizontal="center"/>
    </xf>
    <xf numFmtId="186" fontId="2" fillId="35" borderId="0" xfId="76" applyNumberFormat="1" applyFont="1" applyFill="1" applyBorder="1" applyAlignment="1">
      <alignment/>
    </xf>
    <xf numFmtId="49" fontId="91" fillId="27" borderId="55" xfId="92" applyNumberFormat="1" applyBorder="1" applyAlignment="1">
      <alignment/>
    </xf>
    <xf numFmtId="186" fontId="91" fillId="27" borderId="68" xfId="53" applyNumberFormat="1" applyFont="1" applyFill="1" applyBorder="1" applyAlignment="1">
      <alignment horizontal="center"/>
    </xf>
    <xf numFmtId="186" fontId="91" fillId="27" borderId="68" xfId="92" applyNumberFormat="1" applyBorder="1" applyAlignment="1">
      <alignment/>
    </xf>
    <xf numFmtId="49" fontId="91" fillId="33" borderId="62" xfId="92" applyNumberFormat="1" applyFill="1" applyBorder="1" applyAlignment="1">
      <alignment/>
    </xf>
    <xf numFmtId="49" fontId="91" fillId="27" borderId="44" xfId="92" applyNumberFormat="1" applyBorder="1" applyAlignment="1">
      <alignment/>
    </xf>
    <xf numFmtId="186" fontId="106" fillId="35" borderId="0" xfId="16" applyNumberFormat="1" applyFont="1" applyFill="1" applyBorder="1" applyAlignment="1">
      <alignment/>
    </xf>
    <xf numFmtId="186" fontId="106" fillId="35" borderId="12" xfId="16" applyNumberFormat="1" applyFont="1" applyFill="1" applyBorder="1" applyAlignment="1">
      <alignment/>
    </xf>
    <xf numFmtId="186" fontId="106" fillId="35" borderId="21" xfId="16" applyNumberFormat="1" applyFont="1" applyFill="1" applyBorder="1" applyAlignment="1">
      <alignment/>
    </xf>
    <xf numFmtId="186" fontId="1" fillId="0" borderId="12" xfId="53" applyNumberFormat="1" applyFont="1" applyBorder="1" applyAlignment="1">
      <alignment/>
    </xf>
    <xf numFmtId="0" fontId="84" fillId="33" borderId="15" xfId="72" applyFill="1" applyBorder="1" applyAlignment="1">
      <alignment horizontal="center"/>
    </xf>
    <xf numFmtId="186" fontId="107" fillId="0" borderId="14" xfId="99" applyNumberFormat="1" applyFont="1" applyBorder="1" applyAlignment="1">
      <alignment/>
    </xf>
    <xf numFmtId="0" fontId="84" fillId="33" borderId="56" xfId="72" applyFill="1" applyBorder="1" applyAlignment="1">
      <alignment horizontal="center"/>
    </xf>
    <xf numFmtId="186" fontId="105" fillId="0" borderId="69" xfId="99" applyNumberFormat="1" applyFont="1" applyBorder="1" applyAlignment="1">
      <alignment/>
    </xf>
    <xf numFmtId="0" fontId="1" fillId="0" borderId="69" xfId="80" applyNumberFormat="1" applyFont="1" applyBorder="1">
      <alignment/>
      <protection/>
    </xf>
    <xf numFmtId="0" fontId="1" fillId="0" borderId="48" xfId="80" applyNumberFormat="1" applyFont="1" applyBorder="1" applyAlignment="1">
      <alignment horizontal="center"/>
      <protection/>
    </xf>
    <xf numFmtId="186" fontId="93" fillId="0" borderId="70" xfId="99" applyNumberFormat="1" applyBorder="1" applyAlignment="1">
      <alignment/>
    </xf>
    <xf numFmtId="186" fontId="2" fillId="0" borderId="19" xfId="57" applyNumberFormat="1" applyFont="1" applyBorder="1" applyAlignment="1">
      <alignment/>
    </xf>
    <xf numFmtId="186" fontId="2" fillId="0" borderId="12" xfId="57" applyNumberFormat="1" applyFont="1" applyBorder="1" applyAlignment="1">
      <alignment/>
    </xf>
    <xf numFmtId="49" fontId="2" fillId="0" borderId="14" xfId="80" applyNumberFormat="1" applyFont="1" applyBorder="1">
      <alignment/>
      <protection/>
    </xf>
    <xf numFmtId="187" fontId="91" fillId="27" borderId="53" xfId="92" applyNumberFormat="1" applyBorder="1" applyAlignment="1">
      <alignment horizontal="center"/>
    </xf>
    <xf numFmtId="0" fontId="1" fillId="0" borderId="48" xfId="80" applyNumberFormat="1" applyFont="1" applyBorder="1">
      <alignment/>
      <protection/>
    </xf>
    <xf numFmtId="0" fontId="93" fillId="0" borderId="14" xfId="99" applyFill="1" applyBorder="1" applyAlignment="1">
      <alignment horizontal="center"/>
    </xf>
    <xf numFmtId="186" fontId="93" fillId="0" borderId="71" xfId="99" applyNumberFormat="1" applyBorder="1" applyAlignment="1">
      <alignment/>
    </xf>
    <xf numFmtId="186" fontId="2" fillId="0" borderId="0" xfId="53" applyNumberFormat="1" applyFont="1" applyBorder="1" applyAlignment="1">
      <alignment/>
    </xf>
    <xf numFmtId="186" fontId="2" fillId="0" borderId="12" xfId="53" applyNumberFormat="1" applyFont="1" applyBorder="1" applyAlignment="1">
      <alignment/>
    </xf>
    <xf numFmtId="0" fontId="84" fillId="33" borderId="72" xfId="72" applyFill="1" applyBorder="1" applyAlignment="1">
      <alignment horizontal="center"/>
    </xf>
    <xf numFmtId="0" fontId="84" fillId="33" borderId="32" xfId="72" applyFill="1" applyBorder="1" applyAlignment="1">
      <alignment horizontal="center"/>
    </xf>
    <xf numFmtId="186" fontId="105" fillId="0" borderId="14" xfId="99" applyNumberFormat="1" applyFont="1" applyBorder="1" applyAlignment="1">
      <alignment/>
    </xf>
    <xf numFmtId="0" fontId="84" fillId="33" borderId="25" xfId="72" applyFill="1" applyBorder="1" applyAlignment="1" quotePrefix="1">
      <alignment horizontal="center"/>
    </xf>
    <xf numFmtId="3" fontId="86" fillId="30" borderId="25" xfId="76" applyNumberFormat="1" applyFont="1" applyBorder="1" applyAlignment="1">
      <alignment/>
    </xf>
    <xf numFmtId="1" fontId="104" fillId="19" borderId="25" xfId="20" applyNumberFormat="1" applyFont="1" applyFill="1" applyBorder="1" applyAlignment="1">
      <alignment/>
    </xf>
    <xf numFmtId="3" fontId="18" fillId="0" borderId="25" xfId="80" applyNumberFormat="1" applyFont="1" applyFill="1" applyBorder="1">
      <alignment/>
      <protection/>
    </xf>
    <xf numFmtId="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55" fillId="27" borderId="10" xfId="92" applyFont="1" applyBorder="1" applyAlignment="1">
      <alignment horizontal="right"/>
    </xf>
    <xf numFmtId="0" fontId="55" fillId="27" borderId="11" xfId="92" applyFont="1" applyBorder="1" applyAlignment="1">
      <alignment wrapText="1"/>
    </xf>
    <xf numFmtId="0" fontId="55" fillId="27" borderId="73" xfId="92" applyFont="1" applyBorder="1" applyAlignment="1">
      <alignment horizontal="right"/>
    </xf>
    <xf numFmtId="0" fontId="55" fillId="27" borderId="74" xfId="92" applyFont="1" applyBorder="1" applyAlignment="1">
      <alignment/>
    </xf>
    <xf numFmtId="186" fontId="55" fillId="0" borderId="75" xfId="99" applyNumberFormat="1" applyFont="1" applyBorder="1" applyAlignment="1">
      <alignment horizontal="center"/>
    </xf>
    <xf numFmtId="0" fontId="2" fillId="0" borderId="22" xfId="0" applyFont="1" applyBorder="1" applyAlignment="1" quotePrefix="1">
      <alignment horizontal="center"/>
    </xf>
    <xf numFmtId="0" fontId="93" fillId="0" borderId="23" xfId="99" applyFill="1" applyBorder="1" applyAlignment="1">
      <alignment horizontal="center"/>
    </xf>
    <xf numFmtId="0" fontId="91" fillId="27" borderId="49" xfId="92" applyBorder="1" applyAlignment="1">
      <alignment/>
    </xf>
    <xf numFmtId="0" fontId="91" fillId="33" borderId="65" xfId="92" applyFill="1" applyBorder="1" applyAlignment="1">
      <alignment/>
    </xf>
    <xf numFmtId="0" fontId="1" fillId="0" borderId="76" xfId="79" applyNumberFormat="1" applyFont="1" applyBorder="1">
      <alignment/>
      <protection/>
    </xf>
    <xf numFmtId="186" fontId="2" fillId="0" borderId="77" xfId="79" applyNumberFormat="1" applyFont="1" applyFill="1" applyBorder="1">
      <alignment/>
      <protection/>
    </xf>
    <xf numFmtId="186" fontId="91" fillId="27" borderId="78" xfId="50" applyNumberFormat="1" applyFont="1" applyFill="1" applyBorder="1" applyAlignment="1">
      <alignment horizontal="center"/>
    </xf>
    <xf numFmtId="186" fontId="91" fillId="33" borderId="79" xfId="50" applyNumberFormat="1" applyFont="1" applyFill="1" applyBorder="1" applyAlignment="1">
      <alignment horizontal="center"/>
    </xf>
    <xf numFmtId="186" fontId="2" fillId="0" borderId="80" xfId="79" applyNumberFormat="1" applyFont="1" applyBorder="1">
      <alignment/>
      <protection/>
    </xf>
    <xf numFmtId="0" fontId="81" fillId="0" borderId="28" xfId="68" applyBorder="1" applyAlignment="1">
      <alignment wrapText="1"/>
    </xf>
    <xf numFmtId="0" fontId="81" fillId="0" borderId="29" xfId="68" applyBorder="1" applyAlignment="1">
      <alignment wrapText="1"/>
    </xf>
    <xf numFmtId="0" fontId="84" fillId="33" borderId="81" xfId="72" applyFill="1" applyBorder="1" applyAlignment="1">
      <alignment horizontal="center"/>
    </xf>
    <xf numFmtId="0" fontId="84" fillId="33" borderId="30" xfId="72" applyFill="1" applyBorder="1" applyAlignment="1">
      <alignment horizontal="center"/>
    </xf>
    <xf numFmtId="186" fontId="91" fillId="27" borderId="17" xfId="92" applyNumberFormat="1" applyBorder="1" applyAlignment="1">
      <alignment/>
    </xf>
    <xf numFmtId="186" fontId="1" fillId="35" borderId="12" xfId="76" applyNumberFormat="1" applyFont="1" applyFill="1" applyBorder="1" applyAlignment="1">
      <alignment/>
    </xf>
    <xf numFmtId="0" fontId="84" fillId="33" borderId="14" xfId="72" applyFill="1" applyBorder="1" applyAlignment="1">
      <alignment horizontal="center"/>
    </xf>
    <xf numFmtId="186" fontId="105" fillId="0" borderId="0" xfId="99" applyNumberFormat="1" applyFont="1" applyBorder="1" applyAlignment="1">
      <alignment/>
    </xf>
    <xf numFmtId="0" fontId="84" fillId="33" borderId="52" xfId="72" applyFill="1" applyBorder="1" applyAlignment="1">
      <alignment horizontal="center"/>
    </xf>
    <xf numFmtId="186" fontId="2" fillId="35" borderId="14" xfId="76" applyNumberFormat="1" applyFont="1" applyFill="1" applyBorder="1" applyAlignment="1">
      <alignment/>
    </xf>
    <xf numFmtId="186" fontId="2" fillId="35" borderId="12" xfId="76" applyNumberFormat="1" applyFont="1" applyFill="1" applyBorder="1" applyAlignment="1">
      <alignment/>
    </xf>
    <xf numFmtId="186" fontId="2" fillId="35" borderId="19" xfId="76" applyNumberFormat="1" applyFont="1" applyFill="1" applyBorder="1" applyAlignment="1">
      <alignment/>
    </xf>
    <xf numFmtId="186" fontId="91" fillId="27" borderId="19" xfId="51" applyNumberFormat="1" applyFont="1" applyFill="1" applyBorder="1" applyAlignment="1">
      <alignment horizontal="center"/>
    </xf>
    <xf numFmtId="0" fontId="84" fillId="33" borderId="12" xfId="72" applyFill="1" applyBorder="1" applyAlignment="1">
      <alignment horizontal="center"/>
    </xf>
    <xf numFmtId="187" fontId="91" fillId="27" borderId="82" xfId="92" applyNumberFormat="1" applyBorder="1" applyAlignment="1">
      <alignment horizontal="center"/>
    </xf>
    <xf numFmtId="186" fontId="93" fillId="0" borderId="16" xfId="99" applyNumberFormat="1" applyBorder="1" applyAlignment="1">
      <alignment/>
    </xf>
    <xf numFmtId="186" fontId="91" fillId="27" borderId="19" xfId="92" applyNumberFormat="1" applyBorder="1" applyAlignment="1">
      <alignment/>
    </xf>
    <xf numFmtId="186" fontId="91" fillId="27" borderId="51" xfId="51" applyNumberFormat="1" applyFont="1" applyFill="1" applyBorder="1" applyAlignment="1">
      <alignment horizontal="center"/>
    </xf>
    <xf numFmtId="0" fontId="108" fillId="0" borderId="83" xfId="0" applyFont="1" applyFill="1" applyBorder="1" applyAlignment="1">
      <alignment vertical="top" wrapText="1"/>
    </xf>
    <xf numFmtId="0" fontId="108" fillId="0" borderId="84" xfId="0" applyFont="1" applyFill="1" applyBorder="1" applyAlignment="1">
      <alignment vertical="top" wrapText="1"/>
    </xf>
    <xf numFmtId="18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87" fontId="2" fillId="0" borderId="0" xfId="0" applyNumberFormat="1" applyFont="1" applyAlignment="1">
      <alignment/>
    </xf>
    <xf numFmtId="9" fontId="109" fillId="0" borderId="85" xfId="93" applyFont="1" applyFill="1" applyBorder="1" applyAlignment="1">
      <alignment horizontal="center" vertical="top" wrapText="1"/>
    </xf>
    <xf numFmtId="0" fontId="3" fillId="18" borderId="84" xfId="0" applyFont="1" applyFill="1" applyBorder="1" applyAlignment="1">
      <alignment horizontal="center" vertical="top" wrapText="1"/>
    </xf>
    <xf numFmtId="9" fontId="109" fillId="0" borderId="86" xfId="93" applyFont="1" applyFill="1" applyBorder="1" applyAlignment="1">
      <alignment horizontal="center" vertical="top" wrapText="1"/>
    </xf>
    <xf numFmtId="9" fontId="109" fillId="18" borderId="87" xfId="93" applyFont="1" applyFill="1" applyBorder="1" applyAlignment="1">
      <alignment horizontal="center" vertical="top" wrapText="1"/>
    </xf>
    <xf numFmtId="10" fontId="109" fillId="0" borderId="85" xfId="93" applyNumberFormat="1" applyFont="1" applyFill="1" applyBorder="1" applyAlignment="1">
      <alignment horizontal="center" vertical="top" wrapText="1"/>
    </xf>
    <xf numFmtId="10" fontId="109" fillId="0" borderId="88" xfId="93" applyNumberFormat="1" applyFont="1" applyFill="1" applyBorder="1" applyAlignment="1">
      <alignment horizontal="center" vertical="top" wrapText="1"/>
    </xf>
    <xf numFmtId="49" fontId="86" fillId="30" borderId="12" xfId="76" applyNumberFormat="1" applyBorder="1" applyAlignment="1">
      <alignment horizontal="center"/>
    </xf>
    <xf numFmtId="49" fontId="91" fillId="27" borderId="47" xfId="92" applyNumberFormat="1" applyBorder="1" applyAlignment="1">
      <alignment/>
    </xf>
    <xf numFmtId="0" fontId="84" fillId="33" borderId="50" xfId="72" applyFill="1" applyBorder="1" applyAlignment="1">
      <alignment horizontal="center"/>
    </xf>
    <xf numFmtId="0" fontId="84" fillId="33" borderId="69" xfId="72" applyFill="1" applyBorder="1" applyAlignment="1">
      <alignment horizontal="center"/>
    </xf>
    <xf numFmtId="49" fontId="81" fillId="0" borderId="10" xfId="68" applyNumberFormat="1" applyBorder="1" applyAlignment="1">
      <alignment wrapText="1"/>
    </xf>
    <xf numFmtId="49" fontId="81" fillId="0" borderId="0" xfId="68" applyNumberFormat="1" applyBorder="1" applyAlignment="1">
      <alignment wrapText="1"/>
    </xf>
    <xf numFmtId="49" fontId="81" fillId="0" borderId="31" xfId="68" applyNumberFormat="1" applyBorder="1" applyAlignment="1">
      <alignment wrapText="1"/>
    </xf>
    <xf numFmtId="49" fontId="81" fillId="0" borderId="32" xfId="68" applyNumberFormat="1" applyBorder="1" applyAlignment="1">
      <alignment wrapText="1"/>
    </xf>
    <xf numFmtId="0" fontId="2" fillId="0" borderId="0" xfId="0" applyFont="1" applyFill="1" applyAlignment="1">
      <alignment/>
    </xf>
    <xf numFmtId="186" fontId="110" fillId="35" borderId="21" xfId="76" applyNumberFormat="1" applyFont="1" applyFill="1" applyBorder="1" applyAlignment="1">
      <alignment/>
    </xf>
    <xf numFmtId="186" fontId="55" fillId="27" borderId="51" xfId="42" applyNumberFormat="1" applyFont="1" applyFill="1" applyBorder="1" applyAlignment="1">
      <alignment horizontal="center"/>
    </xf>
    <xf numFmtId="0" fontId="111" fillId="0" borderId="30" xfId="0" applyFont="1" applyBorder="1" applyAlignment="1">
      <alignment/>
    </xf>
    <xf numFmtId="186" fontId="2" fillId="35" borderId="68" xfId="76" applyNumberFormat="1" applyFont="1" applyFill="1" applyBorder="1" applyAlignment="1">
      <alignment/>
    </xf>
    <xf numFmtId="186" fontId="2" fillId="35" borderId="50" xfId="76" applyNumberFormat="1" applyFont="1" applyFill="1" applyBorder="1" applyAlignment="1">
      <alignment/>
    </xf>
    <xf numFmtId="0" fontId="84" fillId="33" borderId="51" xfId="72" applyFill="1" applyBorder="1" applyAlignment="1">
      <alignment horizontal="center"/>
    </xf>
    <xf numFmtId="186" fontId="91" fillId="27" borderId="50" xfId="42" applyNumberFormat="1" applyFont="1" applyFill="1" applyBorder="1" applyAlignment="1">
      <alignment/>
    </xf>
    <xf numFmtId="186" fontId="93" fillId="0" borderId="16" xfId="99" applyNumberFormat="1" applyFont="1" applyBorder="1" applyAlignment="1">
      <alignment/>
    </xf>
    <xf numFmtId="0" fontId="102" fillId="0" borderId="0" xfId="0" applyFont="1" applyAlignment="1">
      <alignment/>
    </xf>
    <xf numFmtId="187" fontId="63" fillId="27" borderId="45" xfId="92" applyNumberFormat="1" applyFont="1" applyBorder="1" applyAlignment="1">
      <alignment horizontal="center"/>
    </xf>
    <xf numFmtId="187" fontId="63" fillId="27" borderId="35" xfId="9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2" fillId="0" borderId="0" xfId="98" applyFont="1" applyBorder="1" applyAlignment="1">
      <alignment horizontal="left"/>
    </xf>
    <xf numFmtId="0" fontId="84" fillId="33" borderId="77" xfId="72" applyFill="1" applyBorder="1" applyAlignment="1">
      <alignment horizontal="center"/>
    </xf>
    <xf numFmtId="186" fontId="91" fillId="27" borderId="17" xfId="50" applyNumberFormat="1" applyFont="1" applyFill="1" applyBorder="1" applyAlignment="1">
      <alignment horizontal="center"/>
    </xf>
    <xf numFmtId="186" fontId="2" fillId="0" borderId="78" xfId="79" applyNumberFormat="1" applyFont="1" applyBorder="1">
      <alignment/>
      <protection/>
    </xf>
    <xf numFmtId="0" fontId="84" fillId="33" borderId="89" xfId="72" applyFill="1" applyBorder="1" applyAlignment="1">
      <alignment horizontal="center"/>
    </xf>
    <xf numFmtId="0" fontId="84" fillId="33" borderId="34" xfId="72" applyFill="1" applyBorder="1" applyAlignment="1">
      <alignment horizontal="center"/>
    </xf>
    <xf numFmtId="186" fontId="2" fillId="0" borderId="90" xfId="79" applyNumberFormat="1" applyFont="1" applyBorder="1">
      <alignment/>
      <protection/>
    </xf>
    <xf numFmtId="186" fontId="2" fillId="0" borderId="90" xfId="80" applyNumberFormat="1" applyFont="1" applyBorder="1">
      <alignment/>
      <protection/>
    </xf>
    <xf numFmtId="186" fontId="2" fillId="0" borderId="34" xfId="79" applyNumberFormat="1" applyFont="1" applyBorder="1">
      <alignment/>
      <protection/>
    </xf>
    <xf numFmtId="186" fontId="2" fillId="0" borderId="34" xfId="80" applyNumberFormat="1" applyFont="1" applyBorder="1">
      <alignment/>
      <protection/>
    </xf>
    <xf numFmtId="186" fontId="93" fillId="0" borderId="91" xfId="99" applyNumberFormat="1" applyBorder="1" applyAlignment="1">
      <alignment/>
    </xf>
    <xf numFmtId="187" fontId="91" fillId="27" borderId="92" xfId="92" applyNumberFormat="1" applyBorder="1" applyAlignment="1">
      <alignment horizontal="center"/>
    </xf>
    <xf numFmtId="186" fontId="2" fillId="0" borderId="48" xfId="79" applyNumberFormat="1" applyFont="1" applyFill="1" applyBorder="1">
      <alignment/>
      <protection/>
    </xf>
    <xf numFmtId="0" fontId="84" fillId="33" borderId="30" xfId="72" applyFill="1" applyBorder="1" applyAlignment="1">
      <alignment/>
    </xf>
    <xf numFmtId="49" fontId="2" fillId="0" borderId="30" xfId="0" applyNumberFormat="1" applyFont="1" applyBorder="1" applyAlignment="1">
      <alignment/>
    </xf>
    <xf numFmtId="49" fontId="2" fillId="0" borderId="48" xfId="0" applyNumberFormat="1" applyFont="1" applyFill="1" applyBorder="1" applyAlignment="1">
      <alignment/>
    </xf>
    <xf numFmtId="49" fontId="93" fillId="0" borderId="16" xfId="99" applyNumberFormat="1" applyBorder="1" applyAlignment="1">
      <alignment/>
    </xf>
    <xf numFmtId="49" fontId="91" fillId="27" borderId="93" xfId="92" applyNumberFormat="1" applyBorder="1" applyAlignment="1">
      <alignment/>
    </xf>
    <xf numFmtId="0" fontId="84" fillId="33" borderId="90" xfId="72" applyFill="1" applyBorder="1" applyAlignment="1">
      <alignment horizontal="center"/>
    </xf>
    <xf numFmtId="0" fontId="113" fillId="33" borderId="90" xfId="72" applyFont="1" applyFill="1" applyBorder="1" applyAlignment="1">
      <alignment horizontal="center"/>
    </xf>
    <xf numFmtId="186" fontId="106" fillId="0" borderId="34" xfId="79" applyNumberFormat="1" applyFont="1" applyBorder="1">
      <alignment/>
      <protection/>
    </xf>
    <xf numFmtId="186" fontId="93" fillId="0" borderId="91" xfId="99" applyNumberFormat="1" applyFont="1" applyBorder="1" applyAlignment="1">
      <alignment/>
    </xf>
    <xf numFmtId="187" fontId="93" fillId="27" borderId="94" xfId="92" applyNumberFormat="1" applyFont="1" applyBorder="1" applyAlignment="1">
      <alignment horizontal="center"/>
    </xf>
    <xf numFmtId="0" fontId="84" fillId="33" borderId="95" xfId="72" applyFill="1" applyBorder="1" applyAlignment="1">
      <alignment horizontal="center"/>
    </xf>
    <xf numFmtId="0" fontId="84" fillId="33" borderId="95" xfId="72" applyFill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/>
    </xf>
    <xf numFmtId="49" fontId="93" fillId="0" borderId="70" xfId="99" applyNumberFormat="1" applyBorder="1" applyAlignment="1">
      <alignment/>
    </xf>
    <xf numFmtId="0" fontId="84" fillId="33" borderId="68" xfId="72" applyFill="1" applyBorder="1" applyAlignment="1">
      <alignment horizontal="center"/>
    </xf>
    <xf numFmtId="186" fontId="2" fillId="0" borderId="29" xfId="79" applyNumberFormat="1" applyFont="1" applyBorder="1">
      <alignment/>
      <protection/>
    </xf>
    <xf numFmtId="186" fontId="93" fillId="0" borderId="64" xfId="99" applyNumberFormat="1" applyBorder="1" applyAlignment="1">
      <alignment/>
    </xf>
    <xf numFmtId="186" fontId="93" fillId="27" borderId="96" xfId="42" applyNumberFormat="1" applyFont="1" applyFill="1" applyBorder="1" applyAlignment="1">
      <alignment/>
    </xf>
    <xf numFmtId="186" fontId="93" fillId="27" borderId="97" xfId="42" applyNumberFormat="1" applyFont="1" applyFill="1" applyBorder="1" applyAlignment="1">
      <alignment horizontal="center"/>
    </xf>
    <xf numFmtId="186" fontId="93" fillId="33" borderId="98" xfId="42" applyNumberFormat="1" applyFont="1" applyFill="1" applyBorder="1" applyAlignment="1">
      <alignment horizontal="center"/>
    </xf>
    <xf numFmtId="0" fontId="101" fillId="0" borderId="99" xfId="79" applyNumberFormat="1" applyFont="1" applyBorder="1">
      <alignment/>
      <protection/>
    </xf>
    <xf numFmtId="0" fontId="113" fillId="33" borderId="100" xfId="72" applyFont="1" applyFill="1" applyBorder="1" applyAlignment="1">
      <alignment horizontal="center"/>
    </xf>
    <xf numFmtId="186" fontId="106" fillId="0" borderId="101" xfId="79" applyNumberFormat="1" applyFont="1" applyBorder="1">
      <alignment/>
      <protection/>
    </xf>
    <xf numFmtId="186" fontId="86" fillId="30" borderId="25" xfId="42" applyNumberFormat="1" applyFont="1" applyFill="1" applyBorder="1" applyAlignment="1">
      <alignment/>
    </xf>
    <xf numFmtId="186" fontId="55" fillId="27" borderId="102" xfId="42" applyNumberFormat="1" applyFont="1" applyFill="1" applyBorder="1" applyAlignment="1">
      <alignment/>
    </xf>
    <xf numFmtId="49" fontId="2" fillId="0" borderId="12" xfId="76" applyNumberFormat="1" applyFont="1" applyFill="1" applyBorder="1" applyAlignment="1">
      <alignment horizontal="right"/>
    </xf>
    <xf numFmtId="175" fontId="86" fillId="30" borderId="25" xfId="76" applyNumberFormat="1" applyFont="1" applyBorder="1" applyAlignment="1">
      <alignment/>
    </xf>
    <xf numFmtId="49" fontId="93" fillId="0" borderId="0" xfId="99" applyNumberFormat="1" applyBorder="1" applyAlignment="1">
      <alignment/>
    </xf>
    <xf numFmtId="186" fontId="114" fillId="0" borderId="45" xfId="99" applyNumberFormat="1" applyFont="1" applyBorder="1" applyAlignment="1">
      <alignment/>
    </xf>
    <xf numFmtId="0" fontId="114" fillId="0" borderId="10" xfId="99" applyFont="1" applyBorder="1" applyAlignment="1">
      <alignment/>
    </xf>
    <xf numFmtId="186" fontId="2" fillId="0" borderId="0" xfId="0" applyNumberFormat="1" applyFont="1" applyAlignment="1">
      <alignment/>
    </xf>
    <xf numFmtId="196" fontId="115" fillId="0" borderId="25" xfId="0" applyNumberFormat="1" applyFont="1" applyFill="1" applyBorder="1" applyAlignment="1">
      <alignment/>
    </xf>
    <xf numFmtId="0" fontId="116" fillId="0" borderId="45" xfId="98" applyFont="1" applyBorder="1" applyAlignment="1">
      <alignment horizontal="center"/>
    </xf>
    <xf numFmtId="204" fontId="12" fillId="0" borderId="0" xfId="0" applyNumberFormat="1" applyFont="1" applyAlignment="1">
      <alignment/>
    </xf>
    <xf numFmtId="204" fontId="11" fillId="0" borderId="103" xfId="0" applyNumberFormat="1" applyFont="1" applyBorder="1" applyAlignment="1">
      <alignment/>
    </xf>
    <xf numFmtId="204" fontId="85" fillId="0" borderId="5" xfId="73" applyNumberFormat="1" applyFont="1" applyAlignment="1">
      <alignment horizontal="center" vertical="center" wrapText="1"/>
    </xf>
    <xf numFmtId="204" fontId="12" fillId="0" borderId="14" xfId="0" applyNumberFormat="1" applyFont="1" applyBorder="1" applyAlignment="1">
      <alignment horizontal="center"/>
    </xf>
    <xf numFmtId="204" fontId="12" fillId="0" borderId="25" xfId="0" applyNumberFormat="1" applyFont="1" applyBorder="1" applyAlignment="1">
      <alignment horizontal="center"/>
    </xf>
    <xf numFmtId="204" fontId="2" fillId="0" borderId="0" xfId="0" applyNumberFormat="1" applyFont="1" applyAlignment="1">
      <alignment/>
    </xf>
    <xf numFmtId="186" fontId="54" fillId="0" borderId="19" xfId="76" applyNumberFormat="1" applyFont="1" applyFill="1" applyBorder="1" applyAlignment="1">
      <alignment horizontal="right"/>
    </xf>
    <xf numFmtId="186" fontId="2" fillId="0" borderId="104" xfId="54" applyNumberFormat="1" applyFont="1" applyBorder="1" applyAlignment="1">
      <alignment/>
    </xf>
    <xf numFmtId="186" fontId="1" fillId="0" borderId="104" xfId="54" applyNumberFormat="1" applyFont="1" applyBorder="1" applyAlignment="1">
      <alignment/>
    </xf>
    <xf numFmtId="186" fontId="1" fillId="35" borderId="27" xfId="76" applyNumberFormat="1" applyFont="1" applyFill="1" applyBorder="1" applyAlignment="1">
      <alignment/>
    </xf>
    <xf numFmtId="186" fontId="105" fillId="0" borderId="15" xfId="99" applyNumberFormat="1" applyFont="1" applyBorder="1" applyAlignment="1">
      <alignment/>
    </xf>
    <xf numFmtId="186" fontId="54" fillId="0" borderId="27" xfId="76" applyNumberFormat="1" applyFont="1" applyFill="1" applyBorder="1" applyAlignment="1">
      <alignment/>
    </xf>
    <xf numFmtId="186" fontId="54" fillId="0" borderId="0" xfId="76" applyNumberFormat="1" applyFont="1" applyFill="1" applyBorder="1" applyAlignment="1">
      <alignment/>
    </xf>
    <xf numFmtId="0" fontId="2" fillId="0" borderId="104" xfId="0" applyFont="1" applyBorder="1" applyAlignment="1">
      <alignment/>
    </xf>
    <xf numFmtId="0" fontId="111" fillId="0" borderId="29" xfId="0" applyFont="1" applyBorder="1" applyAlignment="1">
      <alignment/>
    </xf>
    <xf numFmtId="0" fontId="84" fillId="33" borderId="105" xfId="72" applyFill="1" applyBorder="1" applyAlignment="1">
      <alignment horizontal="center"/>
    </xf>
    <xf numFmtId="186" fontId="91" fillId="27" borderId="55" xfId="50" applyNumberFormat="1" applyFont="1" applyFill="1" applyBorder="1" applyAlignment="1">
      <alignment horizontal="center"/>
    </xf>
    <xf numFmtId="186" fontId="91" fillId="33" borderId="62" xfId="50" applyNumberFormat="1" applyFont="1" applyFill="1" applyBorder="1" applyAlignment="1">
      <alignment horizontal="center"/>
    </xf>
    <xf numFmtId="0" fontId="1" fillId="0" borderId="32" xfId="80" applyNumberFormat="1" applyFont="1" applyBorder="1">
      <alignment/>
      <protection/>
    </xf>
    <xf numFmtId="0" fontId="2" fillId="0" borderId="80" xfId="0" applyFont="1" applyBorder="1" applyAlignment="1">
      <alignment/>
    </xf>
    <xf numFmtId="186" fontId="86" fillId="30" borderId="106" xfId="76" applyNumberFormat="1" applyBorder="1" applyAlignment="1">
      <alignment/>
    </xf>
    <xf numFmtId="186" fontId="91" fillId="33" borderId="54" xfId="50" applyNumberFormat="1" applyFont="1" applyFill="1" applyBorder="1" applyAlignment="1">
      <alignment horizontal="center"/>
    </xf>
    <xf numFmtId="0" fontId="1" fillId="0" borderId="77" xfId="80" applyNumberFormat="1" applyFont="1" applyBorder="1">
      <alignment/>
      <protection/>
    </xf>
    <xf numFmtId="186" fontId="93" fillId="0" borderId="107" xfId="99" applyNumberFormat="1" applyBorder="1" applyAlignment="1">
      <alignment/>
    </xf>
    <xf numFmtId="0" fontId="2" fillId="0" borderId="77" xfId="0" applyFont="1" applyBorder="1" applyAlignment="1">
      <alignment/>
    </xf>
    <xf numFmtId="186" fontId="54" fillId="0" borderId="108" xfId="76" applyNumberFormat="1" applyFont="1" applyFill="1" applyBorder="1" applyAlignment="1">
      <alignment horizontal="right"/>
    </xf>
    <xf numFmtId="186" fontId="12" fillId="0" borderId="25" xfId="42" applyNumberFormat="1" applyFont="1" applyBorder="1" applyAlignment="1">
      <alignment/>
    </xf>
    <xf numFmtId="186" fontId="54" fillId="0" borderId="12" xfId="76" applyNumberFormat="1" applyFont="1" applyFill="1" applyBorder="1" applyAlignment="1">
      <alignment/>
    </xf>
    <xf numFmtId="186" fontId="54" fillId="0" borderId="14" xfId="76" applyNumberFormat="1" applyFont="1" applyFill="1" applyBorder="1" applyAlignment="1">
      <alignment/>
    </xf>
    <xf numFmtId="9" fontId="117" fillId="27" borderId="82" xfId="92" applyNumberFormat="1" applyFont="1" applyBorder="1" applyAlignment="1">
      <alignment horizontal="center"/>
    </xf>
    <xf numFmtId="186" fontId="2" fillId="0" borderId="21" xfId="55" applyNumberFormat="1" applyFont="1" applyBorder="1" applyAlignment="1">
      <alignment/>
    </xf>
    <xf numFmtId="186" fontId="2" fillId="0" borderId="12" xfId="47" applyNumberFormat="1" applyFont="1" applyBorder="1" applyAlignment="1">
      <alignment/>
    </xf>
    <xf numFmtId="0" fontId="84" fillId="0" borderId="15" xfId="72" applyFill="1" applyBorder="1" applyAlignment="1">
      <alignment horizontal="center"/>
    </xf>
    <xf numFmtId="186" fontId="2" fillId="0" borderId="69" xfId="55" applyNumberFormat="1" applyFont="1" applyBorder="1" applyAlignment="1">
      <alignment/>
    </xf>
    <xf numFmtId="186" fontId="2" fillId="0" borderId="14" xfId="47" applyNumberFormat="1" applyFont="1" applyBorder="1" applyAlignment="1">
      <alignment/>
    </xf>
    <xf numFmtId="186" fontId="2" fillId="35" borderId="15" xfId="76" applyNumberFormat="1" applyFont="1" applyFill="1" applyBorder="1" applyAlignment="1">
      <alignment/>
    </xf>
    <xf numFmtId="186" fontId="54" fillId="35" borderId="14" xfId="76" applyNumberFormat="1" applyFont="1" applyFill="1" applyBorder="1" applyAlignment="1">
      <alignment/>
    </xf>
    <xf numFmtId="186" fontId="54" fillId="0" borderId="104" xfId="76" applyNumberFormat="1" applyFont="1" applyFill="1" applyBorder="1" applyAlignment="1">
      <alignment/>
    </xf>
    <xf numFmtId="186" fontId="54" fillId="0" borderId="18" xfId="76" applyNumberFormat="1" applyFont="1" applyFill="1" applyBorder="1" applyAlignment="1">
      <alignment/>
    </xf>
    <xf numFmtId="186" fontId="86" fillId="30" borderId="109" xfId="76" applyNumberFormat="1" applyBorder="1" applyAlignment="1">
      <alignment/>
    </xf>
    <xf numFmtId="186" fontId="54" fillId="0" borderId="17" xfId="76" applyNumberFormat="1" applyFont="1" applyFill="1" applyBorder="1" applyAlignment="1">
      <alignment/>
    </xf>
    <xf numFmtId="186" fontId="1" fillId="35" borderId="90" xfId="76" applyNumberFormat="1" applyFont="1" applyFill="1" applyBorder="1" applyAlignment="1">
      <alignment/>
    </xf>
    <xf numFmtId="186" fontId="1" fillId="0" borderId="45" xfId="53" applyNumberFormat="1" applyFont="1" applyBorder="1" applyAlignment="1">
      <alignment/>
    </xf>
    <xf numFmtId="186" fontId="105" fillId="0" borderId="110" xfId="99" applyNumberFormat="1" applyFont="1" applyBorder="1" applyAlignment="1">
      <alignment/>
    </xf>
    <xf numFmtId="0" fontId="84" fillId="33" borderId="110" xfId="72" applyFill="1" applyBorder="1" applyAlignment="1">
      <alignment horizontal="center"/>
    </xf>
    <xf numFmtId="186" fontId="2" fillId="35" borderId="90" xfId="76" applyNumberFormat="1" applyFont="1" applyFill="1" applyBorder="1" applyAlignment="1">
      <alignment/>
    </xf>
    <xf numFmtId="186" fontId="2" fillId="35" borderId="45" xfId="76" applyNumberFormat="1" applyFont="1" applyFill="1" applyBorder="1" applyAlignment="1">
      <alignment/>
    </xf>
    <xf numFmtId="0" fontId="84" fillId="33" borderId="76" xfId="72" applyFill="1" applyBorder="1" applyAlignment="1">
      <alignment horizontal="center"/>
    </xf>
    <xf numFmtId="0" fontId="2" fillId="0" borderId="45" xfId="0" applyFont="1" applyBorder="1" applyAlignment="1">
      <alignment/>
    </xf>
    <xf numFmtId="186" fontId="2" fillId="0" borderId="45" xfId="0" applyNumberFormat="1" applyFont="1" applyBorder="1" applyAlignment="1">
      <alignment/>
    </xf>
    <xf numFmtId="0" fontId="2" fillId="0" borderId="35" xfId="0" applyFont="1" applyBorder="1" applyAlignment="1">
      <alignment/>
    </xf>
    <xf numFmtId="186" fontId="54" fillId="0" borderId="111" xfId="76" applyNumberFormat="1" applyFont="1" applyFill="1" applyBorder="1" applyAlignment="1">
      <alignment/>
    </xf>
    <xf numFmtId="9" fontId="55" fillId="27" borderId="12" xfId="93" applyNumberFormat="1" applyFont="1" applyFill="1" applyBorder="1" applyAlignment="1">
      <alignment horizontal="center"/>
    </xf>
    <xf numFmtId="9" fontId="55" fillId="27" borderId="0" xfId="93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right"/>
    </xf>
    <xf numFmtId="186" fontId="12" fillId="0" borderId="12" xfId="42" applyNumberFormat="1" applyFont="1" applyBorder="1" applyAlignment="1">
      <alignment horizontal="center"/>
    </xf>
    <xf numFmtId="186" fontId="12" fillId="0" borderId="0" xfId="42" applyNumberFormat="1" applyFont="1" applyBorder="1" applyAlignment="1">
      <alignment horizontal="center"/>
    </xf>
    <xf numFmtId="0" fontId="12" fillId="0" borderId="23" xfId="0" applyFont="1" applyBorder="1" applyAlignment="1">
      <alignment horizontal="right"/>
    </xf>
    <xf numFmtId="0" fontId="93" fillId="0" borderId="63" xfId="99" applyFont="1" applyBorder="1" applyAlignment="1">
      <alignment horizontal="right"/>
    </xf>
    <xf numFmtId="0" fontId="86" fillId="30" borderId="112" xfId="76" applyFont="1" applyBorder="1" applyAlignment="1">
      <alignment horizontal="right"/>
    </xf>
    <xf numFmtId="0" fontId="12" fillId="0" borderId="113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187" fontId="2" fillId="0" borderId="0" xfId="93" applyNumberFormat="1" applyFont="1" applyAlignment="1">
      <alignment/>
    </xf>
    <xf numFmtId="10" fontId="2" fillId="0" borderId="0" xfId="93" applyNumberFormat="1" applyFont="1" applyAlignment="1">
      <alignment/>
    </xf>
    <xf numFmtId="186" fontId="54" fillId="0" borderId="76" xfId="76" applyNumberFormat="1" applyFont="1" applyFill="1" applyBorder="1" applyAlignment="1">
      <alignment/>
    </xf>
    <xf numFmtId="186" fontId="1" fillId="0" borderId="27" xfId="53" applyNumberFormat="1" applyFont="1" applyBorder="1" applyAlignment="1">
      <alignment/>
    </xf>
    <xf numFmtId="0" fontId="69" fillId="33" borderId="15" xfId="72" applyFont="1" applyFill="1" applyBorder="1" applyAlignment="1">
      <alignment horizontal="center"/>
    </xf>
    <xf numFmtId="10" fontId="55" fillId="27" borderId="12" xfId="93" applyNumberFormat="1" applyFont="1" applyFill="1" applyBorder="1" applyAlignment="1">
      <alignment horizontal="center"/>
    </xf>
    <xf numFmtId="0" fontId="84" fillId="33" borderId="0" xfId="72" applyFill="1" applyBorder="1" applyAlignment="1">
      <alignment horizontal="center"/>
    </xf>
    <xf numFmtId="186" fontId="54" fillId="0" borderId="55" xfId="76" applyNumberFormat="1" applyFont="1" applyFill="1" applyBorder="1" applyAlignment="1">
      <alignment horizontal="right"/>
    </xf>
    <xf numFmtId="186" fontId="54" fillId="0" borderId="114" xfId="76" applyNumberFormat="1" applyFont="1" applyFill="1" applyBorder="1" applyAlignment="1">
      <alignment/>
    </xf>
    <xf numFmtId="186" fontId="54" fillId="0" borderId="50" xfId="76" applyNumberFormat="1" applyFont="1" applyFill="1" applyBorder="1" applyAlignment="1">
      <alignment/>
    </xf>
    <xf numFmtId="15" fontId="86" fillId="30" borderId="25" xfId="76" applyNumberFormat="1" applyBorder="1" applyAlignment="1">
      <alignment horizontal="center"/>
    </xf>
    <xf numFmtId="186" fontId="93" fillId="0" borderId="18" xfId="99" applyNumberFormat="1" applyFont="1" applyBorder="1" applyAlignment="1">
      <alignment/>
    </xf>
    <xf numFmtId="9" fontId="114" fillId="0" borderId="10" xfId="93" applyFont="1" applyBorder="1" applyAlignment="1">
      <alignment/>
    </xf>
    <xf numFmtId="9" fontId="114" fillId="0" borderId="0" xfId="93" applyFont="1" applyBorder="1" applyAlignment="1">
      <alignment/>
    </xf>
    <xf numFmtId="9" fontId="114" fillId="0" borderId="104" xfId="93" applyFont="1" applyBorder="1" applyAlignment="1">
      <alignment/>
    </xf>
    <xf numFmtId="9" fontId="2" fillId="0" borderId="0" xfId="93" applyFont="1" applyAlignment="1">
      <alignment/>
    </xf>
    <xf numFmtId="9" fontId="91" fillId="27" borderId="82" xfId="93" applyFont="1" applyFill="1" applyBorder="1" applyAlignment="1">
      <alignment horizontal="center"/>
    </xf>
    <xf numFmtId="0" fontId="108" fillId="0" borderId="84" xfId="0" applyFont="1" applyFill="1" applyBorder="1" applyAlignment="1">
      <alignment horizontal="center" vertical="top" wrapText="1"/>
    </xf>
    <xf numFmtId="3" fontId="3" fillId="0" borderId="4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115" xfId="0" applyFont="1" applyBorder="1" applyAlignment="1">
      <alignment horizontal="center"/>
    </xf>
    <xf numFmtId="188" fontId="3" fillId="0" borderId="116" xfId="0" applyNumberFormat="1" applyFont="1" applyBorder="1" applyAlignment="1">
      <alignment horizontal="right"/>
    </xf>
    <xf numFmtId="3" fontId="3" fillId="0" borderId="117" xfId="0" applyNumberFormat="1" applyFont="1" applyBorder="1" applyAlignment="1">
      <alignment horizontal="right"/>
    </xf>
    <xf numFmtId="1" fontId="3" fillId="0" borderId="117" xfId="0" applyNumberFormat="1" applyFont="1" applyBorder="1" applyAlignment="1">
      <alignment horizontal="right"/>
    </xf>
    <xf numFmtId="1" fontId="3" fillId="0" borderId="118" xfId="0" applyNumberFormat="1" applyFont="1" applyBorder="1" applyAlignment="1">
      <alignment horizontal="right"/>
    </xf>
    <xf numFmtId="3" fontId="3" fillId="0" borderId="61" xfId="0" applyNumberFormat="1" applyFont="1" applyBorder="1" applyAlignment="1">
      <alignment horizontal="right"/>
    </xf>
    <xf numFmtId="188" fontId="3" fillId="0" borderId="105" xfId="0" applyNumberFormat="1" applyFont="1" applyBorder="1" applyAlignment="1">
      <alignment horizontal="right"/>
    </xf>
    <xf numFmtId="0" fontId="118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48" xfId="0" applyFont="1" applyBorder="1" applyAlignment="1">
      <alignment/>
    </xf>
    <xf numFmtId="186" fontId="114" fillId="0" borderId="45" xfId="42" applyNumberFormat="1" applyFont="1" applyBorder="1" applyAlignment="1">
      <alignment/>
    </xf>
    <xf numFmtId="43" fontId="2" fillId="0" borderId="0" xfId="0" applyNumberFormat="1" applyFont="1" applyAlignment="1">
      <alignment/>
    </xf>
    <xf numFmtId="3" fontId="108" fillId="0" borderId="83" xfId="0" applyNumberFormat="1" applyFont="1" applyBorder="1" applyAlignment="1">
      <alignment horizontal="right"/>
    </xf>
    <xf numFmtId="3" fontId="109" fillId="0" borderId="83" xfId="0" applyNumberFormat="1" applyFont="1" applyBorder="1" applyAlignment="1">
      <alignment horizontal="right"/>
    </xf>
    <xf numFmtId="43" fontId="55" fillId="27" borderId="102" xfId="42" applyNumberFormat="1" applyFont="1" applyFill="1" applyBorder="1" applyAlignment="1">
      <alignment/>
    </xf>
    <xf numFmtId="187" fontId="117" fillId="27" borderId="82" xfId="92" applyNumberFormat="1" applyFont="1" applyBorder="1" applyAlignment="1">
      <alignment horizontal="center"/>
    </xf>
    <xf numFmtId="187" fontId="91" fillId="27" borderId="82" xfId="93" applyNumberFormat="1" applyFont="1" applyFill="1" applyBorder="1" applyAlignment="1">
      <alignment horizontal="center"/>
    </xf>
    <xf numFmtId="177" fontId="2" fillId="0" borderId="45" xfId="0" applyNumberFormat="1" applyFont="1" applyBorder="1" applyAlignment="1">
      <alignment/>
    </xf>
    <xf numFmtId="0" fontId="84" fillId="33" borderId="119" xfId="72" applyFill="1" applyBorder="1" applyAlignment="1" quotePrefix="1">
      <alignment horizontal="center"/>
    </xf>
    <xf numFmtId="186" fontId="2" fillId="0" borderId="27" xfId="42" applyNumberFormat="1" applyFont="1" applyBorder="1" applyAlignment="1">
      <alignment/>
    </xf>
    <xf numFmtId="186" fontId="2" fillId="0" borderId="56" xfId="42" applyNumberFormat="1" applyFont="1" applyBorder="1" applyAlignment="1">
      <alignment/>
    </xf>
    <xf numFmtId="186" fontId="1" fillId="0" borderId="27" xfId="42" applyNumberFormat="1" applyFont="1" applyBorder="1" applyAlignment="1">
      <alignment/>
    </xf>
    <xf numFmtId="186" fontId="71" fillId="0" borderId="50" xfId="42" applyNumberFormat="1" applyFont="1" applyBorder="1" applyAlignment="1">
      <alignment/>
    </xf>
    <xf numFmtId="186" fontId="86" fillId="30" borderId="120" xfId="42" applyNumberFormat="1" applyFont="1" applyFill="1" applyBorder="1" applyAlignment="1">
      <alignment/>
    </xf>
    <xf numFmtId="0" fontId="86" fillId="30" borderId="120" xfId="76" applyBorder="1" applyAlignment="1">
      <alignment/>
    </xf>
    <xf numFmtId="0" fontId="86" fillId="30" borderId="121" xfId="76" applyBorder="1" applyAlignment="1">
      <alignment/>
    </xf>
    <xf numFmtId="186" fontId="93" fillId="27" borderId="122" xfId="42" applyNumberFormat="1" applyFont="1" applyFill="1" applyBorder="1" applyAlignment="1">
      <alignment/>
    </xf>
    <xf numFmtId="186" fontId="93" fillId="27" borderId="55" xfId="42" applyNumberFormat="1" applyFont="1" applyFill="1" applyBorder="1" applyAlignment="1">
      <alignment horizontal="center"/>
    </xf>
    <xf numFmtId="186" fontId="93" fillId="33" borderId="62" xfId="42" applyNumberFormat="1" applyFont="1" applyFill="1" applyBorder="1" applyAlignment="1">
      <alignment horizontal="center"/>
    </xf>
    <xf numFmtId="0" fontId="101" fillId="0" borderId="15" xfId="79" applyNumberFormat="1" applyFont="1" applyBorder="1">
      <alignment/>
      <protection/>
    </xf>
    <xf numFmtId="0" fontId="113" fillId="33" borderId="105" xfId="72" applyFont="1" applyFill="1" applyBorder="1" applyAlignment="1">
      <alignment horizontal="center"/>
    </xf>
    <xf numFmtId="186" fontId="106" fillId="0" borderId="29" xfId="79" applyNumberFormat="1" applyFont="1" applyBorder="1">
      <alignment/>
      <protection/>
    </xf>
    <xf numFmtId="186" fontId="2" fillId="0" borderId="105" xfId="79" applyNumberFormat="1" applyFont="1" applyFill="1" applyBorder="1">
      <alignment/>
      <protection/>
    </xf>
    <xf numFmtId="186" fontId="93" fillId="0" borderId="64" xfId="99" applyNumberFormat="1" applyFont="1" applyBorder="1" applyAlignment="1">
      <alignment/>
    </xf>
    <xf numFmtId="186" fontId="114" fillId="0" borderId="10" xfId="99" applyNumberFormat="1" applyFont="1" applyBorder="1" applyAlignment="1">
      <alignment/>
    </xf>
    <xf numFmtId="9" fontId="117" fillId="27" borderId="44" xfId="92" applyNumberFormat="1" applyFont="1" applyBorder="1" applyAlignment="1">
      <alignment horizontal="center"/>
    </xf>
    <xf numFmtId="186" fontId="86" fillId="30" borderId="123" xfId="76" applyNumberFormat="1" applyBorder="1" applyAlignment="1">
      <alignment/>
    </xf>
    <xf numFmtId="186" fontId="86" fillId="30" borderId="124" xfId="76" applyNumberFormat="1" applyBorder="1" applyAlignment="1">
      <alignment/>
    </xf>
    <xf numFmtId="186" fontId="93" fillId="27" borderId="125" xfId="42" applyNumberFormat="1" applyFont="1" applyFill="1" applyBorder="1" applyAlignment="1">
      <alignment/>
    </xf>
    <xf numFmtId="186" fontId="93" fillId="33" borderId="125" xfId="42" applyNumberFormat="1" applyFont="1" applyFill="1" applyBorder="1" applyAlignment="1">
      <alignment horizontal="center"/>
    </xf>
    <xf numFmtId="0" fontId="101" fillId="0" borderId="110" xfId="79" applyNumberFormat="1" applyFont="1" applyBorder="1">
      <alignment/>
      <protection/>
    </xf>
    <xf numFmtId="186" fontId="2" fillId="0" borderId="35" xfId="79" applyNumberFormat="1" applyFont="1" applyFill="1" applyBorder="1">
      <alignment/>
      <protection/>
    </xf>
    <xf numFmtId="187" fontId="111" fillId="0" borderId="30" xfId="0" applyNumberFormat="1" applyFont="1" applyBorder="1" applyAlignment="1">
      <alignment/>
    </xf>
    <xf numFmtId="187" fontId="117" fillId="27" borderId="94" xfId="92" applyNumberFormat="1" applyFont="1" applyBorder="1" applyAlignment="1">
      <alignment horizontal="center"/>
    </xf>
    <xf numFmtId="186" fontId="71" fillId="0" borderId="0" xfId="99" applyNumberFormat="1" applyFont="1" applyBorder="1" applyAlignment="1">
      <alignment/>
    </xf>
    <xf numFmtId="215" fontId="2" fillId="0" borderId="0" xfId="0" applyNumberFormat="1" applyFont="1" applyAlignment="1">
      <alignment/>
    </xf>
    <xf numFmtId="0" fontId="81" fillId="0" borderId="31" xfId="68" applyFill="1" applyBorder="1" applyAlignment="1">
      <alignment horizontal="center" wrapText="1"/>
    </xf>
    <xf numFmtId="0" fontId="81" fillId="0" borderId="32" xfId="68" applyFill="1" applyBorder="1" applyAlignment="1">
      <alignment horizontal="center" wrapText="1"/>
    </xf>
    <xf numFmtId="0" fontId="81" fillId="0" borderId="48" xfId="68" applyFill="1" applyBorder="1" applyAlignment="1">
      <alignment horizontal="center" wrapText="1"/>
    </xf>
    <xf numFmtId="0" fontId="85" fillId="0" borderId="10" xfId="74" applyBorder="1" applyAlignment="1">
      <alignment horizontal="center"/>
    </xf>
    <xf numFmtId="0" fontId="85" fillId="0" borderId="0" xfId="74" applyBorder="1" applyAlignment="1">
      <alignment horizontal="center"/>
    </xf>
    <xf numFmtId="0" fontId="85" fillId="0" borderId="11" xfId="74" applyBorder="1" applyAlignment="1">
      <alignment horizontal="center"/>
    </xf>
    <xf numFmtId="0" fontId="92" fillId="0" borderId="28" xfId="98" applyBorder="1" applyAlignment="1">
      <alignment horizontal="center"/>
    </xf>
    <xf numFmtId="0" fontId="92" fillId="0" borderId="29" xfId="98" applyBorder="1" applyAlignment="1">
      <alignment horizontal="center"/>
    </xf>
    <xf numFmtId="0" fontId="92" fillId="0" borderId="30" xfId="98" applyBorder="1" applyAlignment="1">
      <alignment horizontal="center"/>
    </xf>
    <xf numFmtId="0" fontId="83" fillId="0" borderId="31" xfId="71" applyBorder="1" applyAlignment="1">
      <alignment horizontal="center" wrapText="1"/>
    </xf>
    <xf numFmtId="0" fontId="83" fillId="0" borderId="32" xfId="71" applyBorder="1" applyAlignment="1">
      <alignment horizontal="center" wrapText="1"/>
    </xf>
    <xf numFmtId="0" fontId="83" fillId="0" borderId="48" xfId="71" applyBorder="1" applyAlignment="1">
      <alignment horizontal="center" wrapText="1"/>
    </xf>
    <xf numFmtId="0" fontId="81" fillId="0" borderId="10" xfId="68" applyBorder="1" applyAlignment="1">
      <alignment horizontal="center" wrapText="1"/>
    </xf>
    <xf numFmtId="0" fontId="81" fillId="0" borderId="0" xfId="68" applyBorder="1" applyAlignment="1">
      <alignment horizontal="center" wrapText="1"/>
    </xf>
    <xf numFmtId="0" fontId="81" fillId="0" borderId="11" xfId="68" applyBorder="1" applyAlignment="1">
      <alignment horizontal="center" wrapText="1"/>
    </xf>
    <xf numFmtId="0" fontId="81" fillId="0" borderId="10" xfId="68" applyFill="1" applyBorder="1" applyAlignment="1">
      <alignment horizontal="center" wrapText="1"/>
    </xf>
    <xf numFmtId="0" fontId="81" fillId="0" borderId="0" xfId="68" applyFill="1" applyBorder="1" applyAlignment="1">
      <alignment horizontal="center" wrapText="1"/>
    </xf>
    <xf numFmtId="0" fontId="81" fillId="0" borderId="11" xfId="68" applyFill="1" applyBorder="1" applyAlignment="1">
      <alignment horizontal="center" wrapText="1"/>
    </xf>
    <xf numFmtId="0" fontId="85" fillId="0" borderId="3" xfId="71" applyFont="1" applyAlignment="1">
      <alignment horizontal="center"/>
    </xf>
    <xf numFmtId="0" fontId="119" fillId="0" borderId="3" xfId="98" applyFont="1" applyBorder="1" applyAlignment="1">
      <alignment horizontal="center"/>
    </xf>
    <xf numFmtId="0" fontId="85" fillId="0" borderId="126" xfId="71" applyFont="1" applyBorder="1" applyAlignment="1">
      <alignment horizontal="center"/>
    </xf>
    <xf numFmtId="0" fontId="85" fillId="0" borderId="127" xfId="71" applyFont="1" applyBorder="1" applyAlignment="1">
      <alignment horizontal="center"/>
    </xf>
    <xf numFmtId="0" fontId="85" fillId="0" borderId="128" xfId="71" applyFont="1" applyBorder="1" applyAlignment="1">
      <alignment horizontal="center"/>
    </xf>
    <xf numFmtId="0" fontId="92" fillId="0" borderId="33" xfId="98" applyBorder="1" applyAlignment="1">
      <alignment horizontal="center"/>
    </xf>
    <xf numFmtId="0" fontId="92" fillId="0" borderId="41" xfId="98" applyBorder="1" applyAlignment="1">
      <alignment horizontal="center"/>
    </xf>
    <xf numFmtId="0" fontId="92" fillId="0" borderId="42" xfId="98" applyBorder="1" applyAlignment="1">
      <alignment horizontal="center"/>
    </xf>
    <xf numFmtId="0" fontId="81" fillId="0" borderId="28" xfId="68" applyBorder="1" applyAlignment="1">
      <alignment horizontal="center" wrapText="1"/>
    </xf>
    <xf numFmtId="0" fontId="81" fillId="0" borderId="29" xfId="68" applyBorder="1" applyAlignment="1">
      <alignment horizontal="center" wrapText="1"/>
    </xf>
    <xf numFmtId="49" fontId="81" fillId="0" borderId="10" xfId="68" applyNumberFormat="1" applyBorder="1" applyAlignment="1">
      <alignment horizontal="center" wrapText="1"/>
    </xf>
    <xf numFmtId="49" fontId="81" fillId="0" borderId="0" xfId="68" applyNumberFormat="1" applyBorder="1" applyAlignment="1">
      <alignment horizontal="center" wrapText="1"/>
    </xf>
    <xf numFmtId="49" fontId="81" fillId="0" borderId="31" xfId="68" applyNumberFormat="1" applyBorder="1" applyAlignment="1">
      <alignment horizontal="center" wrapText="1"/>
    </xf>
    <xf numFmtId="49" fontId="81" fillId="0" borderId="32" xfId="68" applyNumberFormat="1" applyBorder="1" applyAlignment="1">
      <alignment horizontal="center" wrapText="1"/>
    </xf>
    <xf numFmtId="0" fontId="92" fillId="0" borderId="129" xfId="98" applyBorder="1" applyAlignment="1">
      <alignment horizontal="center"/>
    </xf>
    <xf numFmtId="0" fontId="92" fillId="0" borderId="130" xfId="98" applyBorder="1" applyAlignment="1">
      <alignment horizontal="center"/>
    </xf>
    <xf numFmtId="0" fontId="92" fillId="0" borderId="95" xfId="98" applyBorder="1" applyAlignment="1">
      <alignment horizontal="center"/>
    </xf>
    <xf numFmtId="0" fontId="98" fillId="0" borderId="10" xfId="98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98" fillId="0" borderId="28" xfId="98" applyFont="1" applyBorder="1" applyAlignment="1">
      <alignment horizontal="left"/>
    </xf>
    <xf numFmtId="0" fontId="0" fillId="0" borderId="131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1" xfId="0" applyFont="1" applyBorder="1" applyAlignment="1">
      <alignment/>
    </xf>
    <xf numFmtId="0" fontId="3" fillId="0" borderId="28" xfId="0" applyFont="1" applyBorder="1" applyAlignment="1">
      <alignment horizontal="left"/>
    </xf>
    <xf numFmtId="0" fontId="3" fillId="0" borderId="131" xfId="0" applyFont="1" applyBorder="1" applyAlignment="1">
      <alignment horizontal="left"/>
    </xf>
    <xf numFmtId="0" fontId="3" fillId="0" borderId="132" xfId="0" applyFont="1" applyBorder="1" applyAlignment="1">
      <alignment horizontal="center"/>
    </xf>
    <xf numFmtId="0" fontId="3" fillId="0" borderId="133" xfId="0" applyFont="1" applyBorder="1" applyAlignment="1">
      <alignment horizontal="center"/>
    </xf>
    <xf numFmtId="0" fontId="3" fillId="0" borderId="132" xfId="0" applyFont="1" applyBorder="1" applyAlignment="1">
      <alignment/>
    </xf>
    <xf numFmtId="0" fontId="3" fillId="0" borderId="115" xfId="0" applyFont="1" applyBorder="1" applyAlignment="1">
      <alignment/>
    </xf>
    <xf numFmtId="0" fontId="3" fillId="0" borderId="33" xfId="0" applyFont="1" applyBorder="1" applyAlignment="1">
      <alignment horizontal="left" wrapText="1"/>
    </xf>
    <xf numFmtId="0" fontId="3" fillId="0" borderId="134" xfId="0" applyFont="1" applyBorder="1" applyAlignment="1">
      <alignment horizontal="left"/>
    </xf>
    <xf numFmtId="0" fontId="9" fillId="0" borderId="41" xfId="0" applyFont="1" applyBorder="1" applyAlignment="1">
      <alignment horizontal="center"/>
    </xf>
    <xf numFmtId="0" fontId="3" fillId="0" borderId="135" xfId="0" applyFont="1" applyBorder="1" applyAlignment="1">
      <alignment/>
    </xf>
    <xf numFmtId="0" fontId="3" fillId="0" borderId="136" xfId="0" applyFont="1" applyBorder="1" applyAlignment="1">
      <alignment/>
    </xf>
    <xf numFmtId="0" fontId="3" fillId="0" borderId="137" xfId="0" applyFont="1" applyBorder="1" applyAlignment="1">
      <alignment/>
    </xf>
    <xf numFmtId="0" fontId="3" fillId="0" borderId="138" xfId="0" applyFont="1" applyBorder="1" applyAlignment="1">
      <alignment/>
    </xf>
    <xf numFmtId="0" fontId="3" fillId="0" borderId="139" xfId="0" applyFont="1" applyBorder="1" applyAlignment="1">
      <alignment/>
    </xf>
    <xf numFmtId="0" fontId="3" fillId="0" borderId="140" xfId="0" applyFont="1" applyBorder="1" applyAlignment="1">
      <alignment/>
    </xf>
    <xf numFmtId="0" fontId="108" fillId="0" borderId="84" xfId="0" applyFont="1" applyFill="1" applyBorder="1" applyAlignment="1">
      <alignment horizontal="center" vertical="top" wrapText="1"/>
    </xf>
    <xf numFmtId="0" fontId="108" fillId="0" borderId="85" xfId="0" applyFont="1" applyFill="1" applyBorder="1" applyAlignment="1">
      <alignment horizontal="center" vertical="top" wrapText="1"/>
    </xf>
    <xf numFmtId="0" fontId="108" fillId="36" borderId="84" xfId="0" applyFont="1" applyFill="1" applyBorder="1" applyAlignment="1">
      <alignment horizontal="center" vertical="top" wrapText="1"/>
    </xf>
    <xf numFmtId="0" fontId="108" fillId="36" borderId="85" xfId="0" applyFont="1" applyFill="1" applyBorder="1" applyAlignment="1">
      <alignment horizontal="center" vertical="top" wrapText="1"/>
    </xf>
    <xf numFmtId="0" fontId="3" fillId="0" borderId="141" xfId="0" applyFont="1" applyBorder="1" applyAlignment="1">
      <alignment/>
    </xf>
    <xf numFmtId="0" fontId="3" fillId="0" borderId="84" xfId="0" applyFont="1" applyFill="1" applyBorder="1" applyAlignment="1">
      <alignment horizontal="center" vertical="top" wrapText="1"/>
    </xf>
    <xf numFmtId="0" fontId="3" fillId="0" borderId="85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42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52" xfId="0" applyFont="1" applyBorder="1" applyAlignment="1">
      <alignment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2 2" xfId="47"/>
    <cellStyle name="Comma 13" xfId="48"/>
    <cellStyle name="Comma 13 2" xfId="49"/>
    <cellStyle name="Comma 14" xfId="50"/>
    <cellStyle name="Comma 14 2" xfId="51"/>
    <cellStyle name="Comma 2" xfId="52"/>
    <cellStyle name="Comma 2 2" xfId="53"/>
    <cellStyle name="Comma 3" xfId="54"/>
    <cellStyle name="Comma 3 2" xfId="55"/>
    <cellStyle name="Comma 4" xfId="56"/>
    <cellStyle name="Comma 4 2" xfId="57"/>
    <cellStyle name="Comma 5" xfId="58"/>
    <cellStyle name="Comma 5 2" xfId="59"/>
    <cellStyle name="Comma 6" xfId="60"/>
    <cellStyle name="Comma 6 2" xfId="61"/>
    <cellStyle name="Comma 7" xfId="62"/>
    <cellStyle name="Comma 7 2" xfId="63"/>
    <cellStyle name="Comma 8" xfId="64"/>
    <cellStyle name="Comma 9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2 2" xfId="80"/>
    <cellStyle name="Normal 2 3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rmal 6" xfId="88"/>
    <cellStyle name="Normal 7" xfId="89"/>
    <cellStyle name="Normal 8" xfId="90"/>
    <cellStyle name="Note" xfId="91"/>
    <cellStyle name="Output" xfId="92"/>
    <cellStyle name="Percent" xfId="93"/>
    <cellStyle name="Percent 2" xfId="94"/>
    <cellStyle name="Percent 3" xfId="95"/>
    <cellStyle name="Percent 3 2" xfId="96"/>
    <cellStyle name="Percent 4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White Maize: Weekly producer deliveries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535"/>
          <c:w val="0.93525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-White maize'!$O$17</c:f>
              <c:strCache>
                <c:ptCount val="1"/>
                <c:pt idx="0">
                  <c:v>2019/20*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-White maize'!$B$18:$B$62</c:f>
              <c:strCache>
                <c:ptCount val="45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strCache>
            </c:strRef>
          </c:cat>
          <c:val>
            <c:numRef>
              <c:f>'Summary -White maize'!$O$18:$O$62</c:f>
              <c:numCache>
                <c:ptCount val="45"/>
                <c:pt idx="0">
                  <c:v>131241</c:v>
                </c:pt>
                <c:pt idx="1">
                  <c:v>2437</c:v>
                </c:pt>
                <c:pt idx="2">
                  <c:v>37574</c:v>
                </c:pt>
                <c:pt idx="3">
                  <c:v>78048</c:v>
                </c:pt>
                <c:pt idx="4">
                  <c:v>136426</c:v>
                </c:pt>
                <c:pt idx="5">
                  <c:v>346634</c:v>
                </c:pt>
                <c:pt idx="6">
                  <c:v>246460</c:v>
                </c:pt>
                <c:pt idx="7">
                  <c:v>361369</c:v>
                </c:pt>
                <c:pt idx="8">
                  <c:v>250828</c:v>
                </c:pt>
                <c:pt idx="9">
                  <c:v>875139</c:v>
                </c:pt>
                <c:pt idx="10">
                  <c:v>297273</c:v>
                </c:pt>
                <c:pt idx="11">
                  <c:v>607351</c:v>
                </c:pt>
                <c:pt idx="12">
                  <c:v>648824</c:v>
                </c:pt>
                <c:pt idx="13">
                  <c:v>708707</c:v>
                </c:pt>
                <c:pt idx="14">
                  <c:v>1123824</c:v>
                </c:pt>
                <c:pt idx="15">
                  <c:v>524045</c:v>
                </c:pt>
                <c:pt idx="16">
                  <c:v>407047</c:v>
                </c:pt>
                <c:pt idx="17">
                  <c:v>281706</c:v>
                </c:pt>
                <c:pt idx="18">
                  <c:v>536989</c:v>
                </c:pt>
                <c:pt idx="19">
                  <c:v>43317</c:v>
                </c:pt>
                <c:pt idx="20">
                  <c:v>79109</c:v>
                </c:pt>
                <c:pt idx="21">
                  <c:v>49822</c:v>
                </c:pt>
                <c:pt idx="22">
                  <c:v>189045</c:v>
                </c:pt>
                <c:pt idx="23">
                  <c:v>7035</c:v>
                </c:pt>
                <c:pt idx="24">
                  <c:v>21272</c:v>
                </c:pt>
                <c:pt idx="25">
                  <c:v>16799</c:v>
                </c:pt>
                <c:pt idx="26">
                  <c:v>13803</c:v>
                </c:pt>
                <c:pt idx="27">
                  <c:v>82230</c:v>
                </c:pt>
                <c:pt idx="28">
                  <c:v>9087</c:v>
                </c:pt>
                <c:pt idx="29">
                  <c:v>7665</c:v>
                </c:pt>
                <c:pt idx="30">
                  <c:v>7429</c:v>
                </c:pt>
                <c:pt idx="31">
                  <c:v>36151</c:v>
                </c:pt>
                <c:pt idx="32">
                  <c:v>4505</c:v>
                </c:pt>
                <c:pt idx="33">
                  <c:v>5803</c:v>
                </c:pt>
                <c:pt idx="34">
                  <c:v>3668</c:v>
                </c:pt>
                <c:pt idx="35">
                  <c:v>20657</c:v>
                </c:pt>
                <c:pt idx="36">
                  <c:v>164</c:v>
                </c:pt>
                <c:pt idx="37">
                  <c:v>2948</c:v>
                </c:pt>
                <c:pt idx="38">
                  <c:v>5613</c:v>
                </c:pt>
                <c:pt idx="39">
                  <c:v>7152</c:v>
                </c:pt>
                <c:pt idx="40">
                  <c:v>32152</c:v>
                </c:pt>
                <c:pt idx="41">
                  <c:v>5936</c:v>
                </c:pt>
                <c:pt idx="42">
                  <c:v>10507</c:v>
                </c:pt>
                <c:pt idx="43">
                  <c:v>8705</c:v>
                </c:pt>
                <c:pt idx="44">
                  <c:v>28854</c:v>
                </c:pt>
              </c:numCache>
            </c:numRef>
          </c:val>
        </c:ser>
        <c:axId val="6142893"/>
        <c:axId val="55286038"/>
      </c:barChart>
      <c:lineChart>
        <c:grouping val="standard"/>
        <c:varyColors val="0"/>
        <c:ser>
          <c:idx val="1"/>
          <c:order val="1"/>
          <c:tx>
            <c:strRef>
              <c:f>'Summary -White maize'!$P$3</c:f>
              <c:strCache>
                <c:ptCount val="1"/>
                <c:pt idx="0">
                  <c:v>5 Yr. AVG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'Summary -White maize'!$P$18:$P$62</c:f>
              <c:numCache>
                <c:ptCount val="45"/>
                <c:pt idx="0">
                  <c:v>230828.40000000002</c:v>
                </c:pt>
                <c:pt idx="1">
                  <c:v>33512.2</c:v>
                </c:pt>
                <c:pt idx="2">
                  <c:v>81172.8</c:v>
                </c:pt>
                <c:pt idx="3">
                  <c:v>94164</c:v>
                </c:pt>
                <c:pt idx="4">
                  <c:v>300240.6</c:v>
                </c:pt>
                <c:pt idx="5">
                  <c:v>237455.8</c:v>
                </c:pt>
                <c:pt idx="6">
                  <c:v>278060.8</c:v>
                </c:pt>
                <c:pt idx="7">
                  <c:v>315516.6</c:v>
                </c:pt>
                <c:pt idx="8">
                  <c:v>407657.4</c:v>
                </c:pt>
                <c:pt idx="9">
                  <c:v>565496.2</c:v>
                </c:pt>
                <c:pt idx="10">
                  <c:v>349603.2</c:v>
                </c:pt>
                <c:pt idx="11">
                  <c:v>359764.6</c:v>
                </c:pt>
                <c:pt idx="12">
                  <c:v>381449.2</c:v>
                </c:pt>
                <c:pt idx="13">
                  <c:v>571133.4</c:v>
                </c:pt>
                <c:pt idx="14">
                  <c:v>237582</c:v>
                </c:pt>
                <c:pt idx="15">
                  <c:v>270125.4</c:v>
                </c:pt>
                <c:pt idx="16">
                  <c:v>237033.8</c:v>
                </c:pt>
                <c:pt idx="17">
                  <c:v>253624.4</c:v>
                </c:pt>
                <c:pt idx="18">
                  <c:v>188487.4</c:v>
                </c:pt>
                <c:pt idx="19">
                  <c:v>62942.6</c:v>
                </c:pt>
                <c:pt idx="20">
                  <c:v>47229</c:v>
                </c:pt>
                <c:pt idx="21">
                  <c:v>28556.8</c:v>
                </c:pt>
                <c:pt idx="22">
                  <c:v>55163.4</c:v>
                </c:pt>
                <c:pt idx="23">
                  <c:v>13098.6</c:v>
                </c:pt>
                <c:pt idx="24">
                  <c:v>15699.2</c:v>
                </c:pt>
                <c:pt idx="25">
                  <c:v>14900</c:v>
                </c:pt>
                <c:pt idx="26">
                  <c:v>43825.6</c:v>
                </c:pt>
                <c:pt idx="27">
                  <c:v>6923.8</c:v>
                </c:pt>
                <c:pt idx="28">
                  <c:v>9037.8</c:v>
                </c:pt>
                <c:pt idx="29">
                  <c:v>9522.6</c:v>
                </c:pt>
                <c:pt idx="30">
                  <c:v>20374.4</c:v>
                </c:pt>
                <c:pt idx="31">
                  <c:v>20575.2</c:v>
                </c:pt>
                <c:pt idx="32">
                  <c:v>3694.4</c:v>
                </c:pt>
                <c:pt idx="33">
                  <c:v>1120.2</c:v>
                </c:pt>
                <c:pt idx="34">
                  <c:v>1060</c:v>
                </c:pt>
                <c:pt idx="35">
                  <c:v>20207.4</c:v>
                </c:pt>
                <c:pt idx="36">
                  <c:v>1770.2</c:v>
                </c:pt>
                <c:pt idx="37">
                  <c:v>4238.2</c:v>
                </c:pt>
                <c:pt idx="38">
                  <c:v>6143.6</c:v>
                </c:pt>
                <c:pt idx="39">
                  <c:v>20909.6</c:v>
                </c:pt>
                <c:pt idx="40">
                  <c:v>13492.2</c:v>
                </c:pt>
                <c:pt idx="41">
                  <c:v>10627.4</c:v>
                </c:pt>
                <c:pt idx="42">
                  <c:v>17022.8</c:v>
                </c:pt>
                <c:pt idx="43">
                  <c:v>24775.8</c:v>
                </c:pt>
                <c:pt idx="44">
                  <c:v>16513.4</c:v>
                </c:pt>
              </c:numCache>
            </c:numRef>
          </c:val>
          <c:smooth val="0"/>
        </c:ser>
        <c:axId val="6142893"/>
        <c:axId val="55286038"/>
      </c:lineChart>
      <c:catAx>
        <c:axId val="6142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 nr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5286038"/>
        <c:crosses val="autoZero"/>
        <c:auto val="1"/>
        <c:lblOffset val="100"/>
        <c:tickLblSkip val="1"/>
        <c:noMultiLvlLbl val="0"/>
      </c:catAx>
      <c:valAx>
        <c:axId val="552860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42893"/>
        <c:crossesAt val="1"/>
        <c:crossBetween val="between"/>
        <c:dispUnits/>
        <c:majorUnit val="40000"/>
        <c:min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2"/>
          <c:y val="0.937"/>
          <c:w val="0.69225"/>
          <c:h val="0.0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Maize: Weekly producer deliveries</a:t>
            </a:r>
          </a:p>
        </c:rich>
      </c:tx>
      <c:layout>
        <c:manualLayout>
          <c:xMode val="factor"/>
          <c:yMode val="factor"/>
          <c:x val="-0.008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31"/>
          <c:w val="0.93475"/>
          <c:h val="0.9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'Summary -Yellow maize'!$P$17</c:f>
              <c:strCache>
                <c:ptCount val="1"/>
                <c:pt idx="0">
                  <c:v>2020/21*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-Yellow maize'!$B$18:$B$62</c:f>
              <c:strCache>
                <c:ptCount val="45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strCache>
            </c:strRef>
          </c:cat>
          <c:val>
            <c:numRef>
              <c:f>'Summary -Yellow maize'!$P$18:$P$62</c:f>
              <c:numCache>
                <c:ptCount val="45"/>
                <c:pt idx="0">
                  <c:v>216491</c:v>
                </c:pt>
                <c:pt idx="1">
                  <c:v>3807</c:v>
                </c:pt>
                <c:pt idx="2">
                  <c:v>53600</c:v>
                </c:pt>
                <c:pt idx="3">
                  <c:v>102871</c:v>
                </c:pt>
                <c:pt idx="4">
                  <c:v>209349</c:v>
                </c:pt>
                <c:pt idx="5">
                  <c:v>479765</c:v>
                </c:pt>
                <c:pt idx="6">
                  <c:v>378889</c:v>
                </c:pt>
                <c:pt idx="7">
                  <c:v>550026</c:v>
                </c:pt>
                <c:pt idx="8">
                  <c:v>392636</c:v>
                </c:pt>
                <c:pt idx="9">
                  <c:v>963446</c:v>
                </c:pt>
                <c:pt idx="10">
                  <c:v>275658</c:v>
                </c:pt>
                <c:pt idx="11">
                  <c:v>449351</c:v>
                </c:pt>
                <c:pt idx="12">
                  <c:v>398309</c:v>
                </c:pt>
                <c:pt idx="13">
                  <c:v>363722</c:v>
                </c:pt>
                <c:pt idx="14">
                  <c:v>529953</c:v>
                </c:pt>
                <c:pt idx="15">
                  <c:v>200619</c:v>
                </c:pt>
                <c:pt idx="16">
                  <c:v>125572</c:v>
                </c:pt>
                <c:pt idx="17">
                  <c:v>87412</c:v>
                </c:pt>
                <c:pt idx="18">
                  <c:v>157153</c:v>
                </c:pt>
                <c:pt idx="19">
                  <c:v>17546</c:v>
                </c:pt>
                <c:pt idx="20">
                  <c:v>21677</c:v>
                </c:pt>
                <c:pt idx="21">
                  <c:v>15186</c:v>
                </c:pt>
                <c:pt idx="22">
                  <c:v>80302</c:v>
                </c:pt>
                <c:pt idx="23">
                  <c:v>3791</c:v>
                </c:pt>
                <c:pt idx="24">
                  <c:v>7732</c:v>
                </c:pt>
                <c:pt idx="25">
                  <c:v>8212</c:v>
                </c:pt>
                <c:pt idx="26">
                  <c:v>7309</c:v>
                </c:pt>
                <c:pt idx="27">
                  <c:v>53991</c:v>
                </c:pt>
                <c:pt idx="28">
                  <c:v>4380</c:v>
                </c:pt>
                <c:pt idx="29">
                  <c:v>3323</c:v>
                </c:pt>
                <c:pt idx="30">
                  <c:v>2240</c:v>
                </c:pt>
                <c:pt idx="31">
                  <c:v>41130</c:v>
                </c:pt>
                <c:pt idx="32">
                  <c:v>3754</c:v>
                </c:pt>
                <c:pt idx="33">
                  <c:v>4481</c:v>
                </c:pt>
                <c:pt idx="34">
                  <c:v>4090</c:v>
                </c:pt>
                <c:pt idx="35">
                  <c:v>38464</c:v>
                </c:pt>
                <c:pt idx="36">
                  <c:v>306</c:v>
                </c:pt>
                <c:pt idx="37">
                  <c:v>1791</c:v>
                </c:pt>
                <c:pt idx="38">
                  <c:v>4215</c:v>
                </c:pt>
                <c:pt idx="39">
                  <c:v>6661</c:v>
                </c:pt>
                <c:pt idx="40">
                  <c:v>38839</c:v>
                </c:pt>
                <c:pt idx="41">
                  <c:v>3239</c:v>
                </c:pt>
                <c:pt idx="42">
                  <c:v>5682</c:v>
                </c:pt>
                <c:pt idx="43">
                  <c:v>10151</c:v>
                </c:pt>
                <c:pt idx="44">
                  <c:v>40094</c:v>
                </c:pt>
              </c:numCache>
            </c:numRef>
          </c:val>
        </c:ser>
        <c:axId val="27812295"/>
        <c:axId val="48984064"/>
      </c:barChart>
      <c:lineChart>
        <c:grouping val="standard"/>
        <c:varyColors val="0"/>
        <c:ser>
          <c:idx val="0"/>
          <c:order val="0"/>
          <c:tx>
            <c:strRef>
              <c:f>'Summary -Yellow maize'!$Q$3</c:f>
              <c:strCache>
                <c:ptCount val="1"/>
                <c:pt idx="0">
                  <c:v>5 Yr. AVG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'Summary -Yellow maize'!$B$18:$B$62</c:f>
              <c:strCache>
                <c:ptCount val="45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strCache>
            </c:strRef>
          </c:cat>
          <c:val>
            <c:numRef>
              <c:f>'Summary -Yellow maize'!$Q$18:$Q$62</c:f>
              <c:numCache>
                <c:ptCount val="45"/>
                <c:pt idx="0">
                  <c:v>284262</c:v>
                </c:pt>
                <c:pt idx="1">
                  <c:v>50073.6</c:v>
                </c:pt>
                <c:pt idx="2">
                  <c:v>120139</c:v>
                </c:pt>
                <c:pt idx="3">
                  <c:v>149288</c:v>
                </c:pt>
                <c:pt idx="4">
                  <c:v>454306.8</c:v>
                </c:pt>
                <c:pt idx="5">
                  <c:v>340330.6</c:v>
                </c:pt>
                <c:pt idx="6">
                  <c:v>415692.6</c:v>
                </c:pt>
                <c:pt idx="7">
                  <c:v>425335.2</c:v>
                </c:pt>
                <c:pt idx="8">
                  <c:v>471416.2</c:v>
                </c:pt>
                <c:pt idx="9">
                  <c:v>519447.2</c:v>
                </c:pt>
                <c:pt idx="10">
                  <c:v>304052.4</c:v>
                </c:pt>
                <c:pt idx="11">
                  <c:v>293911.2</c:v>
                </c:pt>
                <c:pt idx="12">
                  <c:v>260390.8</c:v>
                </c:pt>
                <c:pt idx="13">
                  <c:v>340945.8</c:v>
                </c:pt>
                <c:pt idx="14">
                  <c:v>115244.2</c:v>
                </c:pt>
                <c:pt idx="15">
                  <c:v>115704.2</c:v>
                </c:pt>
                <c:pt idx="16">
                  <c:v>88523.8</c:v>
                </c:pt>
                <c:pt idx="17">
                  <c:v>92922.8</c:v>
                </c:pt>
                <c:pt idx="18">
                  <c:v>86714.4</c:v>
                </c:pt>
                <c:pt idx="19">
                  <c:v>24453</c:v>
                </c:pt>
                <c:pt idx="20">
                  <c:v>22237</c:v>
                </c:pt>
                <c:pt idx="21">
                  <c:v>16098.6</c:v>
                </c:pt>
                <c:pt idx="22">
                  <c:v>52153.6</c:v>
                </c:pt>
                <c:pt idx="23">
                  <c:v>11049.8</c:v>
                </c:pt>
                <c:pt idx="24">
                  <c:v>11298.4</c:v>
                </c:pt>
                <c:pt idx="25">
                  <c:v>9256.6</c:v>
                </c:pt>
                <c:pt idx="26">
                  <c:v>36710.6</c:v>
                </c:pt>
                <c:pt idx="27">
                  <c:v>6806.2</c:v>
                </c:pt>
                <c:pt idx="28">
                  <c:v>5835.4</c:v>
                </c:pt>
                <c:pt idx="29">
                  <c:v>5371.2</c:v>
                </c:pt>
                <c:pt idx="30">
                  <c:v>19946</c:v>
                </c:pt>
                <c:pt idx="31">
                  <c:v>18600</c:v>
                </c:pt>
                <c:pt idx="32">
                  <c:v>3557</c:v>
                </c:pt>
                <c:pt idx="33">
                  <c:v>1387.2</c:v>
                </c:pt>
                <c:pt idx="34">
                  <c:v>2526.6</c:v>
                </c:pt>
                <c:pt idx="35">
                  <c:v>22247.8</c:v>
                </c:pt>
                <c:pt idx="36">
                  <c:v>1076.4</c:v>
                </c:pt>
                <c:pt idx="37">
                  <c:v>3671.4</c:v>
                </c:pt>
                <c:pt idx="38">
                  <c:v>5818</c:v>
                </c:pt>
                <c:pt idx="39">
                  <c:v>21187</c:v>
                </c:pt>
                <c:pt idx="40">
                  <c:v>16990</c:v>
                </c:pt>
                <c:pt idx="41">
                  <c:v>9125.2</c:v>
                </c:pt>
                <c:pt idx="42">
                  <c:v>8296.6</c:v>
                </c:pt>
                <c:pt idx="43">
                  <c:v>25983.8</c:v>
                </c:pt>
                <c:pt idx="44">
                  <c:v>17853.8</c:v>
                </c:pt>
              </c:numCache>
            </c:numRef>
          </c:val>
          <c:smooth val="0"/>
        </c:ser>
        <c:axId val="27812295"/>
        <c:axId val="48984064"/>
      </c:lineChart>
      <c:catAx>
        <c:axId val="2781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984064"/>
        <c:crosses val="autoZero"/>
        <c:auto val="1"/>
        <c:lblOffset val="100"/>
        <c:tickLblSkip val="1"/>
        <c:noMultiLvlLbl val="0"/>
      </c:catAx>
      <c:valAx>
        <c:axId val="48984064"/>
        <c:scaling>
          <c:orientation val="minMax"/>
          <c:max val="8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812295"/>
        <c:crossesAt val="1"/>
        <c:crossBetween val="between"/>
        <c:dispUnits/>
        <c:majorUnit val="40000"/>
        <c:minorUnit val="3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425"/>
          <c:y val="0.9165"/>
          <c:w val="0.80475"/>
          <c:h val="0.0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Weeklikse mielielewerings (Bemarkingsjaar: Mei tot April 2020/21)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6925"/>
          <c:w val="0.947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'Mielies-Maize'!$F$19:$F$70</c:f>
              <c:numCache>
                <c:ptCount val="52"/>
                <c:pt idx="0">
                  <c:v>2437</c:v>
                </c:pt>
                <c:pt idx="1">
                  <c:v>37574</c:v>
                </c:pt>
                <c:pt idx="2">
                  <c:v>78048</c:v>
                </c:pt>
                <c:pt idx="3">
                  <c:v>136426</c:v>
                </c:pt>
                <c:pt idx="4">
                  <c:v>346634</c:v>
                </c:pt>
                <c:pt idx="5">
                  <c:v>246460</c:v>
                </c:pt>
                <c:pt idx="6">
                  <c:v>361369</c:v>
                </c:pt>
                <c:pt idx="7">
                  <c:v>250828</c:v>
                </c:pt>
                <c:pt idx="8">
                  <c:v>875139</c:v>
                </c:pt>
                <c:pt idx="9">
                  <c:v>297273</c:v>
                </c:pt>
                <c:pt idx="10">
                  <c:v>607351</c:v>
                </c:pt>
                <c:pt idx="11">
                  <c:v>648824</c:v>
                </c:pt>
                <c:pt idx="12">
                  <c:v>708707</c:v>
                </c:pt>
                <c:pt idx="13">
                  <c:v>1123824</c:v>
                </c:pt>
                <c:pt idx="14">
                  <c:v>524045</c:v>
                </c:pt>
                <c:pt idx="15">
                  <c:v>407047</c:v>
                </c:pt>
                <c:pt idx="16">
                  <c:v>281706</c:v>
                </c:pt>
                <c:pt idx="17">
                  <c:v>536989</c:v>
                </c:pt>
                <c:pt idx="18">
                  <c:v>43317</c:v>
                </c:pt>
                <c:pt idx="19">
                  <c:v>79109</c:v>
                </c:pt>
                <c:pt idx="20">
                  <c:v>49822</c:v>
                </c:pt>
                <c:pt idx="21">
                  <c:v>189045</c:v>
                </c:pt>
                <c:pt idx="22">
                  <c:v>7035</c:v>
                </c:pt>
                <c:pt idx="23">
                  <c:v>21272</c:v>
                </c:pt>
                <c:pt idx="24">
                  <c:v>16799</c:v>
                </c:pt>
                <c:pt idx="25">
                  <c:v>13803</c:v>
                </c:pt>
                <c:pt idx="26">
                  <c:v>82230</c:v>
                </c:pt>
                <c:pt idx="27">
                  <c:v>9087</c:v>
                </c:pt>
                <c:pt idx="28">
                  <c:v>7665</c:v>
                </c:pt>
                <c:pt idx="29">
                  <c:v>7429</c:v>
                </c:pt>
                <c:pt idx="30">
                  <c:v>36151</c:v>
                </c:pt>
                <c:pt idx="31">
                  <c:v>4505</c:v>
                </c:pt>
                <c:pt idx="32">
                  <c:v>5803</c:v>
                </c:pt>
                <c:pt idx="33">
                  <c:v>3668</c:v>
                </c:pt>
                <c:pt idx="34">
                  <c:v>20657</c:v>
                </c:pt>
                <c:pt idx="35">
                  <c:v>164</c:v>
                </c:pt>
                <c:pt idx="36">
                  <c:v>2948</c:v>
                </c:pt>
                <c:pt idx="37">
                  <c:v>5613</c:v>
                </c:pt>
                <c:pt idx="38">
                  <c:v>7152</c:v>
                </c:pt>
                <c:pt idx="39">
                  <c:v>32152</c:v>
                </c:pt>
                <c:pt idx="40">
                  <c:v>5936</c:v>
                </c:pt>
                <c:pt idx="41">
                  <c:v>10507</c:v>
                </c:pt>
                <c:pt idx="42">
                  <c:v>8705</c:v>
                </c:pt>
                <c:pt idx="43">
                  <c:v>28854</c:v>
                </c:pt>
                <c:pt idx="44">
                  <c:v>9127</c:v>
                </c:pt>
                <c:pt idx="45">
                  <c:v>11229</c:v>
                </c:pt>
                <c:pt idx="46">
                  <c:v>10015</c:v>
                </c:pt>
                <c:pt idx="47">
                  <c:v>45001</c:v>
                </c:pt>
                <c:pt idx="48">
                  <c:v>5055</c:v>
                </c:pt>
                <c:pt idx="49">
                  <c:v>16900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'Mielies-Maize'!$J$19:$J$70</c:f>
              <c:numCache>
                <c:ptCount val="52"/>
                <c:pt idx="0">
                  <c:v>3807</c:v>
                </c:pt>
                <c:pt idx="1">
                  <c:v>53600</c:v>
                </c:pt>
                <c:pt idx="2">
                  <c:v>102871</c:v>
                </c:pt>
                <c:pt idx="3">
                  <c:v>209349</c:v>
                </c:pt>
                <c:pt idx="4">
                  <c:v>479765</c:v>
                </c:pt>
                <c:pt idx="5">
                  <c:v>378889</c:v>
                </c:pt>
                <c:pt idx="6">
                  <c:v>550026</c:v>
                </c:pt>
                <c:pt idx="7">
                  <c:v>392636</c:v>
                </c:pt>
                <c:pt idx="8">
                  <c:v>963446</c:v>
                </c:pt>
                <c:pt idx="9">
                  <c:v>275658</c:v>
                </c:pt>
                <c:pt idx="10">
                  <c:v>449351</c:v>
                </c:pt>
                <c:pt idx="11">
                  <c:v>398309</c:v>
                </c:pt>
                <c:pt idx="12">
                  <c:v>363722</c:v>
                </c:pt>
                <c:pt idx="13">
                  <c:v>529953</c:v>
                </c:pt>
                <c:pt idx="14">
                  <c:v>200619</c:v>
                </c:pt>
                <c:pt idx="15">
                  <c:v>125572</c:v>
                </c:pt>
                <c:pt idx="16">
                  <c:v>87412</c:v>
                </c:pt>
                <c:pt idx="17">
                  <c:v>157153</c:v>
                </c:pt>
                <c:pt idx="18">
                  <c:v>17546</c:v>
                </c:pt>
                <c:pt idx="19">
                  <c:v>21677</c:v>
                </c:pt>
                <c:pt idx="20">
                  <c:v>15186</c:v>
                </c:pt>
                <c:pt idx="21">
                  <c:v>80302</c:v>
                </c:pt>
                <c:pt idx="22">
                  <c:v>3791</c:v>
                </c:pt>
                <c:pt idx="23">
                  <c:v>7732</c:v>
                </c:pt>
                <c:pt idx="24">
                  <c:v>8212</c:v>
                </c:pt>
                <c:pt idx="25">
                  <c:v>7309</c:v>
                </c:pt>
                <c:pt idx="26">
                  <c:v>53991</c:v>
                </c:pt>
                <c:pt idx="27">
                  <c:v>4380</c:v>
                </c:pt>
                <c:pt idx="28">
                  <c:v>3323</c:v>
                </c:pt>
                <c:pt idx="29">
                  <c:v>2240</c:v>
                </c:pt>
                <c:pt idx="30">
                  <c:v>41130</c:v>
                </c:pt>
                <c:pt idx="31">
                  <c:v>3754</c:v>
                </c:pt>
                <c:pt idx="32">
                  <c:v>4481</c:v>
                </c:pt>
                <c:pt idx="33">
                  <c:v>4090</c:v>
                </c:pt>
                <c:pt idx="34">
                  <c:v>38464</c:v>
                </c:pt>
                <c:pt idx="35">
                  <c:v>306</c:v>
                </c:pt>
                <c:pt idx="36">
                  <c:v>1791</c:v>
                </c:pt>
                <c:pt idx="37">
                  <c:v>4215</c:v>
                </c:pt>
                <c:pt idx="38">
                  <c:v>6661</c:v>
                </c:pt>
                <c:pt idx="39">
                  <c:v>38839</c:v>
                </c:pt>
                <c:pt idx="40">
                  <c:v>3239</c:v>
                </c:pt>
                <c:pt idx="41">
                  <c:v>5682</c:v>
                </c:pt>
                <c:pt idx="42">
                  <c:v>10151</c:v>
                </c:pt>
                <c:pt idx="43">
                  <c:v>40094</c:v>
                </c:pt>
                <c:pt idx="44">
                  <c:v>7876</c:v>
                </c:pt>
                <c:pt idx="45">
                  <c:v>16682</c:v>
                </c:pt>
                <c:pt idx="46">
                  <c:v>18448</c:v>
                </c:pt>
                <c:pt idx="47">
                  <c:v>48964</c:v>
                </c:pt>
                <c:pt idx="48">
                  <c:v>8372</c:v>
                </c:pt>
                <c:pt idx="49">
                  <c:v>28428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gapWidth val="28"/>
        <c:axId val="38203393"/>
        <c:axId val="8286218"/>
      </c:barChart>
      <c:catAx>
        <c:axId val="38203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286218"/>
        <c:crosses val="autoZero"/>
        <c:auto val="0"/>
        <c:lblOffset val="100"/>
        <c:tickLblSkip val="1"/>
        <c:noMultiLvlLbl val="0"/>
      </c:catAx>
      <c:valAx>
        <c:axId val="82862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03393"/>
        <c:crossesAt val="1"/>
        <c:crossBetween val="between"/>
        <c:dispUnits/>
        <c:majorUnit val="30000"/>
        <c:minorUnit val="2360.030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1"/>
          <c:y val="0.194"/>
          <c:w val="0.20725"/>
          <c:h val="0.090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totale mielielewerings (Bemarkingsjaar: Mei tot April)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57"/>
          <c:w val="0.95225"/>
          <c:h val="0.94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'Summary -Total maize'!$P$17</c:f>
              <c:strCache>
                <c:ptCount val="1"/>
                <c:pt idx="0">
                  <c:v>2020/21*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maize'!$B$18:$B$62</c:f>
              <c:strCache>
                <c:ptCount val="45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strCache>
            </c:strRef>
          </c:cat>
          <c:val>
            <c:numRef>
              <c:f>'Summary -Total maize'!$P$18:$P$62</c:f>
              <c:numCache>
                <c:ptCount val="45"/>
                <c:pt idx="0">
                  <c:v>347732</c:v>
                </c:pt>
                <c:pt idx="1">
                  <c:v>6244</c:v>
                </c:pt>
                <c:pt idx="2">
                  <c:v>91174</c:v>
                </c:pt>
                <c:pt idx="3">
                  <c:v>180919</c:v>
                </c:pt>
                <c:pt idx="4">
                  <c:v>345775</c:v>
                </c:pt>
                <c:pt idx="5">
                  <c:v>826399</c:v>
                </c:pt>
                <c:pt idx="6">
                  <c:v>625349</c:v>
                </c:pt>
                <c:pt idx="7">
                  <c:v>911395</c:v>
                </c:pt>
                <c:pt idx="8">
                  <c:v>643464</c:v>
                </c:pt>
                <c:pt idx="9">
                  <c:v>1838585</c:v>
                </c:pt>
                <c:pt idx="10">
                  <c:v>572931</c:v>
                </c:pt>
                <c:pt idx="11">
                  <c:v>1056702</c:v>
                </c:pt>
                <c:pt idx="12">
                  <c:v>1047133</c:v>
                </c:pt>
                <c:pt idx="13">
                  <c:v>1072429</c:v>
                </c:pt>
                <c:pt idx="14">
                  <c:v>1653777</c:v>
                </c:pt>
                <c:pt idx="15">
                  <c:v>724664</c:v>
                </c:pt>
                <c:pt idx="16">
                  <c:v>532619</c:v>
                </c:pt>
                <c:pt idx="17">
                  <c:v>369118</c:v>
                </c:pt>
                <c:pt idx="18">
                  <c:v>694142</c:v>
                </c:pt>
                <c:pt idx="19">
                  <c:v>60863</c:v>
                </c:pt>
                <c:pt idx="20">
                  <c:v>100786</c:v>
                </c:pt>
                <c:pt idx="21">
                  <c:v>65008</c:v>
                </c:pt>
                <c:pt idx="22">
                  <c:v>269347</c:v>
                </c:pt>
                <c:pt idx="23">
                  <c:v>10826</c:v>
                </c:pt>
                <c:pt idx="24">
                  <c:v>29004</c:v>
                </c:pt>
                <c:pt idx="25">
                  <c:v>25011</c:v>
                </c:pt>
                <c:pt idx="26">
                  <c:v>21112</c:v>
                </c:pt>
                <c:pt idx="27">
                  <c:v>136221</c:v>
                </c:pt>
                <c:pt idx="28">
                  <c:v>13467</c:v>
                </c:pt>
                <c:pt idx="29">
                  <c:v>10988</c:v>
                </c:pt>
                <c:pt idx="30">
                  <c:v>9669</c:v>
                </c:pt>
                <c:pt idx="31">
                  <c:v>77281</c:v>
                </c:pt>
                <c:pt idx="32">
                  <c:v>8259</c:v>
                </c:pt>
                <c:pt idx="33">
                  <c:v>10284</c:v>
                </c:pt>
                <c:pt idx="34">
                  <c:v>7758</c:v>
                </c:pt>
                <c:pt idx="35">
                  <c:v>59121</c:v>
                </c:pt>
                <c:pt idx="36">
                  <c:v>470</c:v>
                </c:pt>
                <c:pt idx="37">
                  <c:v>4739</c:v>
                </c:pt>
                <c:pt idx="38">
                  <c:v>9828</c:v>
                </c:pt>
                <c:pt idx="39">
                  <c:v>13813</c:v>
                </c:pt>
                <c:pt idx="40">
                  <c:v>70991</c:v>
                </c:pt>
                <c:pt idx="41">
                  <c:v>9175</c:v>
                </c:pt>
                <c:pt idx="42">
                  <c:v>16189</c:v>
                </c:pt>
                <c:pt idx="43">
                  <c:v>18856</c:v>
                </c:pt>
                <c:pt idx="44">
                  <c:v>68948</c:v>
                </c:pt>
              </c:numCache>
            </c:numRef>
          </c:val>
        </c:ser>
        <c:gapWidth val="12"/>
        <c:axId val="7467099"/>
        <c:axId val="95028"/>
      </c:barChart>
      <c:lineChart>
        <c:grouping val="standard"/>
        <c:varyColors val="0"/>
        <c:ser>
          <c:idx val="1"/>
          <c:order val="0"/>
          <c:tx>
            <c:strRef>
              <c:f>'Summary -Total maize'!$Q$17</c:f>
              <c:strCache>
                <c:ptCount val="1"/>
                <c:pt idx="0">
                  <c:v>5 Yr. AVG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'Summary -Total maize'!$B$18:$B$62</c:f>
              <c:strCache>
                <c:ptCount val="45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strCache>
            </c:strRef>
          </c:cat>
          <c:val>
            <c:numRef>
              <c:f>'Summary -Total maize'!$Q$18:$Q$62</c:f>
              <c:numCache>
                <c:ptCount val="45"/>
                <c:pt idx="0">
                  <c:v>269944.39999999997</c:v>
                </c:pt>
                <c:pt idx="1">
                  <c:v>83585.8</c:v>
                </c:pt>
                <c:pt idx="2">
                  <c:v>201311.8</c:v>
                </c:pt>
                <c:pt idx="3">
                  <c:v>243452</c:v>
                </c:pt>
                <c:pt idx="4">
                  <c:v>754452.8</c:v>
                </c:pt>
                <c:pt idx="5">
                  <c:v>577786.4</c:v>
                </c:pt>
                <c:pt idx="6">
                  <c:v>693753.4</c:v>
                </c:pt>
                <c:pt idx="7">
                  <c:v>740851.8</c:v>
                </c:pt>
                <c:pt idx="8">
                  <c:v>879073.6</c:v>
                </c:pt>
                <c:pt idx="9">
                  <c:v>1084947.6</c:v>
                </c:pt>
                <c:pt idx="10">
                  <c:v>653655.6</c:v>
                </c:pt>
                <c:pt idx="11">
                  <c:v>653675.8</c:v>
                </c:pt>
                <c:pt idx="12">
                  <c:v>641840</c:v>
                </c:pt>
                <c:pt idx="13">
                  <c:v>912082.6</c:v>
                </c:pt>
                <c:pt idx="14">
                  <c:v>352826.2</c:v>
                </c:pt>
                <c:pt idx="15">
                  <c:v>385829.6</c:v>
                </c:pt>
                <c:pt idx="16">
                  <c:v>325557.6</c:v>
                </c:pt>
                <c:pt idx="17">
                  <c:v>346547.2</c:v>
                </c:pt>
                <c:pt idx="18">
                  <c:v>275216</c:v>
                </c:pt>
                <c:pt idx="19">
                  <c:v>87395.6</c:v>
                </c:pt>
                <c:pt idx="20">
                  <c:v>69466</c:v>
                </c:pt>
                <c:pt idx="21">
                  <c:v>44655.4</c:v>
                </c:pt>
                <c:pt idx="22">
                  <c:v>107324.6</c:v>
                </c:pt>
                <c:pt idx="23">
                  <c:v>24148.4</c:v>
                </c:pt>
                <c:pt idx="24">
                  <c:v>26997.6</c:v>
                </c:pt>
                <c:pt idx="25">
                  <c:v>24156.6</c:v>
                </c:pt>
                <c:pt idx="26">
                  <c:v>80488.6</c:v>
                </c:pt>
                <c:pt idx="27">
                  <c:v>13730</c:v>
                </c:pt>
                <c:pt idx="28">
                  <c:v>14873.2</c:v>
                </c:pt>
                <c:pt idx="29">
                  <c:v>14893.8</c:v>
                </c:pt>
                <c:pt idx="30">
                  <c:v>40320.4</c:v>
                </c:pt>
                <c:pt idx="31">
                  <c:v>39175.2</c:v>
                </c:pt>
                <c:pt idx="32">
                  <c:v>7251.4</c:v>
                </c:pt>
                <c:pt idx="33">
                  <c:v>2507.4</c:v>
                </c:pt>
                <c:pt idx="34">
                  <c:v>3586.6</c:v>
                </c:pt>
                <c:pt idx="35">
                  <c:v>42391.2</c:v>
                </c:pt>
                <c:pt idx="36">
                  <c:v>2846.6</c:v>
                </c:pt>
                <c:pt idx="37">
                  <c:v>7909.6</c:v>
                </c:pt>
                <c:pt idx="38">
                  <c:v>11961.6</c:v>
                </c:pt>
                <c:pt idx="39">
                  <c:v>42098.4</c:v>
                </c:pt>
                <c:pt idx="40">
                  <c:v>30482.2</c:v>
                </c:pt>
                <c:pt idx="41">
                  <c:v>19752.6</c:v>
                </c:pt>
                <c:pt idx="42">
                  <c:v>25319.4</c:v>
                </c:pt>
                <c:pt idx="43">
                  <c:v>50960.4</c:v>
                </c:pt>
                <c:pt idx="44">
                  <c:v>34367.2</c:v>
                </c:pt>
              </c:numCache>
            </c:numRef>
          </c:val>
          <c:smooth val="0"/>
        </c:ser>
        <c:axId val="7467099"/>
        <c:axId val="95028"/>
      </c:lineChart>
      <c:catAx>
        <c:axId val="7467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5028"/>
        <c:crosses val="autoZero"/>
        <c:auto val="1"/>
        <c:lblOffset val="100"/>
        <c:tickLblSkip val="1"/>
        <c:noMultiLvlLbl val="0"/>
      </c:catAx>
      <c:valAx>
        <c:axId val="950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7467099"/>
        <c:crossesAt val="1"/>
        <c:crossBetween val="between"/>
        <c:dispUnits/>
        <c:majorUnit val="7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75"/>
          <c:y val="0.9465"/>
          <c:w val="0.614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kumulatiewe mielielewerings (Bemarkingsjaar: Mei tot April)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05"/>
          <c:w val="0.942"/>
          <c:h val="0.84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maize'!$B$19:$B$72</c:f>
              <c:numCach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'Mielies-Maize'!$G$19:$G$72</c:f>
              <c:numCache>
                <c:ptCount val="54"/>
                <c:pt idx="0">
                  <c:v>2437</c:v>
                </c:pt>
                <c:pt idx="1">
                  <c:v>40011</c:v>
                </c:pt>
                <c:pt idx="2">
                  <c:v>118059</c:v>
                </c:pt>
                <c:pt idx="3">
                  <c:v>254485</c:v>
                </c:pt>
                <c:pt idx="4">
                  <c:v>601119</c:v>
                </c:pt>
                <c:pt idx="5">
                  <c:v>847579</c:v>
                </c:pt>
                <c:pt idx="6">
                  <c:v>1208948</c:v>
                </c:pt>
                <c:pt idx="7">
                  <c:v>1459776</c:v>
                </c:pt>
                <c:pt idx="8">
                  <c:v>2334915</c:v>
                </c:pt>
                <c:pt idx="9">
                  <c:v>2632188</c:v>
                </c:pt>
                <c:pt idx="10">
                  <c:v>3239539</c:v>
                </c:pt>
                <c:pt idx="11">
                  <c:v>3888363</c:v>
                </c:pt>
                <c:pt idx="12">
                  <c:v>4597070</c:v>
                </c:pt>
                <c:pt idx="13">
                  <c:v>5720894</c:v>
                </c:pt>
                <c:pt idx="14">
                  <c:v>6244939</c:v>
                </c:pt>
                <c:pt idx="15">
                  <c:v>6651986</c:v>
                </c:pt>
                <c:pt idx="16">
                  <c:v>6933692</c:v>
                </c:pt>
                <c:pt idx="17">
                  <c:v>7470681</c:v>
                </c:pt>
                <c:pt idx="18">
                  <c:v>7513998</c:v>
                </c:pt>
                <c:pt idx="19">
                  <c:v>7593107</c:v>
                </c:pt>
                <c:pt idx="20">
                  <c:v>7642929</c:v>
                </c:pt>
                <c:pt idx="21">
                  <c:v>7831974</c:v>
                </c:pt>
                <c:pt idx="22">
                  <c:v>7839009</c:v>
                </c:pt>
                <c:pt idx="23">
                  <c:v>7860281</c:v>
                </c:pt>
                <c:pt idx="24">
                  <c:v>7877080</c:v>
                </c:pt>
                <c:pt idx="25">
                  <c:v>7890883</c:v>
                </c:pt>
                <c:pt idx="26">
                  <c:v>7973113</c:v>
                </c:pt>
                <c:pt idx="27">
                  <c:v>7982200</c:v>
                </c:pt>
                <c:pt idx="28">
                  <c:v>7989865</c:v>
                </c:pt>
                <c:pt idx="29">
                  <c:v>7997294</c:v>
                </c:pt>
                <c:pt idx="30">
                  <c:v>8033445</c:v>
                </c:pt>
                <c:pt idx="31">
                  <c:v>8037950</c:v>
                </c:pt>
                <c:pt idx="32">
                  <c:v>8043753</c:v>
                </c:pt>
                <c:pt idx="33">
                  <c:v>8047421</c:v>
                </c:pt>
                <c:pt idx="34">
                  <c:v>8068078</c:v>
                </c:pt>
                <c:pt idx="35">
                  <c:v>8068242</c:v>
                </c:pt>
                <c:pt idx="36">
                  <c:v>8071190</c:v>
                </c:pt>
                <c:pt idx="37">
                  <c:v>8076803</c:v>
                </c:pt>
                <c:pt idx="38">
                  <c:v>8083955</c:v>
                </c:pt>
                <c:pt idx="39">
                  <c:v>8116107</c:v>
                </c:pt>
                <c:pt idx="40">
                  <c:v>8122043</c:v>
                </c:pt>
                <c:pt idx="41">
                  <c:v>8132550</c:v>
                </c:pt>
                <c:pt idx="42">
                  <c:v>8141255</c:v>
                </c:pt>
                <c:pt idx="43">
                  <c:v>8170109</c:v>
                </c:pt>
                <c:pt idx="44">
                  <c:v>8179236</c:v>
                </c:pt>
                <c:pt idx="45">
                  <c:v>8190465</c:v>
                </c:pt>
                <c:pt idx="46">
                  <c:v>8200480</c:v>
                </c:pt>
                <c:pt idx="47">
                  <c:v>8245481</c:v>
                </c:pt>
                <c:pt idx="48">
                  <c:v>8250536</c:v>
                </c:pt>
                <c:pt idx="49">
                  <c:v>8267436</c:v>
                </c:pt>
                <c:pt idx="50">
                  <c:v>8267436</c:v>
                </c:pt>
                <c:pt idx="51">
                  <c:v>8267436</c:v>
                </c:pt>
                <c:pt idx="52">
                  <c:v>8267436</c:v>
                </c:pt>
                <c:pt idx="53">
                  <c:v>8267436</c:v>
                </c:pt>
              </c:numCache>
            </c:numRef>
          </c:val>
        </c:ser>
        <c:ser>
          <c:idx val="0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maize'!$B$19:$B$72</c:f>
              <c:numCach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'Mielies-Maize'!$K$19:$K$72</c:f>
              <c:numCache>
                <c:ptCount val="54"/>
                <c:pt idx="0">
                  <c:v>3807</c:v>
                </c:pt>
                <c:pt idx="1">
                  <c:v>57407</c:v>
                </c:pt>
                <c:pt idx="2">
                  <c:v>160278</c:v>
                </c:pt>
                <c:pt idx="3">
                  <c:v>369627</c:v>
                </c:pt>
                <c:pt idx="4">
                  <c:v>849392</c:v>
                </c:pt>
                <c:pt idx="5">
                  <c:v>1228281</c:v>
                </c:pt>
                <c:pt idx="6">
                  <c:v>1778307</c:v>
                </c:pt>
                <c:pt idx="7">
                  <c:v>2170943</c:v>
                </c:pt>
                <c:pt idx="8">
                  <c:v>3134389</c:v>
                </c:pt>
                <c:pt idx="9">
                  <c:v>3410047</c:v>
                </c:pt>
                <c:pt idx="10">
                  <c:v>3859398</c:v>
                </c:pt>
                <c:pt idx="11">
                  <c:v>4257707</c:v>
                </c:pt>
                <c:pt idx="12">
                  <c:v>4621429</c:v>
                </c:pt>
                <c:pt idx="13">
                  <c:v>5151382</c:v>
                </c:pt>
                <c:pt idx="14">
                  <c:v>5352001</c:v>
                </c:pt>
                <c:pt idx="15">
                  <c:v>5477573</c:v>
                </c:pt>
                <c:pt idx="16">
                  <c:v>5564985</c:v>
                </c:pt>
                <c:pt idx="17">
                  <c:v>5722138</c:v>
                </c:pt>
                <c:pt idx="18">
                  <c:v>5739684</c:v>
                </c:pt>
                <c:pt idx="19">
                  <c:v>5761361</c:v>
                </c:pt>
                <c:pt idx="20">
                  <c:v>5776547</c:v>
                </c:pt>
                <c:pt idx="21">
                  <c:v>5856849</c:v>
                </c:pt>
                <c:pt idx="22">
                  <c:v>5860640</c:v>
                </c:pt>
                <c:pt idx="23">
                  <c:v>5868372</c:v>
                </c:pt>
                <c:pt idx="24">
                  <c:v>5876584</c:v>
                </c:pt>
                <c:pt idx="25">
                  <c:v>5883893</c:v>
                </c:pt>
                <c:pt idx="26">
                  <c:v>5937884</c:v>
                </c:pt>
                <c:pt idx="27">
                  <c:v>5942264</c:v>
                </c:pt>
                <c:pt idx="28">
                  <c:v>5945587</c:v>
                </c:pt>
                <c:pt idx="29">
                  <c:v>5947827</c:v>
                </c:pt>
                <c:pt idx="30">
                  <c:v>5988957</c:v>
                </c:pt>
                <c:pt idx="31">
                  <c:v>5992711</c:v>
                </c:pt>
                <c:pt idx="32">
                  <c:v>5997192</c:v>
                </c:pt>
                <c:pt idx="33">
                  <c:v>6001282</c:v>
                </c:pt>
                <c:pt idx="34">
                  <c:v>6039746</c:v>
                </c:pt>
                <c:pt idx="35">
                  <c:v>6040052</c:v>
                </c:pt>
                <c:pt idx="36">
                  <c:v>6041843</c:v>
                </c:pt>
                <c:pt idx="37">
                  <c:v>6046058</c:v>
                </c:pt>
                <c:pt idx="38">
                  <c:v>6052719</c:v>
                </c:pt>
                <c:pt idx="39">
                  <c:v>6091558</c:v>
                </c:pt>
                <c:pt idx="40">
                  <c:v>6094797</c:v>
                </c:pt>
                <c:pt idx="41">
                  <c:v>6100479</c:v>
                </c:pt>
                <c:pt idx="42">
                  <c:v>6110630</c:v>
                </c:pt>
                <c:pt idx="43">
                  <c:v>6150724</c:v>
                </c:pt>
                <c:pt idx="44">
                  <c:v>6158600</c:v>
                </c:pt>
                <c:pt idx="45">
                  <c:v>6175282</c:v>
                </c:pt>
                <c:pt idx="46">
                  <c:v>6193730</c:v>
                </c:pt>
                <c:pt idx="47">
                  <c:v>6242694</c:v>
                </c:pt>
                <c:pt idx="48">
                  <c:v>6251066</c:v>
                </c:pt>
                <c:pt idx="49">
                  <c:v>6279494</c:v>
                </c:pt>
                <c:pt idx="50">
                  <c:v>6279494</c:v>
                </c:pt>
                <c:pt idx="51">
                  <c:v>6279494</c:v>
                </c:pt>
                <c:pt idx="52">
                  <c:v>6279494</c:v>
                </c:pt>
                <c:pt idx="53">
                  <c:v>6279494</c:v>
                </c:pt>
              </c:numCache>
            </c:numRef>
          </c:val>
        </c:ser>
        <c:ser>
          <c:idx val="1"/>
          <c:order val="2"/>
          <c:tx>
            <c:strRef>
              <c:f>'Mielies-Maize'!$L$3:$O$3</c:f>
              <c:strCache>
                <c:ptCount val="1"/>
                <c:pt idx="0">
                  <c:v>Totaal mielies/Total maize 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maize'!$B$19:$B$72</c:f>
              <c:numCach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'Mielies-Maize'!$O$19:$O$72</c:f>
              <c:numCache>
                <c:ptCount val="54"/>
                <c:pt idx="0">
                  <c:v>6244</c:v>
                </c:pt>
                <c:pt idx="1">
                  <c:v>97418</c:v>
                </c:pt>
                <c:pt idx="2">
                  <c:v>278337</c:v>
                </c:pt>
                <c:pt idx="3">
                  <c:v>624112</c:v>
                </c:pt>
                <c:pt idx="4">
                  <c:v>1450511</c:v>
                </c:pt>
                <c:pt idx="5">
                  <c:v>2075860</c:v>
                </c:pt>
                <c:pt idx="6">
                  <c:v>2987255</c:v>
                </c:pt>
                <c:pt idx="7">
                  <c:v>3630719</c:v>
                </c:pt>
                <c:pt idx="8">
                  <c:v>5469304</c:v>
                </c:pt>
                <c:pt idx="9">
                  <c:v>6042235</c:v>
                </c:pt>
                <c:pt idx="10">
                  <c:v>7098937</c:v>
                </c:pt>
                <c:pt idx="11">
                  <c:v>8146070</c:v>
                </c:pt>
                <c:pt idx="12">
                  <c:v>9218499</c:v>
                </c:pt>
                <c:pt idx="13">
                  <c:v>10872276</c:v>
                </c:pt>
                <c:pt idx="14">
                  <c:v>11596940</c:v>
                </c:pt>
                <c:pt idx="15">
                  <c:v>12129559</c:v>
                </c:pt>
                <c:pt idx="16">
                  <c:v>12498677</c:v>
                </c:pt>
                <c:pt idx="17">
                  <c:v>13192819</c:v>
                </c:pt>
                <c:pt idx="18">
                  <c:v>13253682</c:v>
                </c:pt>
                <c:pt idx="19">
                  <c:v>13354468</c:v>
                </c:pt>
                <c:pt idx="20">
                  <c:v>13419476</c:v>
                </c:pt>
                <c:pt idx="21">
                  <c:v>13688823</c:v>
                </c:pt>
                <c:pt idx="22">
                  <c:v>13699649</c:v>
                </c:pt>
                <c:pt idx="23">
                  <c:v>13728653</c:v>
                </c:pt>
                <c:pt idx="24">
                  <c:v>13753664</c:v>
                </c:pt>
                <c:pt idx="25">
                  <c:v>13774776</c:v>
                </c:pt>
                <c:pt idx="26">
                  <c:v>13910997</c:v>
                </c:pt>
                <c:pt idx="27">
                  <c:v>13924464</c:v>
                </c:pt>
                <c:pt idx="28">
                  <c:v>13935452</c:v>
                </c:pt>
                <c:pt idx="29">
                  <c:v>13945121</c:v>
                </c:pt>
                <c:pt idx="30">
                  <c:v>14022402</c:v>
                </c:pt>
                <c:pt idx="31">
                  <c:v>14030661</c:v>
                </c:pt>
                <c:pt idx="32">
                  <c:v>14040945</c:v>
                </c:pt>
                <c:pt idx="33">
                  <c:v>14048703</c:v>
                </c:pt>
                <c:pt idx="34">
                  <c:v>14107824</c:v>
                </c:pt>
                <c:pt idx="35">
                  <c:v>14108294</c:v>
                </c:pt>
                <c:pt idx="36">
                  <c:v>14113033</c:v>
                </c:pt>
                <c:pt idx="37">
                  <c:v>14122861</c:v>
                </c:pt>
                <c:pt idx="38">
                  <c:v>14136674</c:v>
                </c:pt>
                <c:pt idx="39">
                  <c:v>14207665</c:v>
                </c:pt>
                <c:pt idx="40">
                  <c:v>14216840</c:v>
                </c:pt>
                <c:pt idx="41">
                  <c:v>14233029</c:v>
                </c:pt>
                <c:pt idx="42">
                  <c:v>14251885</c:v>
                </c:pt>
                <c:pt idx="43">
                  <c:v>14320833</c:v>
                </c:pt>
                <c:pt idx="44">
                  <c:v>14337836</c:v>
                </c:pt>
                <c:pt idx="45">
                  <c:v>14365747</c:v>
                </c:pt>
                <c:pt idx="46">
                  <c:v>14394210</c:v>
                </c:pt>
                <c:pt idx="47">
                  <c:v>14488175</c:v>
                </c:pt>
                <c:pt idx="48">
                  <c:v>14501602</c:v>
                </c:pt>
                <c:pt idx="49">
                  <c:v>14546930</c:v>
                </c:pt>
                <c:pt idx="50">
                  <c:v>14546930</c:v>
                </c:pt>
                <c:pt idx="51">
                  <c:v>14546930</c:v>
                </c:pt>
                <c:pt idx="52">
                  <c:v>14546930</c:v>
                </c:pt>
                <c:pt idx="53">
                  <c:v>14546930</c:v>
                </c:pt>
              </c:numCache>
            </c:numRef>
          </c:val>
        </c:ser>
        <c:gapWidth val="12"/>
        <c:axId val="855253"/>
        <c:axId val="7697278"/>
      </c:barChart>
      <c:catAx>
        <c:axId val="855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697278"/>
        <c:crosses val="autoZero"/>
        <c:auto val="1"/>
        <c:lblOffset val="100"/>
        <c:tickLblSkip val="2"/>
        <c:noMultiLvlLbl val="0"/>
      </c:catAx>
      <c:valAx>
        <c:axId val="76972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55253"/>
        <c:crossesAt val="1"/>
        <c:crossBetween val="between"/>
        <c:dispUnits/>
        <c:majorUnit val="500000"/>
        <c:minorUnit val="4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1"/>
          <c:y val="0.92725"/>
          <c:w val="0.88725"/>
          <c:h val="0.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YTD maize deliveries for the 2020/21 season vs previous season's</a:t>
            </a:r>
          </a:p>
        </c:rich>
      </c:tx>
      <c:layout>
        <c:manualLayout>
          <c:xMode val="factor"/>
          <c:yMode val="factor"/>
          <c:x val="-0.02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425"/>
          <c:w val="0.93475"/>
          <c:h val="0.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'Summary -Total maize'!$B$79:$C$79</c:f>
              <c:strCache>
                <c:ptCount val="1"/>
                <c:pt idx="0">
                  <c:v>Lewerings vanaf Mei/Deliveries from May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maize'!$F$77:$P$77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2020/21*</c:v>
                </c:pt>
              </c:strCache>
            </c:strRef>
          </c:cat>
          <c:val>
            <c:numRef>
              <c:f>'Summary -Total maize'!$F$79:$P$79</c:f>
              <c:numCache>
                <c:ptCount val="9"/>
                <c:pt idx="0">
                  <c:v>10795502</c:v>
                </c:pt>
                <c:pt idx="1">
                  <c:v>10261322</c:v>
                </c:pt>
                <c:pt idx="2">
                  <c:v>12981523</c:v>
                </c:pt>
                <c:pt idx="3">
                  <c:v>8748364</c:v>
                </c:pt>
                <c:pt idx="4">
                  <c:v>6431368</c:v>
                </c:pt>
                <c:pt idx="5">
                  <c:v>15213603</c:v>
                </c:pt>
                <c:pt idx="6">
                  <c:v>11588745</c:v>
                </c:pt>
                <c:pt idx="7">
                  <c:v>10320740</c:v>
                </c:pt>
                <c:pt idx="8">
                  <c:v>14113033</c:v>
                </c:pt>
              </c:numCache>
            </c:numRef>
          </c:val>
        </c:ser>
        <c:ser>
          <c:idx val="2"/>
          <c:order val="1"/>
          <c:tx>
            <c:strRef>
              <c:f>'Summary -Total maize'!$B$80:$C$80</c:f>
              <c:strCache>
                <c:ptCount val="1"/>
                <c:pt idx="0">
                  <c:v>Totale lewerings/Total deliveries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maize'!$F$77:$P$77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2020/21*</c:v>
                </c:pt>
              </c:strCache>
            </c:strRef>
          </c:cat>
          <c:val>
            <c:numRef>
              <c:f>'Summary -Total maize'!$F$80:$P$80</c:f>
              <c:numCache>
                <c:ptCount val="9"/>
                <c:pt idx="0">
                  <c:v>11023461</c:v>
                </c:pt>
                <c:pt idx="1">
                  <c:v>10577510</c:v>
                </c:pt>
                <c:pt idx="2">
                  <c:v>13161971</c:v>
                </c:pt>
                <c:pt idx="3">
                  <c:v>9290320</c:v>
                </c:pt>
                <c:pt idx="4">
                  <c:v>6855067</c:v>
                </c:pt>
                <c:pt idx="5">
                  <c:v>15605394</c:v>
                </c:pt>
                <c:pt idx="6">
                  <c:v>11718444</c:v>
                </c:pt>
                <c:pt idx="7">
                  <c:v>10587683</c:v>
                </c:pt>
                <c:pt idx="8">
                  <c:v>14460765</c:v>
                </c:pt>
              </c:numCache>
            </c:numRef>
          </c:val>
        </c:ser>
        <c:overlap val="-25"/>
        <c:gapWidth val="75"/>
        <c:axId val="2166639"/>
        <c:axId val="19499752"/>
      </c:barChart>
      <c:lineChart>
        <c:grouping val="standard"/>
        <c:varyColors val="0"/>
        <c:ser>
          <c:idx val="3"/>
          <c:order val="2"/>
          <c:tx>
            <c:strRef>
              <c:f>'Summary -Total maize'!$B$82:$C$82</c:f>
              <c:strCache>
                <c:ptCount val="1"/>
                <c:pt idx="0">
                  <c:v>% Gelewer van Oesskatting/% delivered crop estimate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-Total maize'!$F$77:$P$77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2020/21*</c:v>
                </c:pt>
              </c:strCache>
            </c:strRef>
          </c:cat>
          <c:val>
            <c:numRef>
              <c:f>'Summary -Total maize'!$F$82:$P$82</c:f>
              <c:numCache>
                <c:ptCount val="9"/>
                <c:pt idx="0">
                  <c:v>0.9432138503146368</c:v>
                </c:pt>
                <c:pt idx="1">
                  <c:v>0.9317102608002316</c:v>
                </c:pt>
                <c:pt idx="2">
                  <c:v>0.9586042568910667</c:v>
                </c:pt>
                <c:pt idx="3">
                  <c:v>0.9797362923373341</c:v>
                </c:pt>
                <c:pt idx="4">
                  <c:v>0.920046400486177</c:v>
                </c:pt>
                <c:pt idx="5">
                  <c:v>0.9609824496582302</c:v>
                </c:pt>
                <c:pt idx="6">
                  <c:v>0.9798030100334448</c:v>
                </c:pt>
                <c:pt idx="7">
                  <c:v>0.9835283790060381</c:v>
                </c:pt>
                <c:pt idx="8">
                  <c:v>0.9811771195629311</c:v>
                </c:pt>
              </c:numCache>
            </c:numRef>
          </c:val>
          <c:smooth val="0"/>
        </c:ser>
        <c:axId val="41280041"/>
        <c:axId val="35976050"/>
      </c:lineChart>
      <c:catAx>
        <c:axId val="2166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99752"/>
        <c:crosses val="autoZero"/>
        <c:auto val="1"/>
        <c:lblOffset val="100"/>
        <c:tickLblSkip val="1"/>
        <c:noMultiLvlLbl val="0"/>
      </c:catAx>
      <c:valAx>
        <c:axId val="19499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166639"/>
        <c:crossesAt val="1"/>
        <c:crossBetween val="between"/>
        <c:dispUnits/>
      </c:valAx>
      <c:catAx>
        <c:axId val="41280041"/>
        <c:scaling>
          <c:orientation val="minMax"/>
        </c:scaling>
        <c:axPos val="b"/>
        <c:delete val="1"/>
        <c:majorTickMark val="out"/>
        <c:minorTickMark val="none"/>
        <c:tickLblPos val="nextTo"/>
        <c:crossAx val="35976050"/>
        <c:crosses val="autoZero"/>
        <c:auto val="1"/>
        <c:lblOffset val="100"/>
        <c:tickLblSkip val="1"/>
        <c:noMultiLvlLbl val="0"/>
      </c:catAx>
      <c:valAx>
        <c:axId val="35976050"/>
        <c:scaling>
          <c:orientation val="minMax"/>
        </c:scaling>
        <c:axPos val="l"/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80041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1"/>
          <c:y val="0.937"/>
          <c:w val="0.971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Chart 1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zoomScale="87" zoomScaleNormal="87" zoomScalePageLayoutView="0" workbookViewId="0" topLeftCell="A1">
      <selection activeCell="E18" sqref="E18"/>
    </sheetView>
  </sheetViews>
  <sheetFormatPr defaultColWidth="9.140625" defaultRowHeight="12.75"/>
  <cols>
    <col min="2" max="2" width="50.421875" style="0" customWidth="1"/>
    <col min="3" max="5" width="12.8515625" style="0" bestFit="1" customWidth="1"/>
    <col min="6" max="6" width="54.8515625" style="0" customWidth="1"/>
    <col min="7" max="9" width="9.28125" style="0" customWidth="1"/>
  </cols>
  <sheetData>
    <row r="1" spans="1:7" ht="13.5" thickBot="1">
      <c r="A1" s="13"/>
      <c r="B1" s="13"/>
      <c r="C1" s="13"/>
      <c r="D1" s="13"/>
      <c r="E1" s="13"/>
      <c r="F1" s="13"/>
      <c r="G1" s="13"/>
    </row>
    <row r="2" spans="1:7" ht="22.5">
      <c r="A2" s="13"/>
      <c r="B2" s="520" t="s">
        <v>65</v>
      </c>
      <c r="C2" s="521"/>
      <c r="D2" s="521"/>
      <c r="E2" s="521"/>
      <c r="F2" s="522"/>
      <c r="G2" s="304"/>
    </row>
    <row r="3" spans="1:7" ht="20.25" thickBot="1">
      <c r="A3" s="13"/>
      <c r="B3" s="523" t="s">
        <v>175</v>
      </c>
      <c r="C3" s="524"/>
      <c r="D3" s="524"/>
      <c r="E3" s="524"/>
      <c r="F3" s="525"/>
      <c r="G3" s="13"/>
    </row>
    <row r="4" spans="1:7" ht="15">
      <c r="A4" s="13"/>
      <c r="B4" s="23"/>
      <c r="C4" s="29" t="s">
        <v>11</v>
      </c>
      <c r="D4" s="30" t="s">
        <v>12</v>
      </c>
      <c r="E4" s="29" t="s">
        <v>13</v>
      </c>
      <c r="F4" s="24"/>
      <c r="G4" s="13"/>
    </row>
    <row r="5" spans="1:7" ht="14.25">
      <c r="A5" s="13"/>
      <c r="B5" s="434" t="s">
        <v>124</v>
      </c>
      <c r="C5" s="435">
        <f>'Summary -White maize'!$O$16</f>
        <v>131241</v>
      </c>
      <c r="D5" s="436">
        <f>'Summary -Yellow maize'!$P$18</f>
        <v>216491</v>
      </c>
      <c r="E5" s="435">
        <f>C5+D5</f>
        <v>347732</v>
      </c>
      <c r="F5" s="32" t="s">
        <v>96</v>
      </c>
      <c r="G5" s="13"/>
    </row>
    <row r="6" spans="1:7" ht="14.25">
      <c r="A6" s="13"/>
      <c r="B6" s="437" t="s">
        <v>67</v>
      </c>
      <c r="C6" s="435">
        <f>'Mielies-Maize'!G70</f>
        <v>8267436</v>
      </c>
      <c r="D6" s="435">
        <f>'Mielies-Maize'!K70</f>
        <v>6279494</v>
      </c>
      <c r="E6" s="435">
        <f>C6+D6</f>
        <v>14546930</v>
      </c>
      <c r="F6" s="33" t="s">
        <v>68</v>
      </c>
      <c r="G6" s="13"/>
    </row>
    <row r="7" spans="1:7" ht="15.75" thickBot="1">
      <c r="A7" s="13"/>
      <c r="B7" s="438" t="s">
        <v>36</v>
      </c>
      <c r="C7" s="273">
        <f>C5+C6</f>
        <v>8398677</v>
      </c>
      <c r="D7" s="273">
        <f>D5+D6</f>
        <v>6495985</v>
      </c>
      <c r="E7" s="273">
        <f>E5+E6</f>
        <v>14894662</v>
      </c>
      <c r="F7" s="31" t="s">
        <v>37</v>
      </c>
      <c r="G7" s="13"/>
    </row>
    <row r="8" spans="1:8" ht="15.75" thickTop="1">
      <c r="A8" s="13"/>
      <c r="B8" s="439" t="s">
        <v>171</v>
      </c>
      <c r="C8" s="185">
        <v>8666310</v>
      </c>
      <c r="D8" s="185">
        <v>6741870</v>
      </c>
      <c r="E8" s="185">
        <f>C8+D8</f>
        <v>15408180</v>
      </c>
      <c r="F8" s="28" t="s">
        <v>172</v>
      </c>
      <c r="G8" s="303"/>
      <c r="H8" s="303"/>
    </row>
    <row r="9" spans="1:8" ht="28.5">
      <c r="A9" s="13"/>
      <c r="B9" s="440" t="s">
        <v>38</v>
      </c>
      <c r="C9" s="185">
        <v>270000</v>
      </c>
      <c r="D9" s="185">
        <v>400000</v>
      </c>
      <c r="E9" s="185">
        <f>C9+D9</f>
        <v>670000</v>
      </c>
      <c r="F9" s="137" t="s">
        <v>123</v>
      </c>
      <c r="G9" s="13"/>
      <c r="H9" s="13"/>
    </row>
    <row r="10" spans="1:7" ht="15" hidden="1">
      <c r="A10" s="13"/>
      <c r="B10" s="441" t="s">
        <v>85</v>
      </c>
      <c r="C10" s="186"/>
      <c r="D10" s="186"/>
      <c r="E10" s="186">
        <f>C10+D10</f>
        <v>0</v>
      </c>
      <c r="F10" s="25" t="s">
        <v>86</v>
      </c>
      <c r="G10" s="21"/>
    </row>
    <row r="11" spans="1:7" ht="30">
      <c r="A11" s="13"/>
      <c r="B11" s="187" t="s">
        <v>87</v>
      </c>
      <c r="C11" s="188">
        <f>C8-C9-C10</f>
        <v>8396310</v>
      </c>
      <c r="D11" s="188">
        <f>D8-D9-D10</f>
        <v>6341870</v>
      </c>
      <c r="E11" s="188">
        <f>E8-E9-E10</f>
        <v>14738180</v>
      </c>
      <c r="F11" s="139" t="s">
        <v>88</v>
      </c>
      <c r="G11" s="21"/>
    </row>
    <row r="12" spans="1:7" ht="30">
      <c r="A12" s="13"/>
      <c r="B12" s="269" t="s">
        <v>92</v>
      </c>
      <c r="C12" s="450">
        <f>C7/C11</f>
        <v>1.000281909553125</v>
      </c>
      <c r="D12" s="433">
        <f>D7/D11</f>
        <v>1.0243011919197333</v>
      </c>
      <c r="E12" s="432">
        <f>E7/E11</f>
        <v>1.010617457515107</v>
      </c>
      <c r="F12" s="270" t="s">
        <v>93</v>
      </c>
      <c r="G12" s="13"/>
    </row>
    <row r="13" spans="1:7" ht="14.25">
      <c r="A13" s="13"/>
      <c r="B13" s="442" t="s">
        <v>16</v>
      </c>
      <c r="C13" s="435">
        <f>C11-C7</f>
        <v>-2367</v>
      </c>
      <c r="D13" s="435">
        <f>D11-D7</f>
        <v>-154115</v>
      </c>
      <c r="E13" s="435">
        <f>E11-E7</f>
        <v>-156482</v>
      </c>
      <c r="F13" s="24" t="s">
        <v>17</v>
      </c>
      <c r="G13" s="13"/>
    </row>
    <row r="14" spans="1:7" ht="14.25">
      <c r="A14" s="13"/>
      <c r="B14" s="442" t="s">
        <v>39</v>
      </c>
      <c r="C14" s="443">
        <f>50-'Mielies-Maize'!A68</f>
        <v>0</v>
      </c>
      <c r="D14" s="443">
        <f>50-'Mielies-Maize'!A68</f>
        <v>0</v>
      </c>
      <c r="E14" s="443">
        <f>50-'Mielies-Maize'!A68</f>
        <v>0</v>
      </c>
      <c r="F14" s="24" t="s">
        <v>40</v>
      </c>
      <c r="G14" s="13"/>
    </row>
    <row r="15" spans="1:7" ht="14.25" hidden="1">
      <c r="A15" s="13"/>
      <c r="B15" s="442" t="s">
        <v>23</v>
      </c>
      <c r="C15" s="443"/>
      <c r="D15" s="444">
        <f>'Mielies-Maize'!B65-'Mielies-Maize'!B65</f>
        <v>0</v>
      </c>
      <c r="E15" s="443">
        <f>'Mielies-Maize'!B65-'Mielies-Maize'!B65</f>
        <v>0</v>
      </c>
      <c r="F15" s="26"/>
      <c r="G15" s="13"/>
    </row>
    <row r="16" spans="1:7" ht="14.25" hidden="1">
      <c r="A16" s="13"/>
      <c r="B16" s="442" t="s">
        <v>24</v>
      </c>
      <c r="C16" s="443"/>
      <c r="D16" s="444">
        <f>'Mielies-Maize'!B66-'Mielies-Maize'!B66</f>
        <v>0</v>
      </c>
      <c r="E16" s="443">
        <f>'Mielies-Maize'!B66-'Mielies-Maize'!B66</f>
        <v>0</v>
      </c>
      <c r="F16" s="26"/>
      <c r="G16" s="13"/>
    </row>
    <row r="17" spans="1:7" ht="14.25" hidden="1">
      <c r="A17" s="13"/>
      <c r="B17" s="442" t="s">
        <v>25</v>
      </c>
      <c r="C17" s="443"/>
      <c r="D17" s="444">
        <f>'Mielies-Maize'!B67-'Mielies-Maize'!B67</f>
        <v>0</v>
      </c>
      <c r="E17" s="443">
        <f>'Mielies-Maize'!B67-'Mielies-Maize'!B67</f>
        <v>0</v>
      </c>
      <c r="F17" s="26"/>
      <c r="G17" s="13"/>
    </row>
    <row r="18" spans="1:7" ht="15">
      <c r="A18" s="13"/>
      <c r="B18" s="271" t="s">
        <v>26</v>
      </c>
      <c r="C18" s="482" t="e">
        <f>C13/C14</f>
        <v>#DIV/0!</v>
      </c>
      <c r="D18" s="371" t="e">
        <f>D13/D14</f>
        <v>#DIV/0!</v>
      </c>
      <c r="E18" s="371" t="e">
        <f>E13/E14</f>
        <v>#DIV/0!</v>
      </c>
      <c r="F18" s="272" t="s">
        <v>27</v>
      </c>
      <c r="G18" s="13"/>
    </row>
    <row r="19" spans="1:7" ht="15">
      <c r="A19" s="13"/>
      <c r="B19" s="517" t="s">
        <v>23</v>
      </c>
      <c r="C19" s="518"/>
      <c r="D19" s="518"/>
      <c r="E19" s="518"/>
      <c r="F19" s="519"/>
      <c r="G19" s="13"/>
    </row>
    <row r="20" spans="1:7" ht="15">
      <c r="A20" s="13"/>
      <c r="B20" s="526" t="s">
        <v>121</v>
      </c>
      <c r="C20" s="527"/>
      <c r="D20" s="527"/>
      <c r="E20" s="527"/>
      <c r="F20" s="528"/>
      <c r="G20" s="13"/>
    </row>
    <row r="21" spans="1:7" ht="15">
      <c r="A21" s="13"/>
      <c r="B21" s="526" t="s">
        <v>43</v>
      </c>
      <c r="C21" s="527"/>
      <c r="D21" s="527"/>
      <c r="E21" s="527"/>
      <c r="F21" s="528"/>
      <c r="G21" s="13"/>
    </row>
    <row r="22" spans="1:7" ht="15">
      <c r="A22" s="13"/>
      <c r="B22" s="526" t="s">
        <v>42</v>
      </c>
      <c r="C22" s="527"/>
      <c r="D22" s="527"/>
      <c r="E22" s="527"/>
      <c r="F22" s="528"/>
      <c r="G22" s="13"/>
    </row>
    <row r="23" spans="1:7" ht="15">
      <c r="A23" s="13"/>
      <c r="B23" s="529" t="s">
        <v>45</v>
      </c>
      <c r="C23" s="530"/>
      <c r="D23" s="530"/>
      <c r="E23" s="530"/>
      <c r="F23" s="531"/>
      <c r="G23" s="13"/>
    </row>
    <row r="24" spans="1:7" ht="15.75" thickBot="1">
      <c r="A24" s="13"/>
      <c r="B24" s="514" t="s">
        <v>41</v>
      </c>
      <c r="C24" s="515"/>
      <c r="D24" s="515"/>
      <c r="E24" s="515"/>
      <c r="F24" s="516"/>
      <c r="G24" s="13"/>
    </row>
    <row r="25" spans="1:7" ht="12.75">
      <c r="A25" s="13"/>
      <c r="B25" s="22"/>
      <c r="C25" s="13"/>
      <c r="D25" s="13"/>
      <c r="E25" s="13"/>
      <c r="F25" s="13"/>
      <c r="G25" s="13"/>
    </row>
    <row r="26" ht="12.75">
      <c r="E26" s="10"/>
    </row>
    <row r="27" spans="3:4" ht="12.75">
      <c r="C27" s="10"/>
      <c r="D27" s="10"/>
    </row>
    <row r="28" spans="3:6" ht="12.75">
      <c r="C28" s="189"/>
      <c r="D28" s="189"/>
      <c r="E28" s="267"/>
      <c r="F28" s="268"/>
    </row>
    <row r="29" spans="3:6" ht="12.75">
      <c r="C29" s="189"/>
      <c r="D29" s="189"/>
      <c r="E29" s="267"/>
      <c r="F29" s="268"/>
    </row>
    <row r="31" spans="3:4" ht="12.75">
      <c r="C31" s="10"/>
      <c r="D31" s="10"/>
    </row>
    <row r="32" ht="12.75">
      <c r="C32" s="10"/>
    </row>
  </sheetData>
  <sheetProtection/>
  <mergeCells count="8">
    <mergeCell ref="B24:F24"/>
    <mergeCell ref="B19:F19"/>
    <mergeCell ref="B2:F2"/>
    <mergeCell ref="B3:F3"/>
    <mergeCell ref="B20:F20"/>
    <mergeCell ref="B21:F21"/>
    <mergeCell ref="B22:F22"/>
    <mergeCell ref="B23:F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zoomScale="80" zoomScaleNormal="80" zoomScalePageLayoutView="0" workbookViewId="0" topLeftCell="A1">
      <pane xSplit="3" ySplit="5" topLeftCell="D5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68" sqref="C68"/>
    </sheetView>
  </sheetViews>
  <sheetFormatPr defaultColWidth="8.8515625" defaultRowHeight="12.75"/>
  <cols>
    <col min="1" max="1" width="9.140625" style="2" customWidth="1"/>
    <col min="2" max="2" width="26.57421875" style="2" customWidth="1"/>
    <col min="3" max="3" width="16.8515625" style="385" bestFit="1" customWidth="1"/>
    <col min="4" max="4" width="13.28125" style="170" customWidth="1"/>
    <col min="5" max="5" width="12.00390625" style="2" customWidth="1"/>
    <col min="6" max="6" width="13.28125" style="9" customWidth="1"/>
    <col min="7" max="7" width="12.28125" style="7" customWidth="1"/>
    <col min="8" max="8" width="13.28125" style="166" customWidth="1"/>
    <col min="9" max="9" width="12.00390625" style="170" customWidth="1"/>
    <col min="10" max="10" width="12.7109375" style="9" customWidth="1"/>
    <col min="11" max="11" width="12.28125" style="7" customWidth="1"/>
    <col min="12" max="12" width="13.28125" style="170" customWidth="1"/>
    <col min="13" max="13" width="12.421875" style="170" customWidth="1"/>
    <col min="14" max="14" width="12.140625" style="9" customWidth="1"/>
    <col min="15" max="15" width="14.00390625" style="7" customWidth="1"/>
    <col min="16" max="16" width="30.00390625" style="2" customWidth="1"/>
    <col min="17" max="17" width="30.421875" style="2" customWidth="1"/>
    <col min="18" max="18" width="12.28125" style="2" bestFit="1" customWidth="1"/>
    <col min="19" max="19" width="12.140625" style="2" bestFit="1" customWidth="1"/>
    <col min="20" max="20" width="13.140625" style="2" bestFit="1" customWidth="1"/>
    <col min="21" max="21" width="36.00390625" style="2" customWidth="1"/>
    <col min="22" max="16384" width="8.8515625" style="2" customWidth="1"/>
  </cols>
  <sheetData>
    <row r="1" spans="1:15" ht="14.25">
      <c r="A1" s="47"/>
      <c r="B1" s="47"/>
      <c r="C1" s="380"/>
      <c r="D1" s="167"/>
      <c r="E1" s="47"/>
      <c r="F1" s="48"/>
      <c r="G1" s="49"/>
      <c r="H1" s="161"/>
      <c r="I1" s="167"/>
      <c r="J1" s="48"/>
      <c r="K1" s="49"/>
      <c r="L1" s="167"/>
      <c r="M1" s="167"/>
      <c r="N1" s="48"/>
      <c r="O1" s="49"/>
    </row>
    <row r="2" spans="1:15" ht="24" customHeight="1" thickBot="1">
      <c r="A2" s="47"/>
      <c r="B2" s="533" t="s">
        <v>66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</row>
    <row r="3" spans="1:15" s="3" customFormat="1" ht="19.5" thickBot="1" thickTop="1">
      <c r="A3" s="50"/>
      <c r="B3" s="51"/>
      <c r="C3" s="381"/>
      <c r="D3" s="532" t="s">
        <v>7</v>
      </c>
      <c r="E3" s="532"/>
      <c r="F3" s="532"/>
      <c r="G3" s="532"/>
      <c r="H3" s="532" t="s">
        <v>8</v>
      </c>
      <c r="I3" s="532"/>
      <c r="J3" s="532"/>
      <c r="K3" s="532"/>
      <c r="L3" s="532" t="s">
        <v>9</v>
      </c>
      <c r="M3" s="532"/>
      <c r="N3" s="532"/>
      <c r="O3" s="532"/>
    </row>
    <row r="4" spans="1:15" s="1" customFormat="1" ht="30.75" thickBot="1">
      <c r="A4" s="50"/>
      <c r="B4" s="52" t="s">
        <v>19</v>
      </c>
      <c r="C4" s="382" t="s">
        <v>0</v>
      </c>
      <c r="D4" s="168" t="s">
        <v>2</v>
      </c>
      <c r="E4" s="52" t="s">
        <v>1</v>
      </c>
      <c r="F4" s="52" t="s">
        <v>14</v>
      </c>
      <c r="G4" s="52" t="s">
        <v>3</v>
      </c>
      <c r="H4" s="162" t="s">
        <v>2</v>
      </c>
      <c r="I4" s="168" t="s">
        <v>1</v>
      </c>
      <c r="J4" s="52" t="s">
        <v>14</v>
      </c>
      <c r="K4" s="52" t="s">
        <v>3</v>
      </c>
      <c r="L4" s="168" t="s">
        <v>2</v>
      </c>
      <c r="M4" s="168" t="s">
        <v>1</v>
      </c>
      <c r="N4" s="52" t="s">
        <v>14</v>
      </c>
      <c r="O4" s="52" t="s">
        <v>3</v>
      </c>
    </row>
    <row r="5" spans="1:15" s="1" customFormat="1" ht="30.75" thickBot="1">
      <c r="A5" s="50"/>
      <c r="B5" s="52" t="s">
        <v>18</v>
      </c>
      <c r="C5" s="382" t="s">
        <v>4</v>
      </c>
      <c r="D5" s="168" t="s">
        <v>5</v>
      </c>
      <c r="E5" s="52" t="s">
        <v>6</v>
      </c>
      <c r="F5" s="52" t="s">
        <v>15</v>
      </c>
      <c r="G5" s="52" t="s">
        <v>10</v>
      </c>
      <c r="H5" s="162" t="s">
        <v>5</v>
      </c>
      <c r="I5" s="168" t="s">
        <v>6</v>
      </c>
      <c r="J5" s="52" t="s">
        <v>15</v>
      </c>
      <c r="K5" s="52" t="s">
        <v>10</v>
      </c>
      <c r="L5" s="168" t="s">
        <v>5</v>
      </c>
      <c r="M5" s="168" t="s">
        <v>6</v>
      </c>
      <c r="N5" s="52" t="s">
        <v>15</v>
      </c>
      <c r="O5" s="52" t="s">
        <v>10</v>
      </c>
    </row>
    <row r="6" spans="1:16" s="1" customFormat="1" ht="15">
      <c r="A6" s="47">
        <v>1</v>
      </c>
      <c r="B6" s="176">
        <v>45</v>
      </c>
      <c r="C6" s="383">
        <v>43896</v>
      </c>
      <c r="D6" s="370">
        <v>7415</v>
      </c>
      <c r="E6" s="370">
        <v>-71</v>
      </c>
      <c r="F6" s="190">
        <f>D6+E6</f>
        <v>7344</v>
      </c>
      <c r="G6" s="63">
        <f>F6</f>
        <v>7344</v>
      </c>
      <c r="H6" s="264">
        <v>6335</v>
      </c>
      <c r="I6" s="207">
        <v>-570</v>
      </c>
      <c r="J6" s="190">
        <f>H6+I6</f>
        <v>5765</v>
      </c>
      <c r="K6" s="63">
        <f>J6</f>
        <v>5765</v>
      </c>
      <c r="L6" s="192">
        <f>D6+H6</f>
        <v>13750</v>
      </c>
      <c r="M6" s="191">
        <f>E6+I6</f>
        <v>-641</v>
      </c>
      <c r="N6" s="190">
        <f>L6+M6</f>
        <v>13109</v>
      </c>
      <c r="O6" s="63">
        <f>N6</f>
        <v>13109</v>
      </c>
      <c r="P6" s="2"/>
    </row>
    <row r="7" spans="1:16" s="1" customFormat="1" ht="15">
      <c r="A7" s="47">
        <v>2</v>
      </c>
      <c r="B7" s="53">
        <f aca="true" t="shared" si="0" ref="B7:B13">B6+1</f>
        <v>46</v>
      </c>
      <c r="C7" s="383">
        <v>43903</v>
      </c>
      <c r="D7" s="370">
        <v>4120</v>
      </c>
      <c r="E7" s="370">
        <v>0</v>
      </c>
      <c r="F7" s="190">
        <f aca="true" t="shared" si="1" ref="F7:F13">D7+E7</f>
        <v>4120</v>
      </c>
      <c r="G7" s="63">
        <f>G6+F7</f>
        <v>11464</v>
      </c>
      <c r="H7" s="264">
        <v>7010</v>
      </c>
      <c r="I7" s="207">
        <v>0</v>
      </c>
      <c r="J7" s="190">
        <f aca="true" t="shared" si="2" ref="J7:J14">H7+I7</f>
        <v>7010</v>
      </c>
      <c r="K7" s="63">
        <f>K6+J7</f>
        <v>12775</v>
      </c>
      <c r="L7" s="265">
        <f aca="true" t="shared" si="3" ref="L7:L14">D7+H7</f>
        <v>11130</v>
      </c>
      <c r="M7" s="207">
        <f aca="true" t="shared" si="4" ref="M7:M14">E7+I7</f>
        <v>0</v>
      </c>
      <c r="N7" s="190">
        <f aca="true" t="shared" si="5" ref="N7:N14">L7+M7</f>
        <v>11130</v>
      </c>
      <c r="O7" s="63">
        <f>O6+N7</f>
        <v>24239</v>
      </c>
      <c r="P7" s="2"/>
    </row>
    <row r="8" spans="1:16" s="1" customFormat="1" ht="15">
      <c r="A8" s="47">
        <v>3</v>
      </c>
      <c r="B8" s="53">
        <f t="shared" si="0"/>
        <v>47</v>
      </c>
      <c r="C8" s="383">
        <v>43910</v>
      </c>
      <c r="D8" s="370">
        <v>6583</v>
      </c>
      <c r="E8" s="370">
        <v>915</v>
      </c>
      <c r="F8" s="190">
        <f t="shared" si="1"/>
        <v>7498</v>
      </c>
      <c r="G8" s="63">
        <f aca="true" t="shared" si="6" ref="G8:G14">G7+F8</f>
        <v>18962</v>
      </c>
      <c r="H8" s="264">
        <v>7806</v>
      </c>
      <c r="I8" s="207">
        <v>462</v>
      </c>
      <c r="J8" s="190">
        <f t="shared" si="2"/>
        <v>8268</v>
      </c>
      <c r="K8" s="63">
        <f aca="true" t="shared" si="7" ref="K8:K14">K7+J8</f>
        <v>21043</v>
      </c>
      <c r="L8" s="265">
        <f t="shared" si="3"/>
        <v>14389</v>
      </c>
      <c r="M8" s="207">
        <f t="shared" si="4"/>
        <v>1377</v>
      </c>
      <c r="N8" s="190">
        <f t="shared" si="5"/>
        <v>15766</v>
      </c>
      <c r="O8" s="63">
        <f aca="true" t="shared" si="8" ref="O8:O13">O7+N8</f>
        <v>40005</v>
      </c>
      <c r="P8" s="2"/>
    </row>
    <row r="9" spans="1:16" s="1" customFormat="1" ht="15">
      <c r="A9" s="47">
        <v>4</v>
      </c>
      <c r="B9" s="177">
        <f t="shared" si="0"/>
        <v>48</v>
      </c>
      <c r="C9" s="383">
        <v>43917</v>
      </c>
      <c r="D9" s="370">
        <v>7532</v>
      </c>
      <c r="E9" s="370">
        <v>21597</v>
      </c>
      <c r="F9" s="190">
        <f t="shared" si="1"/>
        <v>29129</v>
      </c>
      <c r="G9" s="63">
        <f t="shared" si="6"/>
        <v>48091</v>
      </c>
      <c r="H9" s="264">
        <v>13972</v>
      </c>
      <c r="I9" s="207">
        <v>47161</v>
      </c>
      <c r="J9" s="190">
        <f t="shared" si="2"/>
        <v>61133</v>
      </c>
      <c r="K9" s="63">
        <f t="shared" si="7"/>
        <v>82176</v>
      </c>
      <c r="L9" s="265">
        <f t="shared" si="3"/>
        <v>21504</v>
      </c>
      <c r="M9" s="207">
        <f t="shared" si="4"/>
        <v>68758</v>
      </c>
      <c r="N9" s="190">
        <f t="shared" si="5"/>
        <v>90262</v>
      </c>
      <c r="O9" s="63">
        <f t="shared" si="8"/>
        <v>130267</v>
      </c>
      <c r="P9" s="2"/>
    </row>
    <row r="10" spans="1:15" ht="15">
      <c r="A10" s="47">
        <v>5</v>
      </c>
      <c r="B10" s="177">
        <f t="shared" si="0"/>
        <v>49</v>
      </c>
      <c r="C10" s="383">
        <v>43924</v>
      </c>
      <c r="D10" s="370">
        <v>3961</v>
      </c>
      <c r="E10" s="370">
        <v>-902</v>
      </c>
      <c r="F10" s="190">
        <f t="shared" si="1"/>
        <v>3059</v>
      </c>
      <c r="G10" s="63">
        <f t="shared" si="6"/>
        <v>51150</v>
      </c>
      <c r="H10" s="264">
        <v>8919</v>
      </c>
      <c r="I10" s="207">
        <v>-3283</v>
      </c>
      <c r="J10" s="190">
        <f t="shared" si="2"/>
        <v>5636</v>
      </c>
      <c r="K10" s="63">
        <f t="shared" si="7"/>
        <v>87812</v>
      </c>
      <c r="L10" s="265">
        <f>D10+H10</f>
        <v>12880</v>
      </c>
      <c r="M10" s="207">
        <f t="shared" si="4"/>
        <v>-4185</v>
      </c>
      <c r="N10" s="190">
        <f t="shared" si="5"/>
        <v>8695</v>
      </c>
      <c r="O10" s="63">
        <f t="shared" si="8"/>
        <v>138962</v>
      </c>
    </row>
    <row r="11" spans="1:15" ht="15">
      <c r="A11" s="47">
        <v>6</v>
      </c>
      <c r="B11" s="53">
        <f t="shared" si="0"/>
        <v>50</v>
      </c>
      <c r="C11" s="383"/>
      <c r="D11" s="370">
        <v>5960</v>
      </c>
      <c r="E11" s="370">
        <v>34</v>
      </c>
      <c r="F11" s="190">
        <f t="shared" si="1"/>
        <v>5994</v>
      </c>
      <c r="G11" s="63">
        <f t="shared" si="6"/>
        <v>57144</v>
      </c>
      <c r="H11" s="264">
        <v>18249</v>
      </c>
      <c r="I11" s="207">
        <v>-147</v>
      </c>
      <c r="J11" s="190">
        <f t="shared" si="2"/>
        <v>18102</v>
      </c>
      <c r="K11" s="63">
        <f t="shared" si="7"/>
        <v>105914</v>
      </c>
      <c r="L11" s="265">
        <f t="shared" si="3"/>
        <v>24209</v>
      </c>
      <c r="M11" s="207">
        <f t="shared" si="4"/>
        <v>-113</v>
      </c>
      <c r="N11" s="190">
        <f t="shared" si="5"/>
        <v>24096</v>
      </c>
      <c r="O11" s="63">
        <f t="shared" si="8"/>
        <v>163058</v>
      </c>
    </row>
    <row r="12" spans="1:15" ht="15">
      <c r="A12" s="47">
        <v>7</v>
      </c>
      <c r="B12" s="53">
        <f t="shared" si="0"/>
        <v>51</v>
      </c>
      <c r="C12" s="383"/>
      <c r="D12" s="370">
        <v>10341</v>
      </c>
      <c r="E12" s="370">
        <v>0</v>
      </c>
      <c r="F12" s="190">
        <f t="shared" si="1"/>
        <v>10341</v>
      </c>
      <c r="G12" s="63">
        <f t="shared" si="6"/>
        <v>67485</v>
      </c>
      <c r="H12" s="264">
        <v>15018</v>
      </c>
      <c r="I12" s="207">
        <v>-442</v>
      </c>
      <c r="J12" s="190">
        <f t="shared" si="2"/>
        <v>14576</v>
      </c>
      <c r="K12" s="63">
        <f t="shared" si="7"/>
        <v>120490</v>
      </c>
      <c r="L12" s="265">
        <f t="shared" si="3"/>
        <v>25359</v>
      </c>
      <c r="M12" s="207">
        <f t="shared" si="4"/>
        <v>-442</v>
      </c>
      <c r="N12" s="190">
        <f t="shared" si="5"/>
        <v>24917</v>
      </c>
      <c r="O12" s="63">
        <f t="shared" si="8"/>
        <v>187975</v>
      </c>
    </row>
    <row r="13" spans="1:15" ht="15">
      <c r="A13" s="47">
        <v>8</v>
      </c>
      <c r="B13" s="53">
        <f t="shared" si="0"/>
        <v>52</v>
      </c>
      <c r="C13" s="383"/>
      <c r="D13" s="370">
        <v>24198</v>
      </c>
      <c r="E13" s="370">
        <v>29636</v>
      </c>
      <c r="F13" s="190">
        <f t="shared" si="1"/>
        <v>53834</v>
      </c>
      <c r="G13" s="63">
        <f t="shared" si="6"/>
        <v>121319</v>
      </c>
      <c r="H13" s="264">
        <v>30582</v>
      </c>
      <c r="I13" s="207">
        <v>54491</v>
      </c>
      <c r="J13" s="190">
        <f t="shared" si="2"/>
        <v>85073</v>
      </c>
      <c r="K13" s="63">
        <f t="shared" si="7"/>
        <v>205563</v>
      </c>
      <c r="L13" s="265">
        <f t="shared" si="3"/>
        <v>54780</v>
      </c>
      <c r="M13" s="207">
        <f t="shared" si="4"/>
        <v>84127</v>
      </c>
      <c r="N13" s="190">
        <f t="shared" si="5"/>
        <v>138907</v>
      </c>
      <c r="O13" s="63">
        <f t="shared" si="8"/>
        <v>326882</v>
      </c>
    </row>
    <row r="14" spans="2:15" ht="15">
      <c r="B14" s="53"/>
      <c r="C14" s="383"/>
      <c r="D14" s="370"/>
      <c r="E14" s="370"/>
      <c r="F14" s="190"/>
      <c r="G14" s="63">
        <f t="shared" si="6"/>
        <v>121319</v>
      </c>
      <c r="H14" s="264"/>
      <c r="I14" s="207"/>
      <c r="J14" s="190">
        <f t="shared" si="2"/>
        <v>0</v>
      </c>
      <c r="K14" s="63">
        <f t="shared" si="7"/>
        <v>205563</v>
      </c>
      <c r="L14" s="265">
        <f t="shared" si="3"/>
        <v>0</v>
      </c>
      <c r="M14" s="207">
        <f t="shared" si="4"/>
        <v>0</v>
      </c>
      <c r="N14" s="190">
        <f t="shared" si="5"/>
        <v>0</v>
      </c>
      <c r="O14" s="63">
        <f>O13+N14</f>
        <v>326882</v>
      </c>
    </row>
    <row r="15" spans="2:15" ht="15">
      <c r="B15" s="75"/>
      <c r="C15" s="383"/>
      <c r="D15" s="169"/>
      <c r="E15" s="148"/>
      <c r="F15" s="158"/>
      <c r="G15" s="55"/>
      <c r="H15" s="180"/>
      <c r="I15" s="179"/>
      <c r="J15" s="178"/>
      <c r="K15" s="57"/>
      <c r="L15" s="172"/>
      <c r="M15" s="179"/>
      <c r="N15" s="58"/>
      <c r="O15" s="55"/>
    </row>
    <row r="16" spans="2:16" ht="15">
      <c r="B16" s="75">
        <v>43891</v>
      </c>
      <c r="C16" s="384"/>
      <c r="D16" s="169"/>
      <c r="E16" s="56"/>
      <c r="F16" s="266">
        <v>48405</v>
      </c>
      <c r="G16" s="76"/>
      <c r="H16" s="180"/>
      <c r="I16" s="179"/>
      <c r="J16" s="266">
        <v>82264</v>
      </c>
      <c r="K16" s="76"/>
      <c r="L16" s="171"/>
      <c r="M16" s="179"/>
      <c r="N16" s="406">
        <f>F16+J16</f>
        <v>130669</v>
      </c>
      <c r="O16" s="55">
        <f>N16</f>
        <v>130669</v>
      </c>
      <c r="P16" s="320"/>
    </row>
    <row r="17" spans="2:16" ht="15">
      <c r="B17" s="75">
        <v>43922</v>
      </c>
      <c r="C17" s="384"/>
      <c r="D17" s="169"/>
      <c r="E17" s="56"/>
      <c r="F17" s="266">
        <v>82679</v>
      </c>
      <c r="G17" s="77"/>
      <c r="H17" s="180"/>
      <c r="I17" s="179"/>
      <c r="J17" s="266">
        <v>133028</v>
      </c>
      <c r="K17" s="77"/>
      <c r="L17" s="173"/>
      <c r="M17" s="179"/>
      <c r="N17" s="406">
        <f>F17+J17</f>
        <v>215707</v>
      </c>
      <c r="O17" s="55">
        <f>N17</f>
        <v>215707</v>
      </c>
      <c r="P17" s="320"/>
    </row>
    <row r="18" spans="2:15" ht="20.25" customHeight="1" thickBot="1">
      <c r="B18" s="534" t="s">
        <v>112</v>
      </c>
      <c r="C18" s="535"/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  <c r="O18" s="536"/>
    </row>
    <row r="19" spans="1:15" ht="15">
      <c r="A19" s="47">
        <v>1</v>
      </c>
      <c r="B19" s="59">
        <v>1</v>
      </c>
      <c r="C19" s="383">
        <v>43952</v>
      </c>
      <c r="D19" s="370">
        <v>3749</v>
      </c>
      <c r="E19" s="370">
        <v>-1312</v>
      </c>
      <c r="F19" s="54">
        <f aca="true" t="shared" si="9" ref="F19:F42">D19+E19</f>
        <v>2437</v>
      </c>
      <c r="G19" s="60">
        <f>F19</f>
        <v>2437</v>
      </c>
      <c r="H19" s="193">
        <v>3885</v>
      </c>
      <c r="I19" s="193">
        <v>-78</v>
      </c>
      <c r="J19" s="54">
        <f aca="true" t="shared" si="10" ref="J19:J28">H19+I19</f>
        <v>3807</v>
      </c>
      <c r="K19" s="60">
        <f>J19</f>
        <v>3807</v>
      </c>
      <c r="L19" s="169">
        <f aca="true" t="shared" si="11" ref="L19:L72">D19+H19</f>
        <v>7634</v>
      </c>
      <c r="M19" s="169">
        <f>E19+I19</f>
        <v>-1390</v>
      </c>
      <c r="N19" s="54">
        <f>L19+M19</f>
        <v>6244</v>
      </c>
      <c r="O19" s="61">
        <f>N19</f>
        <v>6244</v>
      </c>
    </row>
    <row r="20" spans="1:15" ht="15">
      <c r="A20" s="47">
        <f>A19+1</f>
        <v>2</v>
      </c>
      <c r="B20" s="62">
        <v>2</v>
      </c>
      <c r="C20" s="383">
        <v>43959</v>
      </c>
      <c r="D20" s="370">
        <v>37199</v>
      </c>
      <c r="E20" s="370">
        <v>375</v>
      </c>
      <c r="F20" s="54">
        <f t="shared" si="9"/>
        <v>37574</v>
      </c>
      <c r="G20" s="63">
        <f>(G19+F20)</f>
        <v>40011</v>
      </c>
      <c r="H20" s="193">
        <v>52725</v>
      </c>
      <c r="I20" s="370">
        <v>875</v>
      </c>
      <c r="J20" s="54">
        <f t="shared" si="10"/>
        <v>53600</v>
      </c>
      <c r="K20" s="63">
        <f>(K19+J20)</f>
        <v>57407</v>
      </c>
      <c r="L20" s="169">
        <f t="shared" si="11"/>
        <v>89924</v>
      </c>
      <c r="M20" s="193">
        <f>E20+I20</f>
        <v>1250</v>
      </c>
      <c r="N20" s="54">
        <f aca="true" t="shared" si="12" ref="N20:N30">L20+M20</f>
        <v>91174</v>
      </c>
      <c r="O20" s="64">
        <f>O19+N20</f>
        <v>97418</v>
      </c>
    </row>
    <row r="21" spans="1:15" ht="15">
      <c r="A21" s="47">
        <f aca="true" t="shared" si="13" ref="A21:A68">A20+1</f>
        <v>3</v>
      </c>
      <c r="B21" s="53">
        <v>3</v>
      </c>
      <c r="C21" s="383">
        <v>43966</v>
      </c>
      <c r="D21" s="370">
        <v>77895</v>
      </c>
      <c r="E21" s="370">
        <v>153</v>
      </c>
      <c r="F21" s="54">
        <f t="shared" si="9"/>
        <v>78048</v>
      </c>
      <c r="G21" s="63">
        <f aca="true" t="shared" si="14" ref="G21:G55">(G20+F21)</f>
        <v>118059</v>
      </c>
      <c r="H21" s="193">
        <v>102871</v>
      </c>
      <c r="I21" s="370">
        <v>0</v>
      </c>
      <c r="J21" s="54">
        <f t="shared" si="10"/>
        <v>102871</v>
      </c>
      <c r="K21" s="63">
        <f aca="true" t="shared" si="15" ref="K21:K28">K20+J21</f>
        <v>160278</v>
      </c>
      <c r="L21" s="169">
        <f t="shared" si="11"/>
        <v>180766</v>
      </c>
      <c r="M21" s="193">
        <f>E21+I21</f>
        <v>153</v>
      </c>
      <c r="N21" s="54">
        <f t="shared" si="12"/>
        <v>180919</v>
      </c>
      <c r="O21" s="64">
        <f aca="true" t="shared" si="16" ref="O21:O57">O20+N21</f>
        <v>278337</v>
      </c>
    </row>
    <row r="22" spans="1:15" ht="15">
      <c r="A22" s="47">
        <f t="shared" si="13"/>
        <v>4</v>
      </c>
      <c r="B22" s="59">
        <v>4</v>
      </c>
      <c r="C22" s="383">
        <v>43973</v>
      </c>
      <c r="D22" s="370">
        <v>136426</v>
      </c>
      <c r="E22" s="370">
        <v>0</v>
      </c>
      <c r="F22" s="54">
        <f t="shared" si="9"/>
        <v>136426</v>
      </c>
      <c r="G22" s="63">
        <f>(G21+F22)</f>
        <v>254485</v>
      </c>
      <c r="H22" s="193">
        <v>209440</v>
      </c>
      <c r="I22" s="370">
        <v>-91</v>
      </c>
      <c r="J22" s="54">
        <f t="shared" si="10"/>
        <v>209349</v>
      </c>
      <c r="K22" s="63">
        <f t="shared" si="15"/>
        <v>369627</v>
      </c>
      <c r="L22" s="169">
        <f t="shared" si="11"/>
        <v>345866</v>
      </c>
      <c r="M22" s="193">
        <f>E22+I22</f>
        <v>-91</v>
      </c>
      <c r="N22" s="54">
        <f t="shared" si="12"/>
        <v>345775</v>
      </c>
      <c r="O22" s="64">
        <f t="shared" si="16"/>
        <v>624112</v>
      </c>
    </row>
    <row r="23" spans="1:15" ht="15">
      <c r="A23" s="47">
        <f t="shared" si="13"/>
        <v>5</v>
      </c>
      <c r="B23" s="59">
        <v>5</v>
      </c>
      <c r="C23" s="383">
        <v>43980</v>
      </c>
      <c r="D23" s="370">
        <v>210000</v>
      </c>
      <c r="E23" s="370">
        <v>136634</v>
      </c>
      <c r="F23" s="54">
        <f t="shared" si="9"/>
        <v>346634</v>
      </c>
      <c r="G23" s="63">
        <f t="shared" si="14"/>
        <v>601119</v>
      </c>
      <c r="H23" s="193">
        <v>307147</v>
      </c>
      <c r="I23" s="370">
        <v>172618</v>
      </c>
      <c r="J23" s="54">
        <f t="shared" si="10"/>
        <v>479765</v>
      </c>
      <c r="K23" s="63">
        <f t="shared" si="15"/>
        <v>849392</v>
      </c>
      <c r="L23" s="169">
        <f t="shared" si="11"/>
        <v>517147</v>
      </c>
      <c r="M23" s="193">
        <f>E23+I23</f>
        <v>309252</v>
      </c>
      <c r="N23" s="54">
        <f t="shared" si="12"/>
        <v>826399</v>
      </c>
      <c r="O23" s="64">
        <f t="shared" si="16"/>
        <v>1450511</v>
      </c>
    </row>
    <row r="24" spans="1:15" ht="15">
      <c r="A24" s="47">
        <f t="shared" si="13"/>
        <v>6</v>
      </c>
      <c r="B24" s="62">
        <v>6</v>
      </c>
      <c r="C24" s="383">
        <v>43987</v>
      </c>
      <c r="D24" s="370">
        <v>262463</v>
      </c>
      <c r="E24" s="370">
        <v>-16003</v>
      </c>
      <c r="F24" s="54">
        <f t="shared" si="9"/>
        <v>246460</v>
      </c>
      <c r="G24" s="63">
        <f t="shared" si="14"/>
        <v>847579</v>
      </c>
      <c r="H24" s="163">
        <v>401372</v>
      </c>
      <c r="I24" s="370">
        <v>-22483</v>
      </c>
      <c r="J24" s="54">
        <f t="shared" si="10"/>
        <v>378889</v>
      </c>
      <c r="K24" s="63">
        <f t="shared" si="15"/>
        <v>1228281</v>
      </c>
      <c r="L24" s="169">
        <f t="shared" si="11"/>
        <v>663835</v>
      </c>
      <c r="M24" s="193">
        <f aca="true" t="shared" si="17" ref="M24:M72">E24+I24</f>
        <v>-38486</v>
      </c>
      <c r="N24" s="54">
        <f t="shared" si="12"/>
        <v>625349</v>
      </c>
      <c r="O24" s="64">
        <f t="shared" si="16"/>
        <v>2075860</v>
      </c>
    </row>
    <row r="25" spans="1:15" ht="15">
      <c r="A25" s="47">
        <f t="shared" si="13"/>
        <v>7</v>
      </c>
      <c r="B25" s="53">
        <v>7</v>
      </c>
      <c r="C25" s="383">
        <v>43994</v>
      </c>
      <c r="D25" s="370">
        <v>356121</v>
      </c>
      <c r="E25" s="370">
        <v>5248</v>
      </c>
      <c r="F25" s="54">
        <f t="shared" si="9"/>
        <v>361369</v>
      </c>
      <c r="G25" s="63">
        <f t="shared" si="14"/>
        <v>1208948</v>
      </c>
      <c r="H25" s="163">
        <v>534788</v>
      </c>
      <c r="I25" s="370">
        <v>15238</v>
      </c>
      <c r="J25" s="54">
        <f t="shared" si="10"/>
        <v>550026</v>
      </c>
      <c r="K25" s="63">
        <f t="shared" si="15"/>
        <v>1778307</v>
      </c>
      <c r="L25" s="193">
        <f t="shared" si="11"/>
        <v>890909</v>
      </c>
      <c r="M25" s="193">
        <f t="shared" si="17"/>
        <v>20486</v>
      </c>
      <c r="N25" s="54">
        <f t="shared" si="12"/>
        <v>911395</v>
      </c>
      <c r="O25" s="64">
        <f t="shared" si="16"/>
        <v>2987255</v>
      </c>
    </row>
    <row r="26" spans="1:15" ht="15">
      <c r="A26" s="47">
        <f t="shared" si="13"/>
        <v>8</v>
      </c>
      <c r="B26" s="59">
        <v>8</v>
      </c>
      <c r="C26" s="383">
        <v>44001</v>
      </c>
      <c r="D26" s="370">
        <v>250695</v>
      </c>
      <c r="E26" s="370">
        <v>133</v>
      </c>
      <c r="F26" s="54">
        <f t="shared" si="9"/>
        <v>250828</v>
      </c>
      <c r="G26" s="63">
        <f t="shared" si="14"/>
        <v>1459776</v>
      </c>
      <c r="H26" s="163">
        <v>390212</v>
      </c>
      <c r="I26" s="370">
        <v>2424</v>
      </c>
      <c r="J26" s="54">
        <f t="shared" si="10"/>
        <v>392636</v>
      </c>
      <c r="K26" s="63">
        <f t="shared" si="15"/>
        <v>2170943</v>
      </c>
      <c r="L26" s="193">
        <f t="shared" si="11"/>
        <v>640907</v>
      </c>
      <c r="M26" s="193">
        <f t="shared" si="17"/>
        <v>2557</v>
      </c>
      <c r="N26" s="54">
        <f t="shared" si="12"/>
        <v>643464</v>
      </c>
      <c r="O26" s="64">
        <f t="shared" si="16"/>
        <v>3630719</v>
      </c>
    </row>
    <row r="27" spans="1:15" ht="13.5" customHeight="1">
      <c r="A27" s="47">
        <f t="shared" si="13"/>
        <v>9</v>
      </c>
      <c r="B27" s="59">
        <v>9</v>
      </c>
      <c r="C27" s="383">
        <v>44008</v>
      </c>
      <c r="D27" s="370">
        <v>421127</v>
      </c>
      <c r="E27" s="370">
        <v>454012</v>
      </c>
      <c r="F27" s="54">
        <f t="shared" si="9"/>
        <v>875139</v>
      </c>
      <c r="G27" s="63">
        <f t="shared" si="14"/>
        <v>2334915</v>
      </c>
      <c r="H27" s="163">
        <v>501515</v>
      </c>
      <c r="I27" s="370">
        <v>461931</v>
      </c>
      <c r="J27" s="54">
        <f t="shared" si="10"/>
        <v>963446</v>
      </c>
      <c r="K27" s="63">
        <f t="shared" si="15"/>
        <v>3134389</v>
      </c>
      <c r="L27" s="193">
        <f t="shared" si="11"/>
        <v>922642</v>
      </c>
      <c r="M27" s="193">
        <f t="shared" si="17"/>
        <v>915943</v>
      </c>
      <c r="N27" s="54">
        <f t="shared" si="12"/>
        <v>1838585</v>
      </c>
      <c r="O27" s="64">
        <f t="shared" si="16"/>
        <v>5469304</v>
      </c>
    </row>
    <row r="28" spans="1:15" ht="15">
      <c r="A28" s="47">
        <f t="shared" si="13"/>
        <v>10</v>
      </c>
      <c r="B28" s="62">
        <v>10</v>
      </c>
      <c r="C28" s="383">
        <v>44015</v>
      </c>
      <c r="D28" s="370">
        <v>358996</v>
      </c>
      <c r="E28" s="370">
        <v>-61723</v>
      </c>
      <c r="F28" s="54">
        <f t="shared" si="9"/>
        <v>297273</v>
      </c>
      <c r="G28" s="63">
        <f t="shared" si="14"/>
        <v>2632188</v>
      </c>
      <c r="H28" s="163">
        <v>319298</v>
      </c>
      <c r="I28" s="370">
        <v>-43640</v>
      </c>
      <c r="J28" s="54">
        <f t="shared" si="10"/>
        <v>275658</v>
      </c>
      <c r="K28" s="63">
        <f t="shared" si="15"/>
        <v>3410047</v>
      </c>
      <c r="L28" s="193">
        <f t="shared" si="11"/>
        <v>678294</v>
      </c>
      <c r="M28" s="193">
        <f t="shared" si="17"/>
        <v>-105363</v>
      </c>
      <c r="N28" s="54">
        <f t="shared" si="12"/>
        <v>572931</v>
      </c>
      <c r="O28" s="64">
        <f t="shared" si="16"/>
        <v>6042235</v>
      </c>
    </row>
    <row r="29" spans="1:15" ht="15">
      <c r="A29" s="47">
        <f t="shared" si="13"/>
        <v>11</v>
      </c>
      <c r="B29" s="53">
        <v>11</v>
      </c>
      <c r="C29" s="383">
        <v>44022</v>
      </c>
      <c r="D29" s="370">
        <v>573592</v>
      </c>
      <c r="E29" s="370">
        <v>33759</v>
      </c>
      <c r="F29" s="54">
        <f t="shared" si="9"/>
        <v>607351</v>
      </c>
      <c r="G29" s="63">
        <f t="shared" si="14"/>
        <v>3239539</v>
      </c>
      <c r="H29" s="163">
        <v>448716</v>
      </c>
      <c r="I29" s="370">
        <v>635</v>
      </c>
      <c r="J29" s="54">
        <f aca="true" t="shared" si="18" ref="J29:J36">H29+I29</f>
        <v>449351</v>
      </c>
      <c r="K29" s="63">
        <f>K28+J29</f>
        <v>3859398</v>
      </c>
      <c r="L29" s="193">
        <f t="shared" si="11"/>
        <v>1022308</v>
      </c>
      <c r="M29" s="193">
        <f t="shared" si="17"/>
        <v>34394</v>
      </c>
      <c r="N29" s="54">
        <f t="shared" si="12"/>
        <v>1056702</v>
      </c>
      <c r="O29" s="64">
        <f t="shared" si="16"/>
        <v>7098937</v>
      </c>
    </row>
    <row r="30" spans="1:15" ht="15">
      <c r="A30" s="47">
        <f t="shared" si="13"/>
        <v>12</v>
      </c>
      <c r="B30" s="59">
        <v>12</v>
      </c>
      <c r="C30" s="383">
        <v>44029</v>
      </c>
      <c r="D30" s="370">
        <v>613282</v>
      </c>
      <c r="E30" s="370">
        <v>35542</v>
      </c>
      <c r="F30" s="54">
        <f t="shared" si="9"/>
        <v>648824</v>
      </c>
      <c r="G30" s="63">
        <f t="shared" si="14"/>
        <v>3888363</v>
      </c>
      <c r="H30" s="163">
        <v>399910</v>
      </c>
      <c r="I30" s="370">
        <v>-1601</v>
      </c>
      <c r="J30" s="54">
        <f t="shared" si="18"/>
        <v>398309</v>
      </c>
      <c r="K30" s="63">
        <f aca="true" t="shared" si="19" ref="K30:K36">K29+J30</f>
        <v>4257707</v>
      </c>
      <c r="L30" s="193">
        <f t="shared" si="11"/>
        <v>1013192</v>
      </c>
      <c r="M30" s="193">
        <f t="shared" si="17"/>
        <v>33941</v>
      </c>
      <c r="N30" s="54">
        <f t="shared" si="12"/>
        <v>1047133</v>
      </c>
      <c r="O30" s="64">
        <f t="shared" si="16"/>
        <v>8146070</v>
      </c>
    </row>
    <row r="31" spans="1:15" ht="15">
      <c r="A31" s="47">
        <f t="shared" si="13"/>
        <v>13</v>
      </c>
      <c r="B31" s="59">
        <v>13</v>
      </c>
      <c r="C31" s="383">
        <v>44036</v>
      </c>
      <c r="D31" s="370">
        <v>708557</v>
      </c>
      <c r="E31" s="370">
        <v>150</v>
      </c>
      <c r="F31" s="54">
        <f t="shared" si="9"/>
        <v>708707</v>
      </c>
      <c r="G31" s="63">
        <f t="shared" si="14"/>
        <v>4597070</v>
      </c>
      <c r="H31" s="163">
        <v>372304</v>
      </c>
      <c r="I31" s="370">
        <v>-8582</v>
      </c>
      <c r="J31" s="54">
        <f t="shared" si="18"/>
        <v>363722</v>
      </c>
      <c r="K31" s="63">
        <f t="shared" si="19"/>
        <v>4621429</v>
      </c>
      <c r="L31" s="193">
        <f t="shared" si="11"/>
        <v>1080861</v>
      </c>
      <c r="M31" s="193">
        <f t="shared" si="17"/>
        <v>-8432</v>
      </c>
      <c r="N31" s="54">
        <f aca="true" t="shared" si="20" ref="N31:N36">L31+M31</f>
        <v>1072429</v>
      </c>
      <c r="O31" s="64">
        <f t="shared" si="16"/>
        <v>9218499</v>
      </c>
    </row>
    <row r="32" spans="1:15" ht="15">
      <c r="A32" s="47">
        <f t="shared" si="13"/>
        <v>14</v>
      </c>
      <c r="B32" s="62">
        <v>14</v>
      </c>
      <c r="C32" s="383">
        <v>44043</v>
      </c>
      <c r="D32" s="370">
        <v>703222</v>
      </c>
      <c r="E32" s="370">
        <v>420602</v>
      </c>
      <c r="F32" s="54">
        <f t="shared" si="9"/>
        <v>1123824</v>
      </c>
      <c r="G32" s="63">
        <f t="shared" si="14"/>
        <v>5720894</v>
      </c>
      <c r="H32" s="163">
        <v>333230</v>
      </c>
      <c r="I32" s="370">
        <v>196723</v>
      </c>
      <c r="J32" s="54">
        <f t="shared" si="18"/>
        <v>529953</v>
      </c>
      <c r="K32" s="63">
        <f t="shared" si="19"/>
        <v>5151382</v>
      </c>
      <c r="L32" s="193">
        <f t="shared" si="11"/>
        <v>1036452</v>
      </c>
      <c r="M32" s="193">
        <f t="shared" si="17"/>
        <v>617325</v>
      </c>
      <c r="N32" s="54">
        <f t="shared" si="20"/>
        <v>1653777</v>
      </c>
      <c r="O32" s="64">
        <f t="shared" si="16"/>
        <v>10872276</v>
      </c>
    </row>
    <row r="33" spans="1:15" ht="15">
      <c r="A33" s="47">
        <f t="shared" si="13"/>
        <v>15</v>
      </c>
      <c r="B33" s="53">
        <v>15</v>
      </c>
      <c r="C33" s="383">
        <v>44050</v>
      </c>
      <c r="D33" s="370">
        <v>522830</v>
      </c>
      <c r="E33" s="370">
        <v>1215</v>
      </c>
      <c r="F33" s="54">
        <f t="shared" si="9"/>
        <v>524045</v>
      </c>
      <c r="G33" s="63">
        <f t="shared" si="14"/>
        <v>6244939</v>
      </c>
      <c r="H33" s="163">
        <v>198706</v>
      </c>
      <c r="I33" s="370">
        <v>1913</v>
      </c>
      <c r="J33" s="54">
        <f t="shared" si="18"/>
        <v>200619</v>
      </c>
      <c r="K33" s="63">
        <f t="shared" si="19"/>
        <v>5352001</v>
      </c>
      <c r="L33" s="193">
        <f t="shared" si="11"/>
        <v>721536</v>
      </c>
      <c r="M33" s="193">
        <f t="shared" si="17"/>
        <v>3128</v>
      </c>
      <c r="N33" s="54">
        <f t="shared" si="20"/>
        <v>724664</v>
      </c>
      <c r="O33" s="64">
        <f t="shared" si="16"/>
        <v>11596940</v>
      </c>
    </row>
    <row r="34" spans="1:15" ht="15">
      <c r="A34" s="47">
        <f t="shared" si="13"/>
        <v>16</v>
      </c>
      <c r="B34" s="59">
        <v>16</v>
      </c>
      <c r="C34" s="383">
        <v>44057</v>
      </c>
      <c r="D34" s="370">
        <v>407047</v>
      </c>
      <c r="E34" s="370">
        <v>0</v>
      </c>
      <c r="F34" s="54">
        <f t="shared" si="9"/>
        <v>407047</v>
      </c>
      <c r="G34" s="63">
        <f t="shared" si="14"/>
        <v>6651986</v>
      </c>
      <c r="H34" s="163">
        <v>126524</v>
      </c>
      <c r="I34" s="370">
        <v>-952</v>
      </c>
      <c r="J34" s="54">
        <f t="shared" si="18"/>
        <v>125572</v>
      </c>
      <c r="K34" s="63">
        <f t="shared" si="19"/>
        <v>5477573</v>
      </c>
      <c r="L34" s="193">
        <f t="shared" si="11"/>
        <v>533571</v>
      </c>
      <c r="M34" s="193">
        <f t="shared" si="17"/>
        <v>-952</v>
      </c>
      <c r="N34" s="54">
        <f t="shared" si="20"/>
        <v>532619</v>
      </c>
      <c r="O34" s="64">
        <f t="shared" si="16"/>
        <v>12129559</v>
      </c>
    </row>
    <row r="35" spans="1:15" ht="15">
      <c r="A35" s="47">
        <f t="shared" si="13"/>
        <v>17</v>
      </c>
      <c r="B35" s="59">
        <v>17</v>
      </c>
      <c r="C35" s="383">
        <v>44064</v>
      </c>
      <c r="D35" s="373">
        <v>281381</v>
      </c>
      <c r="E35" s="370">
        <v>325</v>
      </c>
      <c r="F35" s="54">
        <f t="shared" si="9"/>
        <v>281706</v>
      </c>
      <c r="G35" s="63">
        <f t="shared" si="14"/>
        <v>6933692</v>
      </c>
      <c r="H35" s="163">
        <v>88001</v>
      </c>
      <c r="I35" s="370">
        <v>-589</v>
      </c>
      <c r="J35" s="54">
        <f t="shared" si="18"/>
        <v>87412</v>
      </c>
      <c r="K35" s="63">
        <f t="shared" si="19"/>
        <v>5564985</v>
      </c>
      <c r="L35" s="193">
        <f t="shared" si="11"/>
        <v>369382</v>
      </c>
      <c r="M35" s="193">
        <f t="shared" si="17"/>
        <v>-264</v>
      </c>
      <c r="N35" s="54">
        <f>L35+M35</f>
        <v>369118</v>
      </c>
      <c r="O35" s="64">
        <f t="shared" si="16"/>
        <v>12498677</v>
      </c>
    </row>
    <row r="36" spans="1:15" ht="15" customHeight="1">
      <c r="A36" s="47">
        <f t="shared" si="13"/>
        <v>18</v>
      </c>
      <c r="B36" s="62">
        <v>18</v>
      </c>
      <c r="C36" s="383">
        <v>44071</v>
      </c>
      <c r="D36" s="373">
        <v>178978</v>
      </c>
      <c r="E36" s="370">
        <v>358011</v>
      </c>
      <c r="F36" s="54">
        <f t="shared" si="9"/>
        <v>536989</v>
      </c>
      <c r="G36" s="63">
        <f t="shared" si="14"/>
        <v>7470681</v>
      </c>
      <c r="H36" s="163">
        <v>64591</v>
      </c>
      <c r="I36" s="370">
        <v>92562</v>
      </c>
      <c r="J36" s="54">
        <f t="shared" si="18"/>
        <v>157153</v>
      </c>
      <c r="K36" s="63">
        <f t="shared" si="19"/>
        <v>5722138</v>
      </c>
      <c r="L36" s="193">
        <f t="shared" si="11"/>
        <v>243569</v>
      </c>
      <c r="M36" s="193">
        <f t="shared" si="17"/>
        <v>450573</v>
      </c>
      <c r="N36" s="54">
        <f t="shared" si="20"/>
        <v>694142</v>
      </c>
      <c r="O36" s="64">
        <f t="shared" si="16"/>
        <v>13192819</v>
      </c>
    </row>
    <row r="37" spans="1:15" ht="15" customHeight="1">
      <c r="A37" s="47">
        <f t="shared" si="13"/>
        <v>19</v>
      </c>
      <c r="B37" s="53">
        <v>19</v>
      </c>
      <c r="C37" s="383">
        <v>44078</v>
      </c>
      <c r="D37" s="373">
        <v>72811</v>
      </c>
      <c r="E37" s="370">
        <v>-29494</v>
      </c>
      <c r="F37" s="54">
        <f t="shared" si="9"/>
        <v>43317</v>
      </c>
      <c r="G37" s="63">
        <f t="shared" si="14"/>
        <v>7513998</v>
      </c>
      <c r="H37" s="163">
        <v>26140</v>
      </c>
      <c r="I37" s="370">
        <v>-8594</v>
      </c>
      <c r="J37" s="54">
        <f aca="true" t="shared" si="21" ref="J37:J51">H37+I37</f>
        <v>17546</v>
      </c>
      <c r="K37" s="63">
        <f aca="true" t="shared" si="22" ref="K37:K54">K36+J37</f>
        <v>5739684</v>
      </c>
      <c r="L37" s="193">
        <f t="shared" si="11"/>
        <v>98951</v>
      </c>
      <c r="M37" s="193">
        <f t="shared" si="17"/>
        <v>-38088</v>
      </c>
      <c r="N37" s="54">
        <f aca="true" t="shared" si="23" ref="N37:N46">L37+M37</f>
        <v>60863</v>
      </c>
      <c r="O37" s="64">
        <f t="shared" si="16"/>
        <v>13253682</v>
      </c>
    </row>
    <row r="38" spans="1:15" ht="15" customHeight="1">
      <c r="A38" s="47">
        <f t="shared" si="13"/>
        <v>20</v>
      </c>
      <c r="B38" s="59">
        <v>20</v>
      </c>
      <c r="C38" s="383">
        <v>44085</v>
      </c>
      <c r="D38" s="169">
        <v>78712</v>
      </c>
      <c r="E38" s="370">
        <v>397</v>
      </c>
      <c r="F38" s="54">
        <f t="shared" si="9"/>
        <v>79109</v>
      </c>
      <c r="G38" s="63">
        <f t="shared" si="14"/>
        <v>7593107</v>
      </c>
      <c r="H38" s="163">
        <v>21841</v>
      </c>
      <c r="I38" s="370">
        <v>-164</v>
      </c>
      <c r="J38" s="54">
        <f t="shared" si="21"/>
        <v>21677</v>
      </c>
      <c r="K38" s="63">
        <f t="shared" si="22"/>
        <v>5761361</v>
      </c>
      <c r="L38" s="193">
        <f t="shared" si="11"/>
        <v>100553</v>
      </c>
      <c r="M38" s="193">
        <f t="shared" si="17"/>
        <v>233</v>
      </c>
      <c r="N38" s="54">
        <f t="shared" si="23"/>
        <v>100786</v>
      </c>
      <c r="O38" s="64">
        <f t="shared" si="16"/>
        <v>13354468</v>
      </c>
    </row>
    <row r="39" spans="1:15" ht="15" customHeight="1">
      <c r="A39" s="47">
        <f t="shared" si="13"/>
        <v>21</v>
      </c>
      <c r="B39" s="59">
        <v>21</v>
      </c>
      <c r="C39" s="383">
        <v>44092</v>
      </c>
      <c r="D39" s="169">
        <v>49221</v>
      </c>
      <c r="E39" s="370">
        <v>601</v>
      </c>
      <c r="F39" s="54">
        <f t="shared" si="9"/>
        <v>49822</v>
      </c>
      <c r="G39" s="63">
        <f t="shared" si="14"/>
        <v>7642929</v>
      </c>
      <c r="H39" s="163">
        <v>14684</v>
      </c>
      <c r="I39" s="370">
        <v>502</v>
      </c>
      <c r="J39" s="54">
        <f t="shared" si="21"/>
        <v>15186</v>
      </c>
      <c r="K39" s="63">
        <f t="shared" si="22"/>
        <v>5776547</v>
      </c>
      <c r="L39" s="193">
        <f t="shared" si="11"/>
        <v>63905</v>
      </c>
      <c r="M39" s="193">
        <f t="shared" si="17"/>
        <v>1103</v>
      </c>
      <c r="N39" s="54">
        <f t="shared" si="23"/>
        <v>65008</v>
      </c>
      <c r="O39" s="64">
        <f t="shared" si="16"/>
        <v>13419476</v>
      </c>
    </row>
    <row r="40" spans="1:17" ht="15" customHeight="1">
      <c r="A40" s="47">
        <f t="shared" si="13"/>
        <v>22</v>
      </c>
      <c r="B40" s="62">
        <v>22</v>
      </c>
      <c r="C40" s="383">
        <v>44099</v>
      </c>
      <c r="D40" s="169">
        <v>34940</v>
      </c>
      <c r="E40" s="370">
        <v>154105</v>
      </c>
      <c r="F40" s="54">
        <f t="shared" si="9"/>
        <v>189045</v>
      </c>
      <c r="G40" s="63">
        <f t="shared" si="14"/>
        <v>7831974</v>
      </c>
      <c r="H40" s="163">
        <v>10640</v>
      </c>
      <c r="I40" s="370">
        <v>69662</v>
      </c>
      <c r="J40" s="54">
        <f t="shared" si="21"/>
        <v>80302</v>
      </c>
      <c r="K40" s="63">
        <f t="shared" si="22"/>
        <v>5856849</v>
      </c>
      <c r="L40" s="193">
        <f t="shared" si="11"/>
        <v>45580</v>
      </c>
      <c r="M40" s="193">
        <f t="shared" si="17"/>
        <v>223767</v>
      </c>
      <c r="N40" s="54">
        <f t="shared" si="23"/>
        <v>269347</v>
      </c>
      <c r="O40" s="64">
        <f t="shared" si="16"/>
        <v>13688823</v>
      </c>
      <c r="Q40" s="170"/>
    </row>
    <row r="41" spans="1:15" ht="15" customHeight="1">
      <c r="A41" s="47">
        <f t="shared" si="13"/>
        <v>23</v>
      </c>
      <c r="B41" s="53">
        <v>23</v>
      </c>
      <c r="C41" s="383">
        <v>44106</v>
      </c>
      <c r="D41" s="169">
        <v>14433</v>
      </c>
      <c r="E41" s="370">
        <v>-7398</v>
      </c>
      <c r="F41" s="54">
        <f t="shared" si="9"/>
        <v>7035</v>
      </c>
      <c r="G41" s="63">
        <f>(G40+F41)</f>
        <v>7839009</v>
      </c>
      <c r="H41" s="163">
        <v>4321</v>
      </c>
      <c r="I41" s="370">
        <v>-530</v>
      </c>
      <c r="J41" s="54">
        <f t="shared" si="21"/>
        <v>3791</v>
      </c>
      <c r="K41" s="63">
        <f t="shared" si="22"/>
        <v>5860640</v>
      </c>
      <c r="L41" s="193">
        <f t="shared" si="11"/>
        <v>18754</v>
      </c>
      <c r="M41" s="193">
        <f t="shared" si="17"/>
        <v>-7928</v>
      </c>
      <c r="N41" s="54">
        <f t="shared" si="23"/>
        <v>10826</v>
      </c>
      <c r="O41" s="64">
        <f t="shared" si="16"/>
        <v>13699649</v>
      </c>
    </row>
    <row r="42" spans="1:15" ht="15" customHeight="1">
      <c r="A42" s="47">
        <f t="shared" si="13"/>
        <v>24</v>
      </c>
      <c r="B42" s="59">
        <v>24</v>
      </c>
      <c r="C42" s="383">
        <v>44113</v>
      </c>
      <c r="D42" s="169">
        <v>23743</v>
      </c>
      <c r="E42" s="370">
        <v>-2471</v>
      </c>
      <c r="F42" s="54">
        <f t="shared" si="9"/>
        <v>21272</v>
      </c>
      <c r="G42" s="63">
        <f t="shared" si="14"/>
        <v>7860281</v>
      </c>
      <c r="H42" s="163">
        <v>7500</v>
      </c>
      <c r="I42" s="370">
        <v>232</v>
      </c>
      <c r="J42" s="54">
        <f t="shared" si="21"/>
        <v>7732</v>
      </c>
      <c r="K42" s="63">
        <f t="shared" si="22"/>
        <v>5868372</v>
      </c>
      <c r="L42" s="193">
        <f t="shared" si="11"/>
        <v>31243</v>
      </c>
      <c r="M42" s="193">
        <f t="shared" si="17"/>
        <v>-2239</v>
      </c>
      <c r="N42" s="54">
        <f t="shared" si="23"/>
        <v>29004</v>
      </c>
      <c r="O42" s="64">
        <f t="shared" si="16"/>
        <v>13728653</v>
      </c>
    </row>
    <row r="43" spans="1:15" ht="15" customHeight="1">
      <c r="A43" s="47">
        <f t="shared" si="13"/>
        <v>25</v>
      </c>
      <c r="B43" s="59">
        <v>25</v>
      </c>
      <c r="C43" s="383">
        <v>44120</v>
      </c>
      <c r="D43" s="169">
        <v>17250</v>
      </c>
      <c r="E43" s="370">
        <v>-451</v>
      </c>
      <c r="F43" s="54">
        <f>D43+E43</f>
        <v>16799</v>
      </c>
      <c r="G43" s="63">
        <f t="shared" si="14"/>
        <v>7877080</v>
      </c>
      <c r="H43" s="163">
        <v>7046</v>
      </c>
      <c r="I43" s="370">
        <v>1166</v>
      </c>
      <c r="J43" s="54">
        <f t="shared" si="21"/>
        <v>8212</v>
      </c>
      <c r="K43" s="63">
        <f t="shared" si="22"/>
        <v>5876584</v>
      </c>
      <c r="L43" s="193">
        <f t="shared" si="11"/>
        <v>24296</v>
      </c>
      <c r="M43" s="193">
        <f t="shared" si="17"/>
        <v>715</v>
      </c>
      <c r="N43" s="54">
        <f t="shared" si="23"/>
        <v>25011</v>
      </c>
      <c r="O43" s="64">
        <f t="shared" si="16"/>
        <v>13753664</v>
      </c>
    </row>
    <row r="44" spans="1:15" ht="15" customHeight="1">
      <c r="A44" s="47">
        <f t="shared" si="13"/>
        <v>26</v>
      </c>
      <c r="B44" s="62">
        <v>26</v>
      </c>
      <c r="C44" s="383">
        <v>44127</v>
      </c>
      <c r="D44" s="169">
        <v>15514</v>
      </c>
      <c r="E44" s="370">
        <v>-1711</v>
      </c>
      <c r="F44" s="54">
        <f>D44+E44</f>
        <v>13803</v>
      </c>
      <c r="G44" s="63">
        <f t="shared" si="14"/>
        <v>7890883</v>
      </c>
      <c r="H44" s="163">
        <v>5730</v>
      </c>
      <c r="I44" s="370">
        <v>1579</v>
      </c>
      <c r="J44" s="54">
        <f t="shared" si="21"/>
        <v>7309</v>
      </c>
      <c r="K44" s="63">
        <f t="shared" si="22"/>
        <v>5883893</v>
      </c>
      <c r="L44" s="193">
        <f t="shared" si="11"/>
        <v>21244</v>
      </c>
      <c r="M44" s="193">
        <f t="shared" si="17"/>
        <v>-132</v>
      </c>
      <c r="N44" s="54">
        <f t="shared" si="23"/>
        <v>21112</v>
      </c>
      <c r="O44" s="64">
        <f t="shared" si="16"/>
        <v>13774776</v>
      </c>
    </row>
    <row r="45" spans="1:15" ht="15" customHeight="1">
      <c r="A45" s="47">
        <f t="shared" si="13"/>
        <v>27</v>
      </c>
      <c r="B45" s="53">
        <v>27</v>
      </c>
      <c r="C45" s="383">
        <v>44134</v>
      </c>
      <c r="D45" s="169">
        <v>13406</v>
      </c>
      <c r="E45" s="370">
        <v>68824</v>
      </c>
      <c r="F45" s="54">
        <f>D45+E45</f>
        <v>82230</v>
      </c>
      <c r="G45" s="63">
        <f t="shared" si="14"/>
        <v>7973113</v>
      </c>
      <c r="H45" s="163">
        <v>14452</v>
      </c>
      <c r="I45" s="370">
        <v>39539</v>
      </c>
      <c r="J45" s="54">
        <f t="shared" si="21"/>
        <v>53991</v>
      </c>
      <c r="K45" s="63">
        <f t="shared" si="22"/>
        <v>5937884</v>
      </c>
      <c r="L45" s="193">
        <f t="shared" si="11"/>
        <v>27858</v>
      </c>
      <c r="M45" s="193">
        <f>E45+I45</f>
        <v>108363</v>
      </c>
      <c r="N45" s="54">
        <f t="shared" si="23"/>
        <v>136221</v>
      </c>
      <c r="O45" s="64">
        <f t="shared" si="16"/>
        <v>13910997</v>
      </c>
    </row>
    <row r="46" spans="1:15" ht="15" customHeight="1">
      <c r="A46" s="47">
        <f t="shared" si="13"/>
        <v>28</v>
      </c>
      <c r="B46" s="59">
        <v>28</v>
      </c>
      <c r="C46" s="383">
        <v>44141</v>
      </c>
      <c r="D46" s="169">
        <v>9087</v>
      </c>
      <c r="E46" s="370">
        <v>0</v>
      </c>
      <c r="F46" s="54">
        <f>D46+E46</f>
        <v>9087</v>
      </c>
      <c r="G46" s="63">
        <f t="shared" si="14"/>
        <v>7982200</v>
      </c>
      <c r="H46" s="163">
        <v>5295</v>
      </c>
      <c r="I46" s="370">
        <v>-915</v>
      </c>
      <c r="J46" s="54">
        <f t="shared" si="21"/>
        <v>4380</v>
      </c>
      <c r="K46" s="63">
        <f t="shared" si="22"/>
        <v>5942264</v>
      </c>
      <c r="L46" s="193">
        <f t="shared" si="11"/>
        <v>14382</v>
      </c>
      <c r="M46" s="193">
        <f>E46+I46</f>
        <v>-915</v>
      </c>
      <c r="N46" s="54">
        <f t="shared" si="23"/>
        <v>13467</v>
      </c>
      <c r="O46" s="64">
        <f t="shared" si="16"/>
        <v>13924464</v>
      </c>
    </row>
    <row r="47" spans="1:15" ht="16.5" customHeight="1">
      <c r="A47" s="47">
        <f t="shared" si="13"/>
        <v>29</v>
      </c>
      <c r="B47" s="59">
        <v>29</v>
      </c>
      <c r="C47" s="383">
        <v>44148</v>
      </c>
      <c r="D47" s="169">
        <v>7665</v>
      </c>
      <c r="E47" s="370">
        <v>0</v>
      </c>
      <c r="F47" s="54">
        <f>D47+E47</f>
        <v>7665</v>
      </c>
      <c r="G47" s="63">
        <f t="shared" si="14"/>
        <v>7989865</v>
      </c>
      <c r="H47" s="163">
        <v>3574</v>
      </c>
      <c r="I47" s="370">
        <v>-251</v>
      </c>
      <c r="J47" s="54">
        <f t="shared" si="21"/>
        <v>3323</v>
      </c>
      <c r="K47" s="63">
        <f t="shared" si="22"/>
        <v>5945587</v>
      </c>
      <c r="L47" s="193">
        <f t="shared" si="11"/>
        <v>11239</v>
      </c>
      <c r="M47" s="193">
        <f t="shared" si="17"/>
        <v>-251</v>
      </c>
      <c r="N47" s="54">
        <f aca="true" t="shared" si="24" ref="N47:N54">L47+M47</f>
        <v>10988</v>
      </c>
      <c r="O47" s="64">
        <f t="shared" si="16"/>
        <v>13935452</v>
      </c>
    </row>
    <row r="48" spans="1:15" ht="17.25" customHeight="1">
      <c r="A48" s="47">
        <f t="shared" si="13"/>
        <v>30</v>
      </c>
      <c r="B48" s="62">
        <v>30</v>
      </c>
      <c r="C48" s="383">
        <v>44155</v>
      </c>
      <c r="D48" s="169">
        <v>5565</v>
      </c>
      <c r="E48" s="370">
        <v>1864</v>
      </c>
      <c r="F48" s="54">
        <f aca="true" t="shared" si="25" ref="F48:F55">D48+E48</f>
        <v>7429</v>
      </c>
      <c r="G48" s="63">
        <f t="shared" si="14"/>
        <v>7997294</v>
      </c>
      <c r="H48" s="163">
        <v>2933</v>
      </c>
      <c r="I48" s="370">
        <v>-693</v>
      </c>
      <c r="J48" s="54">
        <f t="shared" si="21"/>
        <v>2240</v>
      </c>
      <c r="K48" s="63">
        <f t="shared" si="22"/>
        <v>5947827</v>
      </c>
      <c r="L48" s="193">
        <f t="shared" si="11"/>
        <v>8498</v>
      </c>
      <c r="M48" s="193">
        <f t="shared" si="17"/>
        <v>1171</v>
      </c>
      <c r="N48" s="54">
        <f t="shared" si="24"/>
        <v>9669</v>
      </c>
      <c r="O48" s="64">
        <f t="shared" si="16"/>
        <v>13945121</v>
      </c>
    </row>
    <row r="49" spans="1:15" ht="15" customHeight="1">
      <c r="A49" s="47">
        <f t="shared" si="13"/>
        <v>31</v>
      </c>
      <c r="B49" s="53">
        <v>31</v>
      </c>
      <c r="C49" s="383">
        <v>44162</v>
      </c>
      <c r="D49" s="169">
        <v>5385</v>
      </c>
      <c r="E49" s="140">
        <v>30766</v>
      </c>
      <c r="F49" s="54">
        <f t="shared" si="25"/>
        <v>36151</v>
      </c>
      <c r="G49" s="63">
        <f t="shared" si="14"/>
        <v>8033445</v>
      </c>
      <c r="H49" s="163">
        <v>5989</v>
      </c>
      <c r="I49" s="193">
        <v>35141</v>
      </c>
      <c r="J49" s="54">
        <f t="shared" si="21"/>
        <v>41130</v>
      </c>
      <c r="K49" s="63">
        <f t="shared" si="22"/>
        <v>5988957</v>
      </c>
      <c r="L49" s="193">
        <f t="shared" si="11"/>
        <v>11374</v>
      </c>
      <c r="M49" s="193">
        <f t="shared" si="17"/>
        <v>65907</v>
      </c>
      <c r="N49" s="54">
        <f t="shared" si="24"/>
        <v>77281</v>
      </c>
      <c r="O49" s="64">
        <f t="shared" si="16"/>
        <v>14022402</v>
      </c>
    </row>
    <row r="50" spans="1:15" ht="15" customHeight="1">
      <c r="A50" s="47">
        <f t="shared" si="13"/>
        <v>32</v>
      </c>
      <c r="B50" s="59">
        <v>32</v>
      </c>
      <c r="C50" s="383">
        <v>44169</v>
      </c>
      <c r="D50" s="193">
        <v>5247</v>
      </c>
      <c r="E50" s="148">
        <v>-742</v>
      </c>
      <c r="F50" s="54">
        <f t="shared" si="25"/>
        <v>4505</v>
      </c>
      <c r="G50" s="63">
        <f t="shared" si="14"/>
        <v>8037950</v>
      </c>
      <c r="H50" s="148">
        <v>6932</v>
      </c>
      <c r="I50" s="370">
        <f>-3178</f>
        <v>-3178</v>
      </c>
      <c r="J50" s="54">
        <f t="shared" si="21"/>
        <v>3754</v>
      </c>
      <c r="K50" s="63">
        <f t="shared" si="22"/>
        <v>5992711</v>
      </c>
      <c r="L50" s="193">
        <f t="shared" si="11"/>
        <v>12179</v>
      </c>
      <c r="M50" s="193">
        <f t="shared" si="17"/>
        <v>-3920</v>
      </c>
      <c r="N50" s="54">
        <f t="shared" si="24"/>
        <v>8259</v>
      </c>
      <c r="O50" s="64">
        <f t="shared" si="16"/>
        <v>14030661</v>
      </c>
    </row>
    <row r="51" spans="1:15" ht="15" customHeight="1">
      <c r="A51" s="47">
        <f t="shared" si="13"/>
        <v>33</v>
      </c>
      <c r="B51" s="59">
        <v>33</v>
      </c>
      <c r="C51" s="383">
        <v>44176</v>
      </c>
      <c r="D51" s="193">
        <v>6584</v>
      </c>
      <c r="E51" s="370">
        <v>-781</v>
      </c>
      <c r="F51" s="54">
        <f t="shared" si="25"/>
        <v>5803</v>
      </c>
      <c r="G51" s="63">
        <f t="shared" si="14"/>
        <v>8043753</v>
      </c>
      <c r="H51" s="148">
        <v>6492</v>
      </c>
      <c r="I51" s="370">
        <v>-2011</v>
      </c>
      <c r="J51" s="54">
        <f t="shared" si="21"/>
        <v>4481</v>
      </c>
      <c r="K51" s="63">
        <f t="shared" si="22"/>
        <v>5997192</v>
      </c>
      <c r="L51" s="193">
        <f t="shared" si="11"/>
        <v>13076</v>
      </c>
      <c r="M51" s="193">
        <f t="shared" si="17"/>
        <v>-2792</v>
      </c>
      <c r="N51" s="54">
        <f t="shared" si="24"/>
        <v>10284</v>
      </c>
      <c r="O51" s="64">
        <f t="shared" si="16"/>
        <v>14040945</v>
      </c>
    </row>
    <row r="52" spans="1:15" ht="15" customHeight="1">
      <c r="A52" s="47">
        <f t="shared" si="13"/>
        <v>34</v>
      </c>
      <c r="B52" s="62">
        <v>34</v>
      </c>
      <c r="C52" s="383">
        <v>44183</v>
      </c>
      <c r="D52" s="148">
        <v>3668</v>
      </c>
      <c r="E52" s="370">
        <v>0</v>
      </c>
      <c r="F52" s="54">
        <f t="shared" si="25"/>
        <v>3668</v>
      </c>
      <c r="G52" s="63">
        <f t="shared" si="14"/>
        <v>8047421</v>
      </c>
      <c r="H52" s="148">
        <v>7021</v>
      </c>
      <c r="I52" s="370">
        <v>-2931</v>
      </c>
      <c r="J52" s="54">
        <f>H52+I52</f>
        <v>4090</v>
      </c>
      <c r="K52" s="63">
        <f t="shared" si="22"/>
        <v>6001282</v>
      </c>
      <c r="L52" s="193">
        <f t="shared" si="11"/>
        <v>10689</v>
      </c>
      <c r="M52" s="193">
        <f t="shared" si="17"/>
        <v>-2931</v>
      </c>
      <c r="N52" s="54">
        <f t="shared" si="24"/>
        <v>7758</v>
      </c>
      <c r="O52" s="64">
        <f t="shared" si="16"/>
        <v>14048703</v>
      </c>
    </row>
    <row r="53" spans="1:15" ht="15" customHeight="1">
      <c r="A53" s="47">
        <f t="shared" si="13"/>
        <v>35</v>
      </c>
      <c r="B53" s="53">
        <v>35</v>
      </c>
      <c r="C53" s="383">
        <v>44190</v>
      </c>
      <c r="D53" s="169">
        <v>8599</v>
      </c>
      <c r="E53" s="207">
        <v>12058</v>
      </c>
      <c r="F53" s="54">
        <f t="shared" si="25"/>
        <v>20657</v>
      </c>
      <c r="G53" s="63">
        <f t="shared" si="14"/>
        <v>8068078</v>
      </c>
      <c r="H53" s="163">
        <v>11226</v>
      </c>
      <c r="I53" s="370">
        <v>27238</v>
      </c>
      <c r="J53" s="54">
        <f>H53+I53</f>
        <v>38464</v>
      </c>
      <c r="K53" s="63">
        <f t="shared" si="22"/>
        <v>6039746</v>
      </c>
      <c r="L53" s="193">
        <f t="shared" si="11"/>
        <v>19825</v>
      </c>
      <c r="M53" s="193">
        <f t="shared" si="17"/>
        <v>39296</v>
      </c>
      <c r="N53" s="54">
        <f t="shared" si="24"/>
        <v>59121</v>
      </c>
      <c r="O53" s="64">
        <f t="shared" si="16"/>
        <v>14107824</v>
      </c>
    </row>
    <row r="54" spans="1:15" ht="15" customHeight="1">
      <c r="A54" s="47">
        <f t="shared" si="13"/>
        <v>36</v>
      </c>
      <c r="B54" s="59">
        <v>36</v>
      </c>
      <c r="C54" s="383">
        <v>44197</v>
      </c>
      <c r="D54" s="169">
        <v>789</v>
      </c>
      <c r="E54" s="370">
        <v>-625</v>
      </c>
      <c r="F54" s="54">
        <f t="shared" si="25"/>
        <v>164</v>
      </c>
      <c r="G54" s="63">
        <f t="shared" si="14"/>
        <v>8068242</v>
      </c>
      <c r="H54" s="163">
        <v>2160</v>
      </c>
      <c r="I54" s="370">
        <v>-1854</v>
      </c>
      <c r="J54" s="54">
        <f>H54+I54</f>
        <v>306</v>
      </c>
      <c r="K54" s="63">
        <f t="shared" si="22"/>
        <v>6040052</v>
      </c>
      <c r="L54" s="193">
        <f t="shared" si="11"/>
        <v>2949</v>
      </c>
      <c r="M54" s="193">
        <f t="shared" si="17"/>
        <v>-2479</v>
      </c>
      <c r="N54" s="54">
        <f t="shared" si="24"/>
        <v>470</v>
      </c>
      <c r="O54" s="64">
        <f t="shared" si="16"/>
        <v>14108294</v>
      </c>
    </row>
    <row r="55" spans="1:15" ht="15" customHeight="1">
      <c r="A55" s="47">
        <f t="shared" si="13"/>
        <v>37</v>
      </c>
      <c r="B55" s="59">
        <v>37</v>
      </c>
      <c r="C55" s="383">
        <v>44204</v>
      </c>
      <c r="D55" s="169">
        <v>3070</v>
      </c>
      <c r="E55" s="370">
        <v>-122</v>
      </c>
      <c r="F55" s="54">
        <f t="shared" si="25"/>
        <v>2948</v>
      </c>
      <c r="G55" s="63">
        <f t="shared" si="14"/>
        <v>8071190</v>
      </c>
      <c r="H55" s="163">
        <v>3178</v>
      </c>
      <c r="I55" s="370">
        <v>-1387</v>
      </c>
      <c r="J55" s="54">
        <f>H55+I55</f>
        <v>1791</v>
      </c>
      <c r="K55" s="63">
        <f>K54+J55</f>
        <v>6041843</v>
      </c>
      <c r="L55" s="193">
        <f t="shared" si="11"/>
        <v>6248</v>
      </c>
      <c r="M55" s="193">
        <f t="shared" si="17"/>
        <v>-1509</v>
      </c>
      <c r="N55" s="54">
        <f aca="true" t="shared" si="26" ref="N55:N60">L55+M55</f>
        <v>4739</v>
      </c>
      <c r="O55" s="64">
        <f t="shared" si="16"/>
        <v>14113033</v>
      </c>
    </row>
    <row r="56" spans="1:15" ht="15" customHeight="1">
      <c r="A56" s="47">
        <f t="shared" si="13"/>
        <v>38</v>
      </c>
      <c r="B56" s="62">
        <v>38</v>
      </c>
      <c r="C56" s="383">
        <v>44211</v>
      </c>
      <c r="D56" s="169">
        <v>5580</v>
      </c>
      <c r="E56" s="370">
        <v>33</v>
      </c>
      <c r="F56" s="54">
        <f aca="true" t="shared" si="27" ref="F56:F61">D56+E56</f>
        <v>5613</v>
      </c>
      <c r="G56" s="63">
        <f aca="true" t="shared" si="28" ref="G56:G64">G55+F56</f>
        <v>8076803</v>
      </c>
      <c r="H56" s="163">
        <v>4215</v>
      </c>
      <c r="I56" s="370">
        <v>0</v>
      </c>
      <c r="J56" s="54">
        <f aca="true" t="shared" si="29" ref="J56:J61">H56+I56</f>
        <v>4215</v>
      </c>
      <c r="K56" s="63">
        <f aca="true" t="shared" si="30" ref="K56:K64">K55+J56</f>
        <v>6046058</v>
      </c>
      <c r="L56" s="193">
        <f t="shared" si="11"/>
        <v>9795</v>
      </c>
      <c r="M56" s="193">
        <f t="shared" si="17"/>
        <v>33</v>
      </c>
      <c r="N56" s="54">
        <f t="shared" si="26"/>
        <v>9828</v>
      </c>
      <c r="O56" s="64">
        <f t="shared" si="16"/>
        <v>14122861</v>
      </c>
    </row>
    <row r="57" spans="1:15" ht="15" customHeight="1">
      <c r="A57" s="47">
        <f t="shared" si="13"/>
        <v>39</v>
      </c>
      <c r="B57" s="53">
        <v>39</v>
      </c>
      <c r="C57" s="383">
        <v>44218</v>
      </c>
      <c r="D57" s="169">
        <v>7152</v>
      </c>
      <c r="E57" s="370">
        <v>0</v>
      </c>
      <c r="F57" s="54">
        <f t="shared" si="27"/>
        <v>7152</v>
      </c>
      <c r="G57" s="63">
        <f t="shared" si="28"/>
        <v>8083955</v>
      </c>
      <c r="H57" s="163">
        <v>6661</v>
      </c>
      <c r="I57" s="370">
        <v>0</v>
      </c>
      <c r="J57" s="54">
        <f t="shared" si="29"/>
        <v>6661</v>
      </c>
      <c r="K57" s="63">
        <f t="shared" si="30"/>
        <v>6052719</v>
      </c>
      <c r="L57" s="193">
        <f t="shared" si="11"/>
        <v>13813</v>
      </c>
      <c r="M57" s="193">
        <f t="shared" si="17"/>
        <v>0</v>
      </c>
      <c r="N57" s="54">
        <f t="shared" si="26"/>
        <v>13813</v>
      </c>
      <c r="O57" s="64">
        <f t="shared" si="16"/>
        <v>14136674</v>
      </c>
    </row>
    <row r="58" spans="1:15" ht="15" customHeight="1">
      <c r="A58" s="47">
        <f t="shared" si="13"/>
        <v>40</v>
      </c>
      <c r="B58" s="59">
        <v>40</v>
      </c>
      <c r="C58" s="383">
        <v>44225</v>
      </c>
      <c r="D58" s="169">
        <v>10071</v>
      </c>
      <c r="E58" s="370">
        <v>22081</v>
      </c>
      <c r="F58" s="54">
        <f t="shared" si="27"/>
        <v>32152</v>
      </c>
      <c r="G58" s="63">
        <f t="shared" si="28"/>
        <v>8116107</v>
      </c>
      <c r="H58" s="163">
        <v>10802</v>
      </c>
      <c r="I58" s="370">
        <v>28037</v>
      </c>
      <c r="J58" s="54">
        <f t="shared" si="29"/>
        <v>38839</v>
      </c>
      <c r="K58" s="63">
        <f t="shared" si="30"/>
        <v>6091558</v>
      </c>
      <c r="L58" s="193">
        <f t="shared" si="11"/>
        <v>20873</v>
      </c>
      <c r="M58" s="193">
        <f t="shared" si="17"/>
        <v>50118</v>
      </c>
      <c r="N58" s="54">
        <f t="shared" si="26"/>
        <v>70991</v>
      </c>
      <c r="O58" s="64">
        <f>O57+N58</f>
        <v>14207665</v>
      </c>
    </row>
    <row r="59" spans="1:15" ht="15" customHeight="1">
      <c r="A59" s="47">
        <f t="shared" si="13"/>
        <v>41</v>
      </c>
      <c r="B59" s="59">
        <v>41</v>
      </c>
      <c r="C59" s="383">
        <v>44232</v>
      </c>
      <c r="D59" s="169">
        <v>5870</v>
      </c>
      <c r="E59" s="370">
        <v>66</v>
      </c>
      <c r="F59" s="54">
        <f t="shared" si="27"/>
        <v>5936</v>
      </c>
      <c r="G59" s="63">
        <f t="shared" si="28"/>
        <v>8122043</v>
      </c>
      <c r="H59" s="163">
        <v>2679</v>
      </c>
      <c r="I59" s="370">
        <v>560</v>
      </c>
      <c r="J59" s="54">
        <f t="shared" si="29"/>
        <v>3239</v>
      </c>
      <c r="K59" s="63">
        <f t="shared" si="30"/>
        <v>6094797</v>
      </c>
      <c r="L59" s="193">
        <f t="shared" si="11"/>
        <v>8549</v>
      </c>
      <c r="M59" s="193">
        <f t="shared" si="17"/>
        <v>626</v>
      </c>
      <c r="N59" s="54">
        <f t="shared" si="26"/>
        <v>9175</v>
      </c>
      <c r="O59" s="64">
        <f>O58+N59</f>
        <v>14216840</v>
      </c>
    </row>
    <row r="60" spans="1:15" ht="15" customHeight="1">
      <c r="A60" s="47">
        <f t="shared" si="13"/>
        <v>42</v>
      </c>
      <c r="B60" s="62">
        <v>42</v>
      </c>
      <c r="C60" s="383">
        <v>44239</v>
      </c>
      <c r="D60" s="169">
        <v>9105</v>
      </c>
      <c r="E60" s="370">
        <v>1402</v>
      </c>
      <c r="F60" s="54">
        <f t="shared" si="27"/>
        <v>10507</v>
      </c>
      <c r="G60" s="63">
        <f t="shared" si="28"/>
        <v>8132550</v>
      </c>
      <c r="H60" s="163">
        <v>5163</v>
      </c>
      <c r="I60" s="370">
        <v>519</v>
      </c>
      <c r="J60" s="54">
        <f t="shared" si="29"/>
        <v>5682</v>
      </c>
      <c r="K60" s="63">
        <f t="shared" si="30"/>
        <v>6100479</v>
      </c>
      <c r="L60" s="193">
        <f t="shared" si="11"/>
        <v>14268</v>
      </c>
      <c r="M60" s="193">
        <f t="shared" si="17"/>
        <v>1921</v>
      </c>
      <c r="N60" s="54">
        <f t="shared" si="26"/>
        <v>16189</v>
      </c>
      <c r="O60" s="64">
        <f>O59+N60</f>
        <v>14233029</v>
      </c>
    </row>
    <row r="61" spans="1:15" ht="15">
      <c r="A61" s="47">
        <f t="shared" si="13"/>
        <v>43</v>
      </c>
      <c r="B61" s="53">
        <v>43</v>
      </c>
      <c r="C61" s="383">
        <v>44246</v>
      </c>
      <c r="D61" s="169">
        <v>9151</v>
      </c>
      <c r="E61" s="370">
        <v>-446</v>
      </c>
      <c r="F61" s="54">
        <f t="shared" si="27"/>
        <v>8705</v>
      </c>
      <c r="G61" s="63">
        <f t="shared" si="28"/>
        <v>8141255</v>
      </c>
      <c r="H61" s="163">
        <v>10151</v>
      </c>
      <c r="I61" s="370">
        <v>0</v>
      </c>
      <c r="J61" s="54">
        <f t="shared" si="29"/>
        <v>10151</v>
      </c>
      <c r="K61" s="63">
        <f t="shared" si="30"/>
        <v>6110630</v>
      </c>
      <c r="L61" s="193">
        <f t="shared" si="11"/>
        <v>19302</v>
      </c>
      <c r="M61" s="193">
        <f t="shared" si="17"/>
        <v>-446</v>
      </c>
      <c r="N61" s="54">
        <f aca="true" t="shared" si="31" ref="N61:N66">L61+M61</f>
        <v>18856</v>
      </c>
      <c r="O61" s="64">
        <f aca="true" t="shared" si="32" ref="O61:O66">O60+N61</f>
        <v>14251885</v>
      </c>
    </row>
    <row r="62" spans="1:15" ht="15" customHeight="1">
      <c r="A62" s="47">
        <f t="shared" si="13"/>
        <v>44</v>
      </c>
      <c r="B62" s="59">
        <v>44</v>
      </c>
      <c r="C62" s="383">
        <v>44253</v>
      </c>
      <c r="D62" s="169">
        <v>12012</v>
      </c>
      <c r="E62" s="370">
        <v>16842</v>
      </c>
      <c r="F62" s="54">
        <f aca="true" t="shared" si="33" ref="F62:F68">D62+E62</f>
        <v>28854</v>
      </c>
      <c r="G62" s="63">
        <f t="shared" si="28"/>
        <v>8170109</v>
      </c>
      <c r="H62" s="163">
        <v>12908</v>
      </c>
      <c r="I62" s="370">
        <v>27186</v>
      </c>
      <c r="J62" s="54">
        <f aca="true" t="shared" si="34" ref="J62:J67">H62+I62</f>
        <v>40094</v>
      </c>
      <c r="K62" s="63">
        <f t="shared" si="30"/>
        <v>6150724</v>
      </c>
      <c r="L62" s="193">
        <f t="shared" si="11"/>
        <v>24920</v>
      </c>
      <c r="M62" s="193">
        <f t="shared" si="17"/>
        <v>44028</v>
      </c>
      <c r="N62" s="54">
        <f t="shared" si="31"/>
        <v>68948</v>
      </c>
      <c r="O62" s="64">
        <f t="shared" si="32"/>
        <v>14320833</v>
      </c>
    </row>
    <row r="63" spans="1:15" ht="15" customHeight="1">
      <c r="A63" s="47">
        <f t="shared" si="13"/>
        <v>45</v>
      </c>
      <c r="B63" s="59">
        <v>45</v>
      </c>
      <c r="C63" s="383">
        <v>44260</v>
      </c>
      <c r="D63" s="169">
        <v>9202</v>
      </c>
      <c r="E63" s="370">
        <v>-75</v>
      </c>
      <c r="F63" s="54">
        <f t="shared" si="33"/>
        <v>9127</v>
      </c>
      <c r="G63" s="63">
        <f t="shared" si="28"/>
        <v>8179236</v>
      </c>
      <c r="H63" s="163">
        <v>8310</v>
      </c>
      <c r="I63" s="370">
        <v>-434</v>
      </c>
      <c r="J63" s="54">
        <f t="shared" si="34"/>
        <v>7876</v>
      </c>
      <c r="K63" s="63">
        <f t="shared" si="30"/>
        <v>6158600</v>
      </c>
      <c r="L63" s="193">
        <f t="shared" si="11"/>
        <v>17512</v>
      </c>
      <c r="M63" s="193">
        <f t="shared" si="17"/>
        <v>-509</v>
      </c>
      <c r="N63" s="54">
        <f t="shared" si="31"/>
        <v>17003</v>
      </c>
      <c r="O63" s="64">
        <f t="shared" si="32"/>
        <v>14337836</v>
      </c>
    </row>
    <row r="64" spans="1:15" ht="15" customHeight="1">
      <c r="A64" s="47">
        <f t="shared" si="13"/>
        <v>46</v>
      </c>
      <c r="B64" s="62">
        <v>46</v>
      </c>
      <c r="C64" s="383">
        <v>44267</v>
      </c>
      <c r="D64" s="169">
        <v>11229</v>
      </c>
      <c r="E64" s="370">
        <v>0</v>
      </c>
      <c r="F64" s="54">
        <f t="shared" si="33"/>
        <v>11229</v>
      </c>
      <c r="G64" s="63">
        <f t="shared" si="28"/>
        <v>8190465</v>
      </c>
      <c r="H64" s="163">
        <v>16412</v>
      </c>
      <c r="I64" s="370">
        <v>270</v>
      </c>
      <c r="J64" s="54">
        <f t="shared" si="34"/>
        <v>16682</v>
      </c>
      <c r="K64" s="63">
        <f t="shared" si="30"/>
        <v>6175282</v>
      </c>
      <c r="L64" s="193">
        <f t="shared" si="11"/>
        <v>27641</v>
      </c>
      <c r="M64" s="193">
        <f t="shared" si="17"/>
        <v>270</v>
      </c>
      <c r="N64" s="54">
        <f t="shared" si="31"/>
        <v>27911</v>
      </c>
      <c r="O64" s="64">
        <f t="shared" si="32"/>
        <v>14365747</v>
      </c>
    </row>
    <row r="65" spans="1:15" ht="15" customHeight="1">
      <c r="A65" s="47">
        <f t="shared" si="13"/>
        <v>47</v>
      </c>
      <c r="B65" s="53">
        <v>47</v>
      </c>
      <c r="C65" s="383">
        <v>44274</v>
      </c>
      <c r="D65" s="169">
        <v>10015</v>
      </c>
      <c r="E65" s="370">
        <v>0</v>
      </c>
      <c r="F65" s="54">
        <f t="shared" si="33"/>
        <v>10015</v>
      </c>
      <c r="G65" s="63">
        <f aca="true" t="shared" si="35" ref="G65:G70">G64+F65</f>
        <v>8200480</v>
      </c>
      <c r="H65" s="163">
        <v>18217</v>
      </c>
      <c r="I65" s="370">
        <v>231</v>
      </c>
      <c r="J65" s="54">
        <f t="shared" si="34"/>
        <v>18448</v>
      </c>
      <c r="K65" s="63">
        <f aca="true" t="shared" si="36" ref="K65:K70">K64+J65</f>
        <v>6193730</v>
      </c>
      <c r="L65" s="193">
        <f t="shared" si="11"/>
        <v>28232</v>
      </c>
      <c r="M65" s="193">
        <f t="shared" si="17"/>
        <v>231</v>
      </c>
      <c r="N65" s="54">
        <f t="shared" si="31"/>
        <v>28463</v>
      </c>
      <c r="O65" s="64">
        <f t="shared" si="32"/>
        <v>14394210</v>
      </c>
    </row>
    <row r="66" spans="1:15" ht="15" customHeight="1">
      <c r="A66" s="47">
        <f t="shared" si="13"/>
        <v>48</v>
      </c>
      <c r="B66" s="59">
        <v>48</v>
      </c>
      <c r="C66" s="383">
        <v>44281</v>
      </c>
      <c r="D66" s="169">
        <v>8513</v>
      </c>
      <c r="E66" s="370">
        <v>36488</v>
      </c>
      <c r="F66" s="54">
        <f t="shared" si="33"/>
        <v>45001</v>
      </c>
      <c r="G66" s="63">
        <f t="shared" si="35"/>
        <v>8245481</v>
      </c>
      <c r="H66" s="163">
        <v>10785</v>
      </c>
      <c r="I66" s="370">
        <v>38179</v>
      </c>
      <c r="J66" s="54">
        <f t="shared" si="34"/>
        <v>48964</v>
      </c>
      <c r="K66" s="63">
        <f t="shared" si="36"/>
        <v>6242694</v>
      </c>
      <c r="L66" s="193">
        <f t="shared" si="11"/>
        <v>19298</v>
      </c>
      <c r="M66" s="193">
        <f t="shared" si="17"/>
        <v>74667</v>
      </c>
      <c r="N66" s="54">
        <f t="shared" si="31"/>
        <v>93965</v>
      </c>
      <c r="O66" s="64">
        <f t="shared" si="32"/>
        <v>14488175</v>
      </c>
    </row>
    <row r="67" spans="1:16" s="1" customFormat="1" ht="15" customHeight="1">
      <c r="A67" s="47">
        <f t="shared" si="13"/>
        <v>49</v>
      </c>
      <c r="B67" s="59">
        <v>49</v>
      </c>
      <c r="C67" s="383">
        <v>44288</v>
      </c>
      <c r="D67" s="169">
        <v>5055</v>
      </c>
      <c r="E67" s="370">
        <v>0</v>
      </c>
      <c r="F67" s="54">
        <f t="shared" si="33"/>
        <v>5055</v>
      </c>
      <c r="G67" s="63">
        <f t="shared" si="35"/>
        <v>8250536</v>
      </c>
      <c r="H67" s="163">
        <v>8830</v>
      </c>
      <c r="I67" s="370">
        <v>-458</v>
      </c>
      <c r="J67" s="54">
        <f t="shared" si="34"/>
        <v>8372</v>
      </c>
      <c r="K67" s="63">
        <f t="shared" si="36"/>
        <v>6251066</v>
      </c>
      <c r="L67" s="193">
        <f t="shared" si="11"/>
        <v>13885</v>
      </c>
      <c r="M67" s="193">
        <f t="shared" si="17"/>
        <v>-458</v>
      </c>
      <c r="N67" s="54">
        <f aca="true" t="shared" si="37" ref="N67:N72">L67+M67</f>
        <v>13427</v>
      </c>
      <c r="O67" s="64">
        <f aca="true" t="shared" si="38" ref="O67:O72">O66+N67</f>
        <v>14501602</v>
      </c>
      <c r="P67" s="2"/>
    </row>
    <row r="68" spans="1:15" ht="15" customHeight="1">
      <c r="A68" s="47">
        <f t="shared" si="13"/>
        <v>50</v>
      </c>
      <c r="B68" s="62">
        <v>50</v>
      </c>
      <c r="C68" s="383">
        <v>44295</v>
      </c>
      <c r="D68" s="169">
        <v>16900</v>
      </c>
      <c r="E68" s="370">
        <v>0</v>
      </c>
      <c r="F68" s="54">
        <f t="shared" si="33"/>
        <v>16900</v>
      </c>
      <c r="G68" s="63">
        <f t="shared" si="35"/>
        <v>8267436</v>
      </c>
      <c r="H68" s="163">
        <v>28428</v>
      </c>
      <c r="I68" s="370">
        <v>0</v>
      </c>
      <c r="J68" s="54">
        <f>H68+I68</f>
        <v>28428</v>
      </c>
      <c r="K68" s="63">
        <f t="shared" si="36"/>
        <v>6279494</v>
      </c>
      <c r="L68" s="193">
        <f t="shared" si="11"/>
        <v>45328</v>
      </c>
      <c r="M68" s="193">
        <f t="shared" si="17"/>
        <v>0</v>
      </c>
      <c r="N68" s="54">
        <f t="shared" si="37"/>
        <v>45328</v>
      </c>
      <c r="O68" s="64">
        <f t="shared" si="38"/>
        <v>14546930</v>
      </c>
    </row>
    <row r="69" spans="1:15" ht="15" customHeight="1">
      <c r="A69" s="47"/>
      <c r="B69" s="53">
        <v>51</v>
      </c>
      <c r="C69" s="383"/>
      <c r="D69" s="169"/>
      <c r="E69" s="207"/>
      <c r="F69" s="54">
        <f>D69+E69</f>
        <v>0</v>
      </c>
      <c r="G69" s="63">
        <f t="shared" si="35"/>
        <v>8267436</v>
      </c>
      <c r="H69" s="163"/>
      <c r="I69" s="207"/>
      <c r="J69" s="54">
        <f>H69+I69</f>
        <v>0</v>
      </c>
      <c r="K69" s="63">
        <f t="shared" si="36"/>
        <v>6279494</v>
      </c>
      <c r="L69" s="193">
        <f t="shared" si="11"/>
        <v>0</v>
      </c>
      <c r="M69" s="193">
        <f t="shared" si="17"/>
        <v>0</v>
      </c>
      <c r="N69" s="54">
        <f t="shared" si="37"/>
        <v>0</v>
      </c>
      <c r="O69" s="64">
        <f t="shared" si="38"/>
        <v>14546930</v>
      </c>
    </row>
    <row r="70" spans="1:15" ht="15" customHeight="1">
      <c r="A70" s="47"/>
      <c r="B70" s="59">
        <v>52</v>
      </c>
      <c r="C70" s="383"/>
      <c r="D70" s="169"/>
      <c r="E70" s="207"/>
      <c r="F70" s="54">
        <f>D70+E70</f>
        <v>0</v>
      </c>
      <c r="G70" s="63">
        <f t="shared" si="35"/>
        <v>8267436</v>
      </c>
      <c r="H70" s="163"/>
      <c r="I70" s="207"/>
      <c r="J70" s="54">
        <f>H70+I70</f>
        <v>0</v>
      </c>
      <c r="K70" s="63">
        <f t="shared" si="36"/>
        <v>6279494</v>
      </c>
      <c r="L70" s="193">
        <f t="shared" si="11"/>
        <v>0</v>
      </c>
      <c r="M70" s="193">
        <f t="shared" si="17"/>
        <v>0</v>
      </c>
      <c r="N70" s="54">
        <f t="shared" si="37"/>
        <v>0</v>
      </c>
      <c r="O70" s="63">
        <f t="shared" si="38"/>
        <v>14546930</v>
      </c>
    </row>
    <row r="71" spans="1:15" ht="15">
      <c r="A71" s="47"/>
      <c r="B71" s="59">
        <v>53</v>
      </c>
      <c r="C71" s="383"/>
      <c r="D71" s="193"/>
      <c r="E71" s="207"/>
      <c r="F71" s="54">
        <f>D71+E71</f>
        <v>0</v>
      </c>
      <c r="G71" s="63">
        <f>G70+F71</f>
        <v>8267436</v>
      </c>
      <c r="H71" s="264"/>
      <c r="I71" s="207"/>
      <c r="J71" s="54">
        <f>H71+I71</f>
        <v>0</v>
      </c>
      <c r="K71" s="63">
        <f>K70+J71</f>
        <v>6279494</v>
      </c>
      <c r="L71" s="193">
        <f t="shared" si="11"/>
        <v>0</v>
      </c>
      <c r="M71" s="193">
        <f t="shared" si="17"/>
        <v>0</v>
      </c>
      <c r="N71" s="54">
        <f t="shared" si="37"/>
        <v>0</v>
      </c>
      <c r="O71" s="63">
        <f t="shared" si="38"/>
        <v>14546930</v>
      </c>
    </row>
    <row r="72" spans="1:15" ht="15">
      <c r="A72" s="47"/>
      <c r="B72" s="53">
        <v>54</v>
      </c>
      <c r="C72" s="383"/>
      <c r="D72" s="193"/>
      <c r="E72" s="207"/>
      <c r="F72" s="54">
        <f>D72+E72</f>
        <v>0</v>
      </c>
      <c r="G72" s="63">
        <f>G71+F72</f>
        <v>8267436</v>
      </c>
      <c r="H72" s="264"/>
      <c r="I72" s="207"/>
      <c r="J72" s="54">
        <f>H72+I72</f>
        <v>0</v>
      </c>
      <c r="K72" s="63">
        <f>K71+J72</f>
        <v>6279494</v>
      </c>
      <c r="L72" s="193">
        <f t="shared" si="11"/>
        <v>0</v>
      </c>
      <c r="M72" s="193">
        <f t="shared" si="17"/>
        <v>0</v>
      </c>
      <c r="N72" s="54">
        <f t="shared" si="37"/>
        <v>0</v>
      </c>
      <c r="O72" s="63">
        <f t="shared" si="38"/>
        <v>14546930</v>
      </c>
    </row>
    <row r="73" spans="1:15" ht="14.25">
      <c r="A73" s="47"/>
      <c r="B73" s="47"/>
      <c r="C73" s="380"/>
      <c r="D73" s="174"/>
      <c r="E73" s="65"/>
      <c r="F73" s="66"/>
      <c r="G73" s="67"/>
      <c r="H73" s="164"/>
      <c r="I73" s="174"/>
      <c r="J73" s="66"/>
      <c r="K73" s="67"/>
      <c r="L73" s="174"/>
      <c r="M73" s="167"/>
      <c r="N73" s="68"/>
      <c r="O73" s="49"/>
    </row>
    <row r="74" spans="1:15" ht="14.25">
      <c r="A74" s="47"/>
      <c r="B74" s="47"/>
      <c r="C74" s="380"/>
      <c r="D74" s="174"/>
      <c r="E74" s="65"/>
      <c r="F74" s="66"/>
      <c r="G74" s="67"/>
      <c r="H74" s="164"/>
      <c r="I74" s="174"/>
      <c r="J74" s="66"/>
      <c r="K74" s="67"/>
      <c r="L74" s="174"/>
      <c r="M74" s="167"/>
      <c r="N74" s="48"/>
      <c r="O74" s="49"/>
    </row>
    <row r="75" spans="1:15" ht="14.25">
      <c r="A75" s="47"/>
      <c r="B75" s="47"/>
      <c r="C75" s="380"/>
      <c r="D75" s="174"/>
      <c r="E75" s="65"/>
      <c r="F75" s="66"/>
      <c r="G75" s="67"/>
      <c r="H75" s="164"/>
      <c r="I75" s="174"/>
      <c r="J75" s="66"/>
      <c r="K75" s="67"/>
      <c r="L75" s="174"/>
      <c r="M75" s="167"/>
      <c r="N75" s="48"/>
      <c r="O75" s="49"/>
    </row>
    <row r="76" spans="1:15" ht="14.25">
      <c r="A76" s="47"/>
      <c r="B76" s="47"/>
      <c r="C76" s="380"/>
      <c r="D76" s="174"/>
      <c r="E76" s="65"/>
      <c r="F76" s="66"/>
      <c r="G76" s="67"/>
      <c r="H76" s="164"/>
      <c r="I76" s="174"/>
      <c r="J76" s="66"/>
      <c r="K76" s="67"/>
      <c r="L76" s="174"/>
      <c r="M76" s="167"/>
      <c r="N76" s="48"/>
      <c r="O76" s="49"/>
    </row>
    <row r="77" spans="1:15" ht="14.25">
      <c r="A77" s="47"/>
      <c r="B77" s="47"/>
      <c r="C77" s="380"/>
      <c r="D77" s="174"/>
      <c r="E77" s="65"/>
      <c r="F77" s="66"/>
      <c r="G77" s="67"/>
      <c r="H77" s="164"/>
      <c r="I77" s="174"/>
      <c r="J77" s="66"/>
      <c r="K77" s="67"/>
      <c r="L77" s="174"/>
      <c r="M77" s="167"/>
      <c r="N77" s="48"/>
      <c r="O77" s="49"/>
    </row>
    <row r="78" spans="1:15" ht="14.25">
      <c r="A78" s="47"/>
      <c r="B78" s="47"/>
      <c r="C78" s="380"/>
      <c r="D78" s="174"/>
      <c r="E78" s="65"/>
      <c r="F78" s="66"/>
      <c r="G78" s="67"/>
      <c r="H78" s="164"/>
      <c r="I78" s="174"/>
      <c r="J78" s="66"/>
      <c r="K78" s="67"/>
      <c r="L78" s="174"/>
      <c r="M78" s="167"/>
      <c r="N78" s="48"/>
      <c r="O78" s="49"/>
    </row>
    <row r="79" spans="4:12" ht="12">
      <c r="D79" s="175"/>
      <c r="E79" s="5"/>
      <c r="F79" s="8"/>
      <c r="G79" s="6"/>
      <c r="H79" s="165"/>
      <c r="I79" s="175"/>
      <c r="J79" s="8"/>
      <c r="K79" s="6"/>
      <c r="L79" s="175"/>
    </row>
    <row r="80" spans="4:12" ht="12">
      <c r="D80" s="175"/>
      <c r="E80" s="5"/>
      <c r="F80" s="8"/>
      <c r="G80" s="6"/>
      <c r="H80" s="165"/>
      <c r="I80" s="175"/>
      <c r="J80" s="8"/>
      <c r="K80" s="6"/>
      <c r="L80" s="175"/>
    </row>
    <row r="81" spans="4:12" ht="12">
      <c r="D81" s="175"/>
      <c r="E81" s="5"/>
      <c r="F81" s="8"/>
      <c r="G81" s="6"/>
      <c r="H81" s="165"/>
      <c r="I81" s="175"/>
      <c r="J81" s="8"/>
      <c r="K81" s="6"/>
      <c r="L81" s="175"/>
    </row>
    <row r="82" spans="4:12" ht="12">
      <c r="D82" s="175"/>
      <c r="E82" s="5"/>
      <c r="F82" s="8"/>
      <c r="G82" s="6"/>
      <c r="H82" s="165"/>
      <c r="I82" s="175"/>
      <c r="J82" s="8"/>
      <c r="K82" s="6"/>
      <c r="L82" s="175"/>
    </row>
    <row r="83" spans="4:12" ht="12">
      <c r="D83" s="175"/>
      <c r="E83" s="5"/>
      <c r="F83" s="8"/>
      <c r="G83" s="6"/>
      <c r="H83" s="165"/>
      <c r="I83" s="175"/>
      <c r="J83" s="8"/>
      <c r="K83" s="6"/>
      <c r="L83" s="175"/>
    </row>
    <row r="84" spans="4:12" ht="12">
      <c r="D84" s="175"/>
      <c r="E84" s="5"/>
      <c r="F84" s="8"/>
      <c r="G84" s="6"/>
      <c r="H84" s="165"/>
      <c r="I84" s="175"/>
      <c r="J84" s="8"/>
      <c r="K84" s="6"/>
      <c r="L84" s="175"/>
    </row>
    <row r="85" spans="4:12" ht="12">
      <c r="D85" s="175"/>
      <c r="E85" s="5"/>
      <c r="F85" s="8"/>
      <c r="G85" s="6"/>
      <c r="H85" s="165"/>
      <c r="I85" s="175"/>
      <c r="J85" s="8"/>
      <c r="K85" s="6"/>
      <c r="L85" s="175"/>
    </row>
    <row r="86" spans="4:12" ht="12">
      <c r="D86" s="175"/>
      <c r="E86" s="5"/>
      <c r="F86" s="8"/>
      <c r="G86" s="6"/>
      <c r="H86" s="165"/>
      <c r="I86" s="175"/>
      <c r="J86" s="8"/>
      <c r="K86" s="6"/>
      <c r="L86" s="175"/>
    </row>
    <row r="87" spans="4:12" ht="12">
      <c r="D87" s="175"/>
      <c r="E87" s="5"/>
      <c r="F87" s="8"/>
      <c r="G87" s="6"/>
      <c r="H87" s="165"/>
      <c r="I87" s="175"/>
      <c r="J87" s="8"/>
      <c r="K87" s="6"/>
      <c r="L87" s="175"/>
    </row>
    <row r="88" spans="4:12" ht="12">
      <c r="D88" s="175"/>
      <c r="E88" s="5"/>
      <c r="F88" s="8"/>
      <c r="G88" s="6"/>
      <c r="H88" s="165"/>
      <c r="I88" s="175"/>
      <c r="J88" s="8"/>
      <c r="K88" s="6"/>
      <c r="L88" s="175"/>
    </row>
    <row r="89" spans="4:12" ht="12">
      <c r="D89" s="175"/>
      <c r="E89" s="5"/>
      <c r="F89" s="8"/>
      <c r="G89" s="6"/>
      <c r="H89" s="165"/>
      <c r="I89" s="175"/>
      <c r="J89" s="8"/>
      <c r="K89" s="6"/>
      <c r="L89" s="175"/>
    </row>
    <row r="90" spans="4:12" ht="12">
      <c r="D90" s="175"/>
      <c r="E90" s="5"/>
      <c r="F90" s="8"/>
      <c r="G90" s="6"/>
      <c r="H90" s="165"/>
      <c r="I90" s="175"/>
      <c r="J90" s="8"/>
      <c r="K90" s="6"/>
      <c r="L90" s="175"/>
    </row>
    <row r="91" spans="4:12" ht="12">
      <c r="D91" s="175"/>
      <c r="E91" s="5"/>
      <c r="F91" s="8"/>
      <c r="G91" s="6"/>
      <c r="H91" s="165"/>
      <c r="I91" s="175"/>
      <c r="J91" s="8"/>
      <c r="K91" s="6"/>
      <c r="L91" s="175"/>
    </row>
    <row r="92" spans="4:12" ht="12">
      <c r="D92" s="175"/>
      <c r="E92" s="5"/>
      <c r="F92" s="8"/>
      <c r="G92" s="6"/>
      <c r="H92" s="165"/>
      <c r="I92" s="175"/>
      <c r="J92" s="8"/>
      <c r="K92" s="6"/>
      <c r="L92" s="175"/>
    </row>
    <row r="93" spans="4:12" ht="12">
      <c r="D93" s="175"/>
      <c r="E93" s="5"/>
      <c r="F93" s="8"/>
      <c r="G93" s="6"/>
      <c r="H93" s="165"/>
      <c r="I93" s="175"/>
      <c r="J93" s="8"/>
      <c r="K93" s="6"/>
      <c r="L93" s="175"/>
    </row>
    <row r="94" spans="4:12" ht="12">
      <c r="D94" s="175"/>
      <c r="E94" s="5"/>
      <c r="F94" s="8"/>
      <c r="G94" s="6"/>
      <c r="H94" s="165"/>
      <c r="I94" s="175"/>
      <c r="J94" s="8"/>
      <c r="K94" s="6"/>
      <c r="L94" s="175"/>
    </row>
    <row r="95" spans="4:12" ht="12">
      <c r="D95" s="175"/>
      <c r="E95" s="5"/>
      <c r="F95" s="8"/>
      <c r="G95" s="6"/>
      <c r="H95" s="165"/>
      <c r="I95" s="175"/>
      <c r="J95" s="8"/>
      <c r="K95" s="6"/>
      <c r="L95" s="175"/>
    </row>
    <row r="96" spans="4:12" ht="12">
      <c r="D96" s="175"/>
      <c r="E96" s="5"/>
      <c r="F96" s="8"/>
      <c r="G96" s="6"/>
      <c r="H96" s="165"/>
      <c r="I96" s="175"/>
      <c r="J96" s="8"/>
      <c r="K96" s="6"/>
      <c r="L96" s="175"/>
    </row>
    <row r="97" spans="4:12" ht="12">
      <c r="D97" s="175"/>
      <c r="E97" s="5"/>
      <c r="F97" s="8"/>
      <c r="G97" s="6"/>
      <c r="H97" s="165"/>
      <c r="I97" s="175"/>
      <c r="J97" s="8"/>
      <c r="K97" s="6"/>
      <c r="L97" s="175"/>
    </row>
    <row r="98" spans="4:12" ht="12">
      <c r="D98" s="175"/>
      <c r="E98" s="5"/>
      <c r="F98" s="8"/>
      <c r="G98" s="6"/>
      <c r="H98" s="165"/>
      <c r="I98" s="175"/>
      <c r="J98" s="8"/>
      <c r="K98" s="6"/>
      <c r="L98" s="175"/>
    </row>
    <row r="99" spans="4:12" ht="12">
      <c r="D99" s="175"/>
      <c r="E99" s="5"/>
      <c r="F99" s="8"/>
      <c r="G99" s="6"/>
      <c r="H99" s="165"/>
      <c r="I99" s="175"/>
      <c r="J99" s="8"/>
      <c r="K99" s="6"/>
      <c r="L99" s="175"/>
    </row>
    <row r="100" spans="4:12" ht="12">
      <c r="D100" s="175"/>
      <c r="E100" s="5"/>
      <c r="F100" s="8"/>
      <c r="G100" s="6"/>
      <c r="H100" s="165"/>
      <c r="I100" s="175"/>
      <c r="J100" s="8"/>
      <c r="K100" s="6"/>
      <c r="L100" s="175"/>
    </row>
    <row r="101" spans="4:12" ht="12">
      <c r="D101" s="175"/>
      <c r="E101" s="5"/>
      <c r="F101" s="8"/>
      <c r="G101" s="6"/>
      <c r="H101" s="165"/>
      <c r="I101" s="175"/>
      <c r="J101" s="8"/>
      <c r="K101" s="6"/>
      <c r="L101" s="175"/>
    </row>
    <row r="102" spans="4:12" ht="12">
      <c r="D102" s="175"/>
      <c r="E102" s="5"/>
      <c r="F102" s="8"/>
      <c r="G102" s="6"/>
      <c r="H102" s="165"/>
      <c r="I102" s="175"/>
      <c r="J102" s="8"/>
      <c r="K102" s="6"/>
      <c r="L102" s="175"/>
    </row>
    <row r="103" spans="4:12" ht="12">
      <c r="D103" s="175"/>
      <c r="E103" s="5"/>
      <c r="F103" s="8"/>
      <c r="G103" s="6"/>
      <c r="H103" s="165"/>
      <c r="I103" s="175"/>
      <c r="J103" s="8"/>
      <c r="K103" s="6"/>
      <c r="L103" s="175"/>
    </row>
    <row r="104" spans="4:12" ht="12">
      <c r="D104" s="175"/>
      <c r="E104" s="5"/>
      <c r="F104" s="8"/>
      <c r="G104" s="6"/>
      <c r="H104" s="165"/>
      <c r="I104" s="175"/>
      <c r="J104" s="8"/>
      <c r="K104" s="6"/>
      <c r="L104" s="175"/>
    </row>
  </sheetData>
  <sheetProtection/>
  <mergeCells count="5">
    <mergeCell ref="L3:O3"/>
    <mergeCell ref="H3:K3"/>
    <mergeCell ref="D3:G3"/>
    <mergeCell ref="B2:O2"/>
    <mergeCell ref="B18:O1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showGridLines="0" zoomScale="75" zoomScaleNormal="75" workbookViewId="0" topLeftCell="A1">
      <pane xSplit="3" ySplit="3" topLeftCell="F4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68" sqref="C68"/>
    </sheetView>
  </sheetViews>
  <sheetFormatPr defaultColWidth="9.140625" defaultRowHeight="12.75"/>
  <cols>
    <col min="1" max="1" width="8.8515625" style="2" customWidth="1"/>
    <col min="2" max="2" width="26.7109375" style="2" customWidth="1"/>
    <col min="3" max="3" width="23.8515625" style="4" customWidth="1"/>
    <col min="4" max="4" width="15.28125" style="4" hidden="1" customWidth="1"/>
    <col min="5" max="5" width="14.57421875" style="4" hidden="1" customWidth="1"/>
    <col min="6" max="6" width="15.140625" style="2" customWidth="1"/>
    <col min="7" max="7" width="14.57421875" style="2" customWidth="1"/>
    <col min="8" max="8" width="14.8515625" style="124" customWidth="1"/>
    <col min="9" max="9" width="14.28125" style="2" customWidth="1"/>
    <col min="10" max="10" width="15.28125" style="2" customWidth="1"/>
    <col min="11" max="11" width="15.57421875" style="2" customWidth="1"/>
    <col min="12" max="14" width="17.140625" style="2" customWidth="1"/>
    <col min="15" max="15" width="14.421875" style="2" bestFit="1" customWidth="1"/>
    <col min="16" max="16" width="13.57421875" style="2" customWidth="1"/>
    <col min="17" max="16384" width="9.140625" style="2" customWidth="1"/>
  </cols>
  <sheetData>
    <row r="1" spans="1:10" ht="12.75" thickBot="1">
      <c r="A1" s="12"/>
      <c r="B1" s="12"/>
      <c r="C1" s="14"/>
      <c r="D1" s="14"/>
      <c r="E1" s="14"/>
      <c r="F1" s="12"/>
      <c r="G1" s="12"/>
      <c r="I1" s="12"/>
      <c r="J1" s="12"/>
    </row>
    <row r="2" spans="1:16" ht="23.25" thickBot="1">
      <c r="A2" s="12"/>
      <c r="B2" s="537" t="s">
        <v>74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9"/>
    </row>
    <row r="3" spans="1:16" s="1" customFormat="1" ht="17.25">
      <c r="A3" s="16"/>
      <c r="B3" s="217" t="s">
        <v>19</v>
      </c>
      <c r="C3" s="218" t="s">
        <v>0</v>
      </c>
      <c r="D3" s="289" t="s">
        <v>29</v>
      </c>
      <c r="E3" s="289" t="s">
        <v>30</v>
      </c>
      <c r="F3" s="289" t="s">
        <v>28</v>
      </c>
      <c r="G3" s="314" t="s">
        <v>34</v>
      </c>
      <c r="H3" s="289" t="s">
        <v>61</v>
      </c>
      <c r="I3" s="289" t="s">
        <v>80</v>
      </c>
      <c r="J3" s="315" t="s">
        <v>81</v>
      </c>
      <c r="K3" s="315" t="s">
        <v>91</v>
      </c>
      <c r="L3" s="315" t="s">
        <v>95</v>
      </c>
      <c r="M3" s="244" t="s">
        <v>111</v>
      </c>
      <c r="N3" s="244" t="s">
        <v>128</v>
      </c>
      <c r="O3" s="486" t="s">
        <v>129</v>
      </c>
      <c r="P3" s="337" t="s">
        <v>122</v>
      </c>
    </row>
    <row r="4" spans="1:16" ht="15">
      <c r="A4" s="12"/>
      <c r="B4" s="41">
        <v>44</v>
      </c>
      <c r="C4" s="455">
        <f>'Mielies-Maize'!C6</f>
        <v>43896</v>
      </c>
      <c r="D4" s="204"/>
      <c r="E4" s="208">
        <v>8000</v>
      </c>
      <c r="F4" s="204">
        <v>5000</v>
      </c>
      <c r="G4" s="208">
        <v>21681</v>
      </c>
      <c r="H4" s="228">
        <v>31442</v>
      </c>
      <c r="I4" s="293">
        <v>44208</v>
      </c>
      <c r="J4" s="293">
        <v>49314</v>
      </c>
      <c r="K4" s="228">
        <v>7698</v>
      </c>
      <c r="L4" s="293">
        <v>2322</v>
      </c>
      <c r="M4" s="420">
        <v>2322</v>
      </c>
      <c r="N4" s="417">
        <v>5160</v>
      </c>
      <c r="O4" s="487">
        <f>'Mielies-Maize'!F6</f>
        <v>7344</v>
      </c>
      <c r="P4" s="504"/>
    </row>
    <row r="5" spans="1:16" s="1" customFormat="1" ht="15">
      <c r="A5" s="16"/>
      <c r="B5" s="44">
        <v>45</v>
      </c>
      <c r="C5" s="455">
        <f>'Mielies-Maize'!C7</f>
        <v>43903</v>
      </c>
      <c r="D5" s="204"/>
      <c r="E5" s="208">
        <v>14000</v>
      </c>
      <c r="F5" s="204">
        <v>7000</v>
      </c>
      <c r="G5" s="208">
        <v>16341</v>
      </c>
      <c r="H5" s="228">
        <v>7574</v>
      </c>
      <c r="I5" s="293">
        <v>7431</v>
      </c>
      <c r="J5" s="293">
        <v>17298</v>
      </c>
      <c r="K5" s="228">
        <v>25785</v>
      </c>
      <c r="L5" s="293">
        <v>5338</v>
      </c>
      <c r="M5" s="417">
        <v>5338</v>
      </c>
      <c r="N5" s="417">
        <v>1635</v>
      </c>
      <c r="O5" s="487">
        <f>'Mielies-Maize'!F7</f>
        <v>4120</v>
      </c>
      <c r="P5" s="504"/>
    </row>
    <row r="6" spans="1:16" s="1" customFormat="1" ht="15">
      <c r="A6" s="16"/>
      <c r="B6" s="44">
        <v>46</v>
      </c>
      <c r="C6" s="455">
        <f>'Mielies-Maize'!C8</f>
        <v>43910</v>
      </c>
      <c r="D6" s="204"/>
      <c r="E6" s="208">
        <v>81000</v>
      </c>
      <c r="F6" s="204">
        <v>9000</v>
      </c>
      <c r="G6" s="208">
        <v>22682</v>
      </c>
      <c r="H6" s="228">
        <v>5053</v>
      </c>
      <c r="I6" s="293">
        <v>6752</v>
      </c>
      <c r="J6" s="293">
        <v>23142</v>
      </c>
      <c r="K6" s="228">
        <v>60218</v>
      </c>
      <c r="L6" s="293">
        <v>8415</v>
      </c>
      <c r="M6" s="417">
        <v>8415</v>
      </c>
      <c r="N6" s="417">
        <v>1951</v>
      </c>
      <c r="O6" s="487">
        <f>'Mielies-Maize'!F8</f>
        <v>7498</v>
      </c>
      <c r="P6" s="504"/>
    </row>
    <row r="7" spans="1:16" s="1" customFormat="1" ht="15">
      <c r="A7" s="16"/>
      <c r="B7" s="44">
        <v>47</v>
      </c>
      <c r="C7" s="455">
        <f>'Mielies-Maize'!C9</f>
        <v>43917</v>
      </c>
      <c r="D7" s="204"/>
      <c r="E7" s="208">
        <v>10000</v>
      </c>
      <c r="F7" s="204">
        <v>17000</v>
      </c>
      <c r="G7" s="208">
        <v>35404</v>
      </c>
      <c r="H7" s="228">
        <v>7583</v>
      </c>
      <c r="I7" s="293">
        <v>6629</v>
      </c>
      <c r="J7" s="293">
        <v>20536</v>
      </c>
      <c r="K7" s="228">
        <v>60372</v>
      </c>
      <c r="L7" s="293">
        <v>4286</v>
      </c>
      <c r="M7" s="417">
        <v>4286</v>
      </c>
      <c r="N7" s="417">
        <v>24739</v>
      </c>
      <c r="O7" s="487">
        <f>'Mielies-Maize'!F9</f>
        <v>29129</v>
      </c>
      <c r="P7" s="504"/>
    </row>
    <row r="8" spans="1:16" s="1" customFormat="1" ht="15">
      <c r="A8" s="16"/>
      <c r="B8" s="44">
        <v>48</v>
      </c>
      <c r="C8" s="455">
        <f>'Mielies-Maize'!C10</f>
        <v>43924</v>
      </c>
      <c r="D8" s="204"/>
      <c r="E8" s="208">
        <v>6000</v>
      </c>
      <c r="F8" s="204">
        <v>19000</v>
      </c>
      <c r="G8" s="208">
        <v>13827</v>
      </c>
      <c r="H8" s="228">
        <v>37526</v>
      </c>
      <c r="I8" s="293">
        <v>50583</v>
      </c>
      <c r="J8" s="293">
        <v>65674</v>
      </c>
      <c r="K8" s="228">
        <v>119943</v>
      </c>
      <c r="L8" s="293">
        <v>27621</v>
      </c>
      <c r="M8" s="417">
        <v>27621</v>
      </c>
      <c r="N8" s="417">
        <v>6254</v>
      </c>
      <c r="O8" s="487">
        <f>'Mielies-Maize'!F10</f>
        <v>3059</v>
      </c>
      <c r="P8" s="504"/>
    </row>
    <row r="9" spans="1:16" s="1" customFormat="1" ht="15">
      <c r="A9" s="16"/>
      <c r="B9" s="44">
        <v>49</v>
      </c>
      <c r="C9" s="455"/>
      <c r="D9" s="204"/>
      <c r="E9" s="208">
        <v>7000</v>
      </c>
      <c r="F9" s="204">
        <v>14000</v>
      </c>
      <c r="G9" s="208">
        <v>14194</v>
      </c>
      <c r="H9" s="228">
        <v>10146</v>
      </c>
      <c r="I9" s="293">
        <v>8147</v>
      </c>
      <c r="J9" s="293">
        <v>9793</v>
      </c>
      <c r="K9" s="228">
        <v>51762</v>
      </c>
      <c r="L9" s="293">
        <v>2310</v>
      </c>
      <c r="M9" s="417">
        <v>2310</v>
      </c>
      <c r="N9" s="417">
        <v>9992</v>
      </c>
      <c r="O9" s="487">
        <f>'Mielies-Maize'!F11</f>
        <v>5994</v>
      </c>
      <c r="P9" s="504"/>
    </row>
    <row r="10" spans="1:16" ht="15">
      <c r="A10" s="12"/>
      <c r="B10" s="44">
        <v>50</v>
      </c>
      <c r="C10" s="455"/>
      <c r="D10" s="204"/>
      <c r="E10" s="208">
        <v>10000</v>
      </c>
      <c r="F10" s="204">
        <v>31000</v>
      </c>
      <c r="G10" s="208">
        <v>36786</v>
      </c>
      <c r="H10" s="228">
        <v>15483</v>
      </c>
      <c r="I10" s="293">
        <v>7895</v>
      </c>
      <c r="J10" s="293">
        <v>22825</v>
      </c>
      <c r="K10" s="228">
        <v>22382</v>
      </c>
      <c r="L10" s="293">
        <v>6840</v>
      </c>
      <c r="M10" s="417">
        <v>6840</v>
      </c>
      <c r="N10" s="417">
        <v>11219</v>
      </c>
      <c r="O10" s="487">
        <f>'Mielies-Maize'!F12</f>
        <v>10341</v>
      </c>
      <c r="P10" s="504"/>
    </row>
    <row r="11" spans="1:16" ht="15">
      <c r="A11" s="12"/>
      <c r="B11" s="44">
        <v>51</v>
      </c>
      <c r="C11" s="455"/>
      <c r="D11" s="204"/>
      <c r="E11" s="208">
        <v>0</v>
      </c>
      <c r="F11" s="204">
        <v>70000</v>
      </c>
      <c r="G11" s="208">
        <v>60090</v>
      </c>
      <c r="H11" s="228">
        <v>14779</v>
      </c>
      <c r="I11" s="293">
        <v>21239</v>
      </c>
      <c r="J11" s="293">
        <v>30161</v>
      </c>
      <c r="K11" s="228">
        <v>52461</v>
      </c>
      <c r="L11" s="293">
        <v>8423</v>
      </c>
      <c r="M11" s="417">
        <v>8423</v>
      </c>
      <c r="N11" s="417">
        <v>12656</v>
      </c>
      <c r="O11" s="487">
        <f>'Mielies-Maize'!F13</f>
        <v>53834</v>
      </c>
      <c r="P11" s="504"/>
    </row>
    <row r="12" spans="1:16" ht="15">
      <c r="A12" s="12"/>
      <c r="B12" s="45">
        <v>52</v>
      </c>
      <c r="C12" s="455"/>
      <c r="D12" s="205"/>
      <c r="E12" s="209">
        <v>14000</v>
      </c>
      <c r="F12" s="205">
        <v>50000</v>
      </c>
      <c r="G12" s="209">
        <v>144835</v>
      </c>
      <c r="H12" s="292">
        <v>77847</v>
      </c>
      <c r="I12" s="292">
        <v>19472</v>
      </c>
      <c r="J12" s="292">
        <v>32278</v>
      </c>
      <c r="K12" s="325">
        <v>67746</v>
      </c>
      <c r="L12" s="292">
        <v>12401</v>
      </c>
      <c r="M12" s="418">
        <v>12401</v>
      </c>
      <c r="N12" s="447">
        <v>0</v>
      </c>
      <c r="O12" s="488">
        <f>'Mielies-Maize'!F14</f>
        <v>0</v>
      </c>
      <c r="P12" s="505"/>
    </row>
    <row r="13" spans="1:16" ht="14.25">
      <c r="A13" s="12"/>
      <c r="B13" s="274" t="s">
        <v>125</v>
      </c>
      <c r="C13" s="159"/>
      <c r="D13" s="259"/>
      <c r="E13" s="258"/>
      <c r="F13" s="258"/>
      <c r="G13" s="258"/>
      <c r="H13" s="258"/>
      <c r="I13" s="258"/>
      <c r="J13" s="258"/>
      <c r="K13" s="288"/>
      <c r="L13" s="321">
        <f>'Mielies-Maize'!G15</f>
        <v>0</v>
      </c>
      <c r="M13" s="389">
        <f>'Mielies-Maize'!H15</f>
        <v>0</v>
      </c>
      <c r="N13" s="389">
        <v>0</v>
      </c>
      <c r="O13" s="124">
        <f>'Mielies-Maize'!F15</f>
        <v>0</v>
      </c>
      <c r="P13" s="421"/>
    </row>
    <row r="14" spans="1:16" ht="12">
      <c r="A14" s="12"/>
      <c r="B14" s="274" t="s">
        <v>126</v>
      </c>
      <c r="C14" s="17"/>
      <c r="D14" s="243">
        <v>80337</v>
      </c>
      <c r="E14" s="223">
        <v>49813</v>
      </c>
      <c r="F14" s="243">
        <f>SUM(F5:F8)</f>
        <v>52000</v>
      </c>
      <c r="G14" s="243">
        <f>SUM(G5:G8)</f>
        <v>88254</v>
      </c>
      <c r="H14" s="243">
        <f>SUM(H5:H8)</f>
        <v>57736</v>
      </c>
      <c r="I14" s="243">
        <f>SUM(I5:I8)</f>
        <v>71395</v>
      </c>
      <c r="J14" s="243">
        <f>SUM(J5:J8)</f>
        <v>126650</v>
      </c>
      <c r="K14" s="243">
        <v>128632</v>
      </c>
      <c r="L14" s="243">
        <v>280641</v>
      </c>
      <c r="M14" s="243">
        <v>49811</v>
      </c>
      <c r="N14" s="448">
        <v>35104</v>
      </c>
      <c r="O14" s="489">
        <v>48476</v>
      </c>
      <c r="P14" s="422">
        <f>AVERAGE(J14:N14)</f>
        <v>124167.6</v>
      </c>
    </row>
    <row r="15" spans="1:16" ht="12">
      <c r="A15" s="12"/>
      <c r="B15" s="274" t="s">
        <v>127</v>
      </c>
      <c r="C15" s="17"/>
      <c r="D15" s="243">
        <v>248004</v>
      </c>
      <c r="E15" s="223">
        <v>65890</v>
      </c>
      <c r="F15" s="243">
        <f>SUM(F9:F10)</f>
        <v>45000</v>
      </c>
      <c r="G15" s="243">
        <f>SUM(G9:G10)</f>
        <v>50980</v>
      </c>
      <c r="H15" s="243">
        <f>SUM(H9:H10)</f>
        <v>25629</v>
      </c>
      <c r="I15" s="243">
        <f>SUM(I9:I10)</f>
        <v>16042</v>
      </c>
      <c r="J15" s="243">
        <f>SUM(J9:J10)</f>
        <v>32618</v>
      </c>
      <c r="K15" s="243">
        <v>159424</v>
      </c>
      <c r="L15" s="243">
        <v>222910</v>
      </c>
      <c r="M15" s="243">
        <v>67558</v>
      </c>
      <c r="N15" s="448">
        <v>50794</v>
      </c>
      <c r="O15" s="489">
        <v>82765</v>
      </c>
      <c r="P15" s="422">
        <f>AVERAGE(J15:N15)</f>
        <v>106660.8</v>
      </c>
    </row>
    <row r="16" spans="1:16" ht="15">
      <c r="A16" s="12"/>
      <c r="B16" s="275" t="s">
        <v>44</v>
      </c>
      <c r="C16" s="201"/>
      <c r="D16" s="245">
        <f aca="true" t="shared" si="0" ref="D16:I16">SUM(D14:D15)</f>
        <v>328341</v>
      </c>
      <c r="E16" s="224">
        <f t="shared" si="0"/>
        <v>115703</v>
      </c>
      <c r="F16" s="224">
        <f t="shared" si="0"/>
        <v>97000</v>
      </c>
      <c r="G16" s="262">
        <f t="shared" si="0"/>
        <v>139234</v>
      </c>
      <c r="H16" s="224">
        <f t="shared" si="0"/>
        <v>83365</v>
      </c>
      <c r="I16" s="262">
        <f t="shared" si="0"/>
        <v>87437</v>
      </c>
      <c r="J16" s="247">
        <v>174836</v>
      </c>
      <c r="K16" s="245">
        <f>K14+K15</f>
        <v>288056</v>
      </c>
      <c r="L16" s="245">
        <f>L13+L14+L15</f>
        <v>503551</v>
      </c>
      <c r="M16" s="390">
        <f>M13+M14+M15</f>
        <v>117369</v>
      </c>
      <c r="N16" s="390">
        <v>85898</v>
      </c>
      <c r="O16" s="490">
        <f>O13+O14+O15</f>
        <v>131241</v>
      </c>
      <c r="P16" s="423">
        <f>SUM(P14:P15)</f>
        <v>230828.40000000002</v>
      </c>
    </row>
    <row r="17" spans="1:16" ht="17.25">
      <c r="A17" s="12"/>
      <c r="B17" s="215" t="s">
        <v>19</v>
      </c>
      <c r="C17" s="197" t="s">
        <v>0</v>
      </c>
      <c r="D17" s="199" t="s">
        <v>29</v>
      </c>
      <c r="E17" s="196" t="s">
        <v>30</v>
      </c>
      <c r="F17" s="196" t="str">
        <f>F3</f>
        <v>2011/12</v>
      </c>
      <c r="G17" s="199" t="str">
        <f>G3</f>
        <v>2012/13</v>
      </c>
      <c r="H17" s="196" t="str">
        <f>H3</f>
        <v>2013/14</v>
      </c>
      <c r="I17" s="233" t="s">
        <v>80</v>
      </c>
      <c r="J17" s="233" t="s">
        <v>81</v>
      </c>
      <c r="K17" s="233" t="s">
        <v>91</v>
      </c>
      <c r="L17" s="326" t="s">
        <v>95</v>
      </c>
      <c r="M17" s="199" t="s">
        <v>111</v>
      </c>
      <c r="N17" s="314" t="s">
        <v>120</v>
      </c>
      <c r="O17" s="314" t="s">
        <v>120</v>
      </c>
      <c r="P17" s="424"/>
    </row>
    <row r="18" spans="1:16" ht="12">
      <c r="A18" s="12"/>
      <c r="B18" s="120" t="s">
        <v>77</v>
      </c>
      <c r="C18" s="78" t="s">
        <v>77</v>
      </c>
      <c r="D18" s="20">
        <f aca="true" t="shared" si="1" ref="D18:J18">D16</f>
        <v>328341</v>
      </c>
      <c r="E18" s="42">
        <f t="shared" si="1"/>
        <v>115703</v>
      </c>
      <c r="F18" s="42">
        <f t="shared" si="1"/>
        <v>97000</v>
      </c>
      <c r="G18" s="20">
        <f>G16</f>
        <v>139234</v>
      </c>
      <c r="H18" s="229">
        <f>H16</f>
        <v>83365</v>
      </c>
      <c r="I18" s="225">
        <f t="shared" si="1"/>
        <v>87437</v>
      </c>
      <c r="J18" s="225">
        <f t="shared" si="1"/>
        <v>174836</v>
      </c>
      <c r="K18" s="324">
        <f>K16</f>
        <v>288056</v>
      </c>
      <c r="L18" s="294">
        <f>L16</f>
        <v>503551</v>
      </c>
      <c r="M18" s="324">
        <f>M16</f>
        <v>117369</v>
      </c>
      <c r="N18" s="324">
        <v>85898</v>
      </c>
      <c r="O18" s="324">
        <f>O16</f>
        <v>131241</v>
      </c>
      <c r="P18" s="425">
        <f>P16</f>
        <v>230828.40000000002</v>
      </c>
    </row>
    <row r="19" spans="1:16" ht="15">
      <c r="A19" s="12"/>
      <c r="B19" s="34">
        <v>1</v>
      </c>
      <c r="C19" s="206" t="s">
        <v>131</v>
      </c>
      <c r="D19" s="38">
        <v>117000</v>
      </c>
      <c r="E19" s="38">
        <v>53000</v>
      </c>
      <c r="F19" s="38">
        <v>9000</v>
      </c>
      <c r="G19" s="69">
        <v>77940</v>
      </c>
      <c r="H19" s="228">
        <v>104731</v>
      </c>
      <c r="I19" s="232">
        <v>25893</v>
      </c>
      <c r="J19" s="232">
        <v>3143</v>
      </c>
      <c r="K19" s="228">
        <v>53109</v>
      </c>
      <c r="L19" s="293">
        <v>88229</v>
      </c>
      <c r="M19" s="391">
        <v>14616</v>
      </c>
      <c r="N19" s="391">
        <v>8464</v>
      </c>
      <c r="O19" s="491">
        <f>'Mielies-Maize'!F19</f>
        <v>2437</v>
      </c>
      <c r="P19" s="426">
        <f>AVERAGE(J19:N19)</f>
        <v>33512.2</v>
      </c>
    </row>
    <row r="20" spans="1:16" ht="15">
      <c r="A20" s="12"/>
      <c r="B20" s="34">
        <v>2</v>
      </c>
      <c r="C20" s="206" t="s">
        <v>132</v>
      </c>
      <c r="D20" s="38">
        <v>204000</v>
      </c>
      <c r="E20" s="38">
        <v>67000</v>
      </c>
      <c r="F20" s="38">
        <v>13000</v>
      </c>
      <c r="G20" s="69">
        <v>170038</v>
      </c>
      <c r="H20" s="228">
        <v>199364</v>
      </c>
      <c r="I20" s="232">
        <v>61929</v>
      </c>
      <c r="J20" s="232">
        <v>75521</v>
      </c>
      <c r="K20" s="228">
        <v>87445</v>
      </c>
      <c r="L20" s="293">
        <v>165614</v>
      </c>
      <c r="M20" s="391">
        <v>52953</v>
      </c>
      <c r="N20" s="391">
        <v>24331</v>
      </c>
      <c r="O20" s="491">
        <f>'Mielies-Maize'!F20</f>
        <v>37574</v>
      </c>
      <c r="P20" s="426">
        <f aca="true" t="shared" si="2" ref="P20:P72">AVERAGE(J20:N20)</f>
        <v>81172.8</v>
      </c>
    </row>
    <row r="21" spans="1:16" ht="14.25" customHeight="1">
      <c r="A21" s="12"/>
      <c r="B21" s="34">
        <v>3</v>
      </c>
      <c r="C21" s="206" t="s">
        <v>133</v>
      </c>
      <c r="D21" s="38">
        <v>351000</v>
      </c>
      <c r="E21" s="38">
        <v>160000</v>
      </c>
      <c r="F21" s="38">
        <v>17000</v>
      </c>
      <c r="G21" s="69">
        <v>265437</v>
      </c>
      <c r="H21" s="228">
        <v>175707</v>
      </c>
      <c r="I21" s="232">
        <v>123137</v>
      </c>
      <c r="J21" s="232">
        <v>130489</v>
      </c>
      <c r="K21" s="228">
        <v>62955</v>
      </c>
      <c r="L21" s="293">
        <v>160479</v>
      </c>
      <c r="M21" s="391">
        <v>64090</v>
      </c>
      <c r="N21" s="391">
        <v>52807</v>
      </c>
      <c r="O21" s="491">
        <f>'Mielies-Maize'!F21</f>
        <v>78048</v>
      </c>
      <c r="P21" s="426">
        <f t="shared" si="2"/>
        <v>94164</v>
      </c>
    </row>
    <row r="22" spans="1:16" ht="15">
      <c r="A22" s="12"/>
      <c r="B22" s="34">
        <v>4</v>
      </c>
      <c r="C22" s="206" t="s">
        <v>134</v>
      </c>
      <c r="D22" s="38">
        <v>190000</v>
      </c>
      <c r="E22" s="38">
        <v>243000</v>
      </c>
      <c r="F22" s="38">
        <v>69000</v>
      </c>
      <c r="G22" s="69">
        <v>392010</v>
      </c>
      <c r="H22" s="228">
        <v>295335</v>
      </c>
      <c r="I22" s="232">
        <v>208280</v>
      </c>
      <c r="J22" s="232">
        <v>251803</v>
      </c>
      <c r="K22" s="228">
        <v>180288</v>
      </c>
      <c r="L22" s="293">
        <v>770617</v>
      </c>
      <c r="M22" s="391">
        <v>200821</v>
      </c>
      <c r="N22" s="391">
        <v>97674</v>
      </c>
      <c r="O22" s="491">
        <f>'Mielies-Maize'!F22</f>
        <v>136426</v>
      </c>
      <c r="P22" s="426">
        <f t="shared" si="2"/>
        <v>300240.6</v>
      </c>
    </row>
    <row r="23" spans="1:16" ht="15">
      <c r="A23" s="12"/>
      <c r="B23" s="34">
        <v>5</v>
      </c>
      <c r="C23" s="206" t="s">
        <v>135</v>
      </c>
      <c r="D23" s="38">
        <v>254000</v>
      </c>
      <c r="E23" s="38">
        <v>392000</v>
      </c>
      <c r="F23" s="38">
        <v>141000</v>
      </c>
      <c r="G23" s="69">
        <v>474684</v>
      </c>
      <c r="H23" s="228">
        <v>451217</v>
      </c>
      <c r="I23" s="232">
        <v>388821</v>
      </c>
      <c r="J23" s="232">
        <v>396254</v>
      </c>
      <c r="K23" s="228">
        <v>112331</v>
      </c>
      <c r="L23" s="293">
        <v>458239</v>
      </c>
      <c r="M23" s="391">
        <v>17570</v>
      </c>
      <c r="N23" s="391">
        <v>202885</v>
      </c>
      <c r="O23" s="491">
        <f>'Mielies-Maize'!F23</f>
        <v>346634</v>
      </c>
      <c r="P23" s="426">
        <f t="shared" si="2"/>
        <v>237455.8</v>
      </c>
    </row>
    <row r="24" spans="1:16" ht="15">
      <c r="A24" s="12"/>
      <c r="B24" s="34">
        <v>6</v>
      </c>
      <c r="C24" s="206" t="s">
        <v>136</v>
      </c>
      <c r="D24" s="38">
        <v>340000</v>
      </c>
      <c r="E24" s="38">
        <v>113000</v>
      </c>
      <c r="F24" s="38">
        <v>151000</v>
      </c>
      <c r="G24" s="69">
        <v>506309</v>
      </c>
      <c r="H24" s="228">
        <v>426907</v>
      </c>
      <c r="I24" s="232">
        <v>415621</v>
      </c>
      <c r="J24" s="232">
        <v>332283</v>
      </c>
      <c r="K24" s="228">
        <v>169479</v>
      </c>
      <c r="L24" s="293">
        <v>527539</v>
      </c>
      <c r="M24" s="391">
        <v>168613</v>
      </c>
      <c r="N24" s="391">
        <v>192390</v>
      </c>
      <c r="O24" s="491">
        <f>'Mielies-Maize'!F24</f>
        <v>246460</v>
      </c>
      <c r="P24" s="426">
        <f t="shared" si="2"/>
        <v>278060.8</v>
      </c>
    </row>
    <row r="25" spans="1:16" ht="15" customHeight="1">
      <c r="A25" s="12"/>
      <c r="B25" s="34">
        <v>7</v>
      </c>
      <c r="C25" s="206" t="s">
        <v>137</v>
      </c>
      <c r="D25" s="38">
        <v>504000</v>
      </c>
      <c r="E25" s="38">
        <v>389000</v>
      </c>
      <c r="F25" s="38">
        <v>214000</v>
      </c>
      <c r="G25" s="69">
        <v>553694</v>
      </c>
      <c r="H25" s="228">
        <v>498823</v>
      </c>
      <c r="I25" s="232">
        <v>597506</v>
      </c>
      <c r="J25" s="232">
        <v>381792</v>
      </c>
      <c r="K25" s="228">
        <v>92168</v>
      </c>
      <c r="L25" s="293">
        <v>610221</v>
      </c>
      <c r="M25" s="391">
        <v>265473</v>
      </c>
      <c r="N25" s="391">
        <v>227929</v>
      </c>
      <c r="O25" s="491">
        <f>'Mielies-Maize'!F25</f>
        <v>361369</v>
      </c>
      <c r="P25" s="426">
        <f>AVERAGE(J25:N25)</f>
        <v>315516.6</v>
      </c>
    </row>
    <row r="26" spans="1:16" ht="15" customHeight="1">
      <c r="A26" s="12"/>
      <c r="B26" s="34">
        <v>8</v>
      </c>
      <c r="C26" s="206" t="s">
        <v>139</v>
      </c>
      <c r="D26" s="38">
        <v>562000</v>
      </c>
      <c r="E26" s="38">
        <v>505000</v>
      </c>
      <c r="F26" s="38">
        <v>380000</v>
      </c>
      <c r="G26" s="69">
        <v>519080</v>
      </c>
      <c r="H26" s="228">
        <v>401988</v>
      </c>
      <c r="I26" s="232">
        <v>595551</v>
      </c>
      <c r="J26" s="232">
        <v>298253</v>
      </c>
      <c r="K26" s="228">
        <v>361320</v>
      </c>
      <c r="L26" s="293">
        <v>815375</v>
      </c>
      <c r="M26" s="391">
        <v>346775</v>
      </c>
      <c r="N26" s="391">
        <v>216564</v>
      </c>
      <c r="O26" s="491">
        <f>'Mielies-Maize'!F26</f>
        <v>250828</v>
      </c>
      <c r="P26" s="426">
        <f t="shared" si="2"/>
        <v>407657.4</v>
      </c>
    </row>
    <row r="27" spans="1:16" ht="15" customHeight="1">
      <c r="A27" s="12"/>
      <c r="B27" s="34">
        <v>9</v>
      </c>
      <c r="C27" s="206" t="s">
        <v>140</v>
      </c>
      <c r="D27" s="38">
        <v>1463000</v>
      </c>
      <c r="E27" s="38">
        <v>610000</v>
      </c>
      <c r="F27" s="38">
        <v>468000</v>
      </c>
      <c r="G27" s="69">
        <v>349357</v>
      </c>
      <c r="H27" s="228">
        <v>628239</v>
      </c>
      <c r="I27" s="232">
        <v>1013436</v>
      </c>
      <c r="J27" s="232">
        <v>756519</v>
      </c>
      <c r="K27" s="228">
        <v>161921</v>
      </c>
      <c r="L27" s="293">
        <v>1028383</v>
      </c>
      <c r="M27" s="391">
        <v>524267</v>
      </c>
      <c r="N27" s="391">
        <v>356391</v>
      </c>
      <c r="O27" s="491">
        <f>'Mielies-Maize'!F27</f>
        <v>875139</v>
      </c>
      <c r="P27" s="426">
        <f t="shared" si="2"/>
        <v>565496.2</v>
      </c>
    </row>
    <row r="28" spans="1:16" ht="15" customHeight="1">
      <c r="A28" s="12"/>
      <c r="B28" s="34">
        <v>10</v>
      </c>
      <c r="C28" s="206" t="s">
        <v>141</v>
      </c>
      <c r="D28" s="38">
        <v>635000</v>
      </c>
      <c r="E28" s="38">
        <v>640000</v>
      </c>
      <c r="F28" s="38">
        <v>453000</v>
      </c>
      <c r="G28" s="69">
        <v>470403</v>
      </c>
      <c r="H28" s="228">
        <v>343777</v>
      </c>
      <c r="I28" s="232">
        <v>664521</v>
      </c>
      <c r="J28" s="232">
        <v>213508</v>
      </c>
      <c r="K28" s="228">
        <v>153007</v>
      </c>
      <c r="L28" s="293">
        <v>706082</v>
      </c>
      <c r="M28" s="391">
        <v>481953</v>
      </c>
      <c r="N28" s="391">
        <v>193466</v>
      </c>
      <c r="O28" s="491">
        <f>'Mielies-Maize'!F28</f>
        <v>297273</v>
      </c>
      <c r="P28" s="426">
        <f t="shared" si="2"/>
        <v>349603.2</v>
      </c>
    </row>
    <row r="29" spans="1:16" ht="15" customHeight="1">
      <c r="A29" s="12"/>
      <c r="B29" s="34">
        <v>11</v>
      </c>
      <c r="C29" s="206" t="s">
        <v>142</v>
      </c>
      <c r="D29" s="38">
        <v>726000</v>
      </c>
      <c r="E29" s="38">
        <v>769000</v>
      </c>
      <c r="F29" s="38">
        <v>589000</v>
      </c>
      <c r="G29" s="69">
        <v>483160</v>
      </c>
      <c r="H29" s="228">
        <v>303602</v>
      </c>
      <c r="I29" s="232">
        <v>655152</v>
      </c>
      <c r="J29" s="232">
        <v>218637</v>
      </c>
      <c r="K29" s="228">
        <v>174214</v>
      </c>
      <c r="L29" s="293">
        <v>724396</v>
      </c>
      <c r="M29" s="391">
        <v>439673</v>
      </c>
      <c r="N29" s="391">
        <v>241903</v>
      </c>
      <c r="O29" s="491">
        <f>'Mielies-Maize'!F29</f>
        <v>607351</v>
      </c>
      <c r="P29" s="426">
        <f t="shared" si="2"/>
        <v>359764.6</v>
      </c>
    </row>
    <row r="30" spans="1:16" ht="15" customHeight="1">
      <c r="A30" s="12"/>
      <c r="B30" s="34">
        <v>12</v>
      </c>
      <c r="C30" s="206" t="s">
        <v>143</v>
      </c>
      <c r="D30" s="372">
        <v>172000</v>
      </c>
      <c r="E30" s="372">
        <v>594000</v>
      </c>
      <c r="F30" s="38">
        <v>685000</v>
      </c>
      <c r="G30" s="69">
        <v>538311</v>
      </c>
      <c r="H30" s="228">
        <v>244572</v>
      </c>
      <c r="I30" s="232">
        <v>614909</v>
      </c>
      <c r="J30" s="232">
        <v>266257</v>
      </c>
      <c r="K30" s="228">
        <v>227006</v>
      </c>
      <c r="L30" s="293">
        <v>629045</v>
      </c>
      <c r="M30" s="391">
        <v>478746</v>
      </c>
      <c r="N30" s="391">
        <v>306192</v>
      </c>
      <c r="O30" s="491">
        <f>'Mielies-Maize'!F30</f>
        <v>648824</v>
      </c>
      <c r="P30" s="426">
        <f t="shared" si="2"/>
        <v>381449.2</v>
      </c>
    </row>
    <row r="31" spans="1:16" ht="15" customHeight="1">
      <c r="A31" s="12"/>
      <c r="B31" s="34">
        <v>13</v>
      </c>
      <c r="C31" s="206" t="s">
        <v>146</v>
      </c>
      <c r="D31" s="372">
        <v>258000</v>
      </c>
      <c r="E31" s="372">
        <v>481000</v>
      </c>
      <c r="F31" s="38">
        <v>473000</v>
      </c>
      <c r="G31" s="69">
        <v>309716</v>
      </c>
      <c r="H31" s="228">
        <v>442321</v>
      </c>
      <c r="I31" s="232">
        <v>856066</v>
      </c>
      <c r="J31" s="232">
        <v>176203</v>
      </c>
      <c r="K31" s="228">
        <v>143554</v>
      </c>
      <c r="L31" s="293">
        <v>863710</v>
      </c>
      <c r="M31" s="391">
        <v>879985</v>
      </c>
      <c r="N31" s="391">
        <v>792215</v>
      </c>
      <c r="O31" s="491">
        <f>'Mielies-Maize'!F31</f>
        <v>708707</v>
      </c>
      <c r="P31" s="426">
        <f t="shared" si="2"/>
        <v>571133.4</v>
      </c>
    </row>
    <row r="32" spans="1:16" ht="15" customHeight="1">
      <c r="A32" s="12"/>
      <c r="B32" s="34">
        <v>14</v>
      </c>
      <c r="C32" s="206" t="s">
        <v>147</v>
      </c>
      <c r="D32" s="38">
        <v>313000</v>
      </c>
      <c r="E32" s="38">
        <v>274000</v>
      </c>
      <c r="F32" s="38">
        <v>432000</v>
      </c>
      <c r="G32" s="69">
        <v>257648</v>
      </c>
      <c r="H32" s="228">
        <v>131077</v>
      </c>
      <c r="I32" s="232">
        <v>329686</v>
      </c>
      <c r="J32" s="232">
        <v>320525</v>
      </c>
      <c r="K32" s="228">
        <v>121967</v>
      </c>
      <c r="L32" s="293">
        <v>271698</v>
      </c>
      <c r="M32" s="391">
        <v>323511</v>
      </c>
      <c r="N32" s="391">
        <v>150209</v>
      </c>
      <c r="O32" s="491">
        <f>'Mielies-Maize'!F32</f>
        <v>1123824</v>
      </c>
      <c r="P32" s="426">
        <f t="shared" si="2"/>
        <v>237582</v>
      </c>
    </row>
    <row r="33" spans="1:16" ht="15" customHeight="1">
      <c r="A33" s="12"/>
      <c r="B33" s="34">
        <v>15</v>
      </c>
      <c r="C33" s="206" t="s">
        <v>148</v>
      </c>
      <c r="D33" s="38">
        <v>219000</v>
      </c>
      <c r="E33" s="38">
        <v>244000</v>
      </c>
      <c r="F33" s="38">
        <v>38800</v>
      </c>
      <c r="G33" s="69">
        <v>169098</v>
      </c>
      <c r="H33" s="228">
        <v>111432</v>
      </c>
      <c r="I33" s="232">
        <v>205671</v>
      </c>
      <c r="J33" s="232">
        <v>88434</v>
      </c>
      <c r="K33" s="228">
        <v>153227</v>
      </c>
      <c r="L33" s="293">
        <v>255342</v>
      </c>
      <c r="M33" s="391">
        <v>454227</v>
      </c>
      <c r="N33" s="391">
        <v>399397</v>
      </c>
      <c r="O33" s="491">
        <f>'Mielies-Maize'!F33</f>
        <v>524045</v>
      </c>
      <c r="P33" s="426">
        <f t="shared" si="2"/>
        <v>270125.4</v>
      </c>
    </row>
    <row r="34" spans="1:16" ht="15" customHeight="1">
      <c r="A34" s="12"/>
      <c r="B34" s="34">
        <v>16</v>
      </c>
      <c r="C34" s="206" t="s">
        <v>149</v>
      </c>
      <c r="D34" s="38">
        <v>166000</v>
      </c>
      <c r="E34" s="38">
        <v>427000</v>
      </c>
      <c r="F34" s="38">
        <v>403000</v>
      </c>
      <c r="G34" s="69">
        <v>101455</v>
      </c>
      <c r="H34" s="228">
        <v>65993</v>
      </c>
      <c r="I34" s="232">
        <v>160137</v>
      </c>
      <c r="J34" s="232">
        <v>49519</v>
      </c>
      <c r="K34" s="228">
        <v>145574</v>
      </c>
      <c r="L34" s="293">
        <v>185152</v>
      </c>
      <c r="M34" s="391">
        <v>395364</v>
      </c>
      <c r="N34" s="391">
        <v>409560</v>
      </c>
      <c r="O34" s="491">
        <f>'Mielies-Maize'!F34</f>
        <v>407047</v>
      </c>
      <c r="P34" s="426">
        <f t="shared" si="2"/>
        <v>237033.8</v>
      </c>
    </row>
    <row r="35" spans="1:16" ht="15" customHeight="1">
      <c r="A35" s="12"/>
      <c r="B35" s="34">
        <v>17</v>
      </c>
      <c r="C35" s="206" t="s">
        <v>150</v>
      </c>
      <c r="D35" s="38">
        <v>92000</v>
      </c>
      <c r="E35" s="38">
        <v>113000</v>
      </c>
      <c r="F35" s="38">
        <v>208000</v>
      </c>
      <c r="G35" s="69">
        <v>267549</v>
      </c>
      <c r="H35" s="228">
        <v>43654</v>
      </c>
      <c r="I35" s="232">
        <v>102785</v>
      </c>
      <c r="J35" s="232">
        <v>39946</v>
      </c>
      <c r="K35" s="228">
        <v>249835</v>
      </c>
      <c r="L35" s="293">
        <v>370981</v>
      </c>
      <c r="M35" s="391">
        <v>281975</v>
      </c>
      <c r="N35" s="391">
        <v>325385</v>
      </c>
      <c r="O35" s="491">
        <f>'Mielies-Maize'!F35</f>
        <v>281706</v>
      </c>
      <c r="P35" s="426">
        <f t="shared" si="2"/>
        <v>253624.4</v>
      </c>
    </row>
    <row r="36" spans="1:16" ht="15" customHeight="1">
      <c r="A36" s="12"/>
      <c r="B36" s="34">
        <v>18</v>
      </c>
      <c r="C36" s="206" t="s">
        <v>151</v>
      </c>
      <c r="D36" s="38">
        <v>42000</v>
      </c>
      <c r="E36" s="38">
        <v>51000</v>
      </c>
      <c r="F36" s="38">
        <v>140000</v>
      </c>
      <c r="G36" s="69">
        <v>50752</v>
      </c>
      <c r="H36" s="228">
        <v>-62185</v>
      </c>
      <c r="I36" s="232">
        <v>-116872</v>
      </c>
      <c r="J36" s="232">
        <v>56488</v>
      </c>
      <c r="K36" s="228">
        <v>38609</v>
      </c>
      <c r="L36" s="293">
        <v>29795</v>
      </c>
      <c r="M36" s="391">
        <v>326583</v>
      </c>
      <c r="N36" s="391">
        <v>490962</v>
      </c>
      <c r="O36" s="491">
        <f>'Mielies-Maize'!F36</f>
        <v>536989</v>
      </c>
      <c r="P36" s="426">
        <f t="shared" si="2"/>
        <v>188487.4</v>
      </c>
    </row>
    <row r="37" spans="1:16" ht="15" customHeight="1">
      <c r="A37" s="12"/>
      <c r="B37" s="34">
        <v>19</v>
      </c>
      <c r="C37" s="206" t="s">
        <v>152</v>
      </c>
      <c r="D37" s="38">
        <v>27000</v>
      </c>
      <c r="E37" s="38">
        <v>32000</v>
      </c>
      <c r="F37" s="38">
        <v>80000</v>
      </c>
      <c r="G37" s="69">
        <v>34151</v>
      </c>
      <c r="H37" s="228">
        <v>24332</v>
      </c>
      <c r="I37" s="232">
        <v>36351</v>
      </c>
      <c r="J37" s="232">
        <v>16737</v>
      </c>
      <c r="K37" s="228">
        <v>48187</v>
      </c>
      <c r="L37" s="293">
        <v>26337</v>
      </c>
      <c r="M37" s="391">
        <v>96902</v>
      </c>
      <c r="N37" s="391">
        <v>126550</v>
      </c>
      <c r="O37" s="491">
        <f>'Mielies-Maize'!F37</f>
        <v>43317</v>
      </c>
      <c r="P37" s="426">
        <f t="shared" si="2"/>
        <v>62942.6</v>
      </c>
    </row>
    <row r="38" spans="1:16" ht="15" customHeight="1">
      <c r="A38" s="12"/>
      <c r="B38" s="34">
        <v>20</v>
      </c>
      <c r="C38" s="206" t="s">
        <v>153</v>
      </c>
      <c r="D38" s="38">
        <v>20000</v>
      </c>
      <c r="E38" s="38">
        <v>95000</v>
      </c>
      <c r="F38" s="38">
        <v>72000</v>
      </c>
      <c r="G38" s="69">
        <v>27103</v>
      </c>
      <c r="H38" s="228">
        <v>24971</v>
      </c>
      <c r="I38" s="232">
        <v>27436</v>
      </c>
      <c r="J38" s="232">
        <v>29411</v>
      </c>
      <c r="K38" s="228">
        <v>35172</v>
      </c>
      <c r="L38" s="293">
        <v>30770</v>
      </c>
      <c r="M38" s="391">
        <v>65235</v>
      </c>
      <c r="N38" s="391">
        <v>75557</v>
      </c>
      <c r="O38" s="491">
        <f>'Mielies-Maize'!F38</f>
        <v>79109</v>
      </c>
      <c r="P38" s="426">
        <f t="shared" si="2"/>
        <v>47229</v>
      </c>
    </row>
    <row r="39" spans="1:16" ht="15" customHeight="1">
      <c r="A39" s="12"/>
      <c r="B39" s="34">
        <v>21</v>
      </c>
      <c r="C39" s="206" t="s">
        <v>154</v>
      </c>
      <c r="D39" s="38">
        <v>12000</v>
      </c>
      <c r="E39" s="38">
        <v>15000</v>
      </c>
      <c r="F39" s="38">
        <v>286000</v>
      </c>
      <c r="G39" s="69">
        <v>129747</v>
      </c>
      <c r="H39" s="228">
        <v>20337</v>
      </c>
      <c r="I39" s="232">
        <v>23382</v>
      </c>
      <c r="J39" s="232">
        <v>20684</v>
      </c>
      <c r="K39" s="228">
        <v>27469</v>
      </c>
      <c r="L39" s="293">
        <v>22929</v>
      </c>
      <c r="M39" s="391">
        <v>34947</v>
      </c>
      <c r="N39" s="391">
        <v>36755</v>
      </c>
      <c r="O39" s="491">
        <f>'Mielies-Maize'!F39</f>
        <v>49822</v>
      </c>
      <c r="P39" s="426">
        <f t="shared" si="2"/>
        <v>28556.8</v>
      </c>
    </row>
    <row r="40" spans="1:16" ht="15" customHeight="1">
      <c r="A40" s="12"/>
      <c r="B40" s="34">
        <v>22</v>
      </c>
      <c r="C40" s="206" t="s">
        <v>155</v>
      </c>
      <c r="D40" s="38">
        <v>10000</v>
      </c>
      <c r="E40" s="38">
        <v>12000</v>
      </c>
      <c r="F40" s="38">
        <v>13000</v>
      </c>
      <c r="G40" s="69">
        <v>15879</v>
      </c>
      <c r="H40" s="228">
        <v>23693</v>
      </c>
      <c r="I40" s="232">
        <v>59741</v>
      </c>
      <c r="J40" s="232">
        <v>28159</v>
      </c>
      <c r="K40" s="228">
        <v>19306</v>
      </c>
      <c r="L40" s="293">
        <v>67200</v>
      </c>
      <c r="M40" s="391">
        <v>79862</v>
      </c>
      <c r="N40" s="391">
        <v>81290</v>
      </c>
      <c r="O40" s="491">
        <f>'Mielies-Maize'!F40</f>
        <v>189045</v>
      </c>
      <c r="P40" s="426">
        <f t="shared" si="2"/>
        <v>55163.4</v>
      </c>
    </row>
    <row r="41" spans="1:16" ht="15" customHeight="1">
      <c r="A41" s="12"/>
      <c r="B41" s="34">
        <v>23</v>
      </c>
      <c r="C41" s="206" t="s">
        <v>156</v>
      </c>
      <c r="D41" s="38">
        <v>13000</v>
      </c>
      <c r="E41" s="38">
        <v>13000</v>
      </c>
      <c r="F41" s="38">
        <v>8000</v>
      </c>
      <c r="G41" s="69">
        <v>13996</v>
      </c>
      <c r="H41" s="228">
        <v>12994</v>
      </c>
      <c r="I41" s="232">
        <v>5272</v>
      </c>
      <c r="J41" s="232">
        <v>13207</v>
      </c>
      <c r="K41" s="228">
        <v>8387</v>
      </c>
      <c r="L41" s="293">
        <v>15816</v>
      </c>
      <c r="M41" s="391">
        <v>12605</v>
      </c>
      <c r="N41" s="391">
        <v>15478</v>
      </c>
      <c r="O41" s="491">
        <f>'Mielies-Maize'!F41</f>
        <v>7035</v>
      </c>
      <c r="P41" s="426">
        <f t="shared" si="2"/>
        <v>13098.6</v>
      </c>
    </row>
    <row r="42" spans="1:16" ht="15" customHeight="1">
      <c r="A42" s="12"/>
      <c r="B42" s="34">
        <v>24</v>
      </c>
      <c r="C42" s="206" t="s">
        <v>157</v>
      </c>
      <c r="D42" s="38">
        <v>17000</v>
      </c>
      <c r="E42" s="38">
        <v>97000</v>
      </c>
      <c r="F42" s="38">
        <v>7000</v>
      </c>
      <c r="G42" s="69">
        <v>16968</v>
      </c>
      <c r="H42" s="228">
        <v>16408</v>
      </c>
      <c r="I42" s="232">
        <v>18279</v>
      </c>
      <c r="J42" s="232">
        <v>17289</v>
      </c>
      <c r="K42" s="228">
        <v>7392</v>
      </c>
      <c r="L42" s="293">
        <v>21176</v>
      </c>
      <c r="M42" s="391">
        <v>17419</v>
      </c>
      <c r="N42" s="391">
        <v>15220</v>
      </c>
      <c r="O42" s="491">
        <f>'Mielies-Maize'!F42</f>
        <v>21272</v>
      </c>
      <c r="P42" s="426">
        <f t="shared" si="2"/>
        <v>15699.2</v>
      </c>
    </row>
    <row r="43" spans="1:16" ht="15" customHeight="1">
      <c r="A43" s="12"/>
      <c r="B43" s="34">
        <v>25</v>
      </c>
      <c r="C43" s="206" t="s">
        <v>158</v>
      </c>
      <c r="D43" s="38">
        <v>161000</v>
      </c>
      <c r="E43" s="38">
        <v>21000</v>
      </c>
      <c r="F43" s="38">
        <v>6000</v>
      </c>
      <c r="G43" s="69">
        <v>35830</v>
      </c>
      <c r="H43" s="228">
        <v>16896</v>
      </c>
      <c r="I43" s="232">
        <v>10559</v>
      </c>
      <c r="J43" s="232">
        <v>18578</v>
      </c>
      <c r="K43" s="228">
        <v>5667</v>
      </c>
      <c r="L43" s="293">
        <v>18918</v>
      </c>
      <c r="M43" s="391">
        <v>14841</v>
      </c>
      <c r="N43" s="391">
        <v>16496</v>
      </c>
      <c r="O43" s="491">
        <f>'Mielies-Maize'!F43</f>
        <v>16799</v>
      </c>
      <c r="P43" s="426">
        <f t="shared" si="2"/>
        <v>14900</v>
      </c>
    </row>
    <row r="44" spans="1:16" ht="15" customHeight="1">
      <c r="A44" s="12"/>
      <c r="B44" s="34">
        <v>26</v>
      </c>
      <c r="C44" s="206" t="s">
        <v>159</v>
      </c>
      <c r="D44" s="38">
        <v>13000</v>
      </c>
      <c r="E44" s="38">
        <v>15000</v>
      </c>
      <c r="F44" s="38">
        <v>18000</v>
      </c>
      <c r="G44" s="69">
        <v>12755</v>
      </c>
      <c r="H44" s="228">
        <v>32456</v>
      </c>
      <c r="I44" s="232">
        <v>8046</v>
      </c>
      <c r="J44" s="232">
        <v>15692</v>
      </c>
      <c r="K44" s="228">
        <v>14547</v>
      </c>
      <c r="L44" s="293">
        <v>59299</v>
      </c>
      <c r="M44" s="391">
        <v>59272</v>
      </c>
      <c r="N44" s="391">
        <v>70318</v>
      </c>
      <c r="O44" s="491">
        <f>'Mielies-Maize'!F44</f>
        <v>13803</v>
      </c>
      <c r="P44" s="426">
        <f t="shared" si="2"/>
        <v>43825.6</v>
      </c>
    </row>
    <row r="45" spans="1:16" ht="15" customHeight="1">
      <c r="A45" s="12"/>
      <c r="B45" s="34">
        <v>27</v>
      </c>
      <c r="C45" s="206" t="s">
        <v>160</v>
      </c>
      <c r="D45" s="38">
        <v>15000</v>
      </c>
      <c r="E45" s="38">
        <v>10000</v>
      </c>
      <c r="F45" s="38">
        <v>14000</v>
      </c>
      <c r="G45" s="69">
        <v>9430</v>
      </c>
      <c r="H45" s="228">
        <v>14826</v>
      </c>
      <c r="I45" s="232">
        <v>52110</v>
      </c>
      <c r="J45" s="232">
        <v>19863</v>
      </c>
      <c r="K45" s="228">
        <v>2133</v>
      </c>
      <c r="L45" s="293">
        <v>6832</v>
      </c>
      <c r="M45" s="391">
        <v>3633</v>
      </c>
      <c r="N45" s="391">
        <v>2158</v>
      </c>
      <c r="O45" s="491">
        <f>'Mielies-Maize'!F45</f>
        <v>82230</v>
      </c>
      <c r="P45" s="426">
        <f t="shared" si="2"/>
        <v>6923.8</v>
      </c>
    </row>
    <row r="46" spans="1:16" ht="15" customHeight="1">
      <c r="A46" s="12"/>
      <c r="B46" s="34">
        <v>28</v>
      </c>
      <c r="C46" s="206" t="s">
        <v>161</v>
      </c>
      <c r="D46" s="38">
        <v>8000</v>
      </c>
      <c r="E46" s="38">
        <v>11000</v>
      </c>
      <c r="F46" s="38">
        <v>17000</v>
      </c>
      <c r="G46" s="69">
        <v>11846</v>
      </c>
      <c r="H46" s="228">
        <v>7946</v>
      </c>
      <c r="I46" s="232">
        <v>11001</v>
      </c>
      <c r="J46" s="232">
        <v>10450</v>
      </c>
      <c r="K46" s="228">
        <v>2913</v>
      </c>
      <c r="L46" s="293">
        <v>11775</v>
      </c>
      <c r="M46" s="391">
        <v>8399</v>
      </c>
      <c r="N46" s="391">
        <v>11652</v>
      </c>
      <c r="O46" s="491">
        <f>'Mielies-Maize'!F46</f>
        <v>9087</v>
      </c>
      <c r="P46" s="426">
        <f t="shared" si="2"/>
        <v>9037.8</v>
      </c>
    </row>
    <row r="47" spans="1:16" ht="15" customHeight="1">
      <c r="A47" s="12"/>
      <c r="B47" s="34">
        <v>29</v>
      </c>
      <c r="C47" s="206" t="s">
        <v>162</v>
      </c>
      <c r="D47" s="38">
        <v>11000</v>
      </c>
      <c r="E47" s="38">
        <v>11000</v>
      </c>
      <c r="F47" s="38">
        <v>-2000</v>
      </c>
      <c r="G47" s="69">
        <v>9838</v>
      </c>
      <c r="H47" s="228">
        <v>-10379</v>
      </c>
      <c r="I47" s="232">
        <v>10792</v>
      </c>
      <c r="J47" s="232">
        <v>11471</v>
      </c>
      <c r="K47" s="228">
        <v>4181</v>
      </c>
      <c r="L47" s="293">
        <v>13223</v>
      </c>
      <c r="M47" s="391">
        <v>9140</v>
      </c>
      <c r="N47" s="391">
        <v>9598</v>
      </c>
      <c r="O47" s="491">
        <f>'Mielies-Maize'!F47</f>
        <v>7665</v>
      </c>
      <c r="P47" s="426">
        <f t="shared" si="2"/>
        <v>9522.6</v>
      </c>
    </row>
    <row r="48" spans="1:16" ht="15" customHeight="1">
      <c r="A48" s="12"/>
      <c r="B48" s="34">
        <v>30</v>
      </c>
      <c r="C48" s="206" t="s">
        <v>163</v>
      </c>
      <c r="D48" s="38">
        <v>8000</v>
      </c>
      <c r="E48" s="38">
        <v>11000</v>
      </c>
      <c r="F48" s="38">
        <v>16000</v>
      </c>
      <c r="G48" s="69">
        <v>48006</v>
      </c>
      <c r="H48" s="228">
        <v>6255</v>
      </c>
      <c r="I48" s="232">
        <v>9964</v>
      </c>
      <c r="J48" s="232">
        <v>5247</v>
      </c>
      <c r="K48" s="228">
        <v>27749</v>
      </c>
      <c r="L48" s="293">
        <v>55375</v>
      </c>
      <c r="M48" s="391">
        <v>7591</v>
      </c>
      <c r="N48" s="391">
        <v>5910</v>
      </c>
      <c r="O48" s="491">
        <f>'Mielies-Maize'!F48</f>
        <v>7429</v>
      </c>
      <c r="P48" s="426">
        <f t="shared" si="2"/>
        <v>20374.4</v>
      </c>
    </row>
    <row r="49" spans="1:16" ht="15" customHeight="1">
      <c r="A49" s="12"/>
      <c r="B49" s="34">
        <v>31</v>
      </c>
      <c r="C49" s="206" t="s">
        <v>164</v>
      </c>
      <c r="D49" s="38">
        <v>11000</v>
      </c>
      <c r="E49" s="38">
        <v>5000</v>
      </c>
      <c r="F49" s="38">
        <v>35000</v>
      </c>
      <c r="G49" s="69">
        <v>15090</v>
      </c>
      <c r="H49" s="228">
        <v>26684</v>
      </c>
      <c r="I49" s="232">
        <v>33122</v>
      </c>
      <c r="J49" s="232">
        <v>23763</v>
      </c>
      <c r="K49" s="228">
        <v>1166</v>
      </c>
      <c r="L49" s="293">
        <v>6768</v>
      </c>
      <c r="M49" s="391">
        <v>32985</v>
      </c>
      <c r="N49" s="391">
        <v>38194</v>
      </c>
      <c r="O49" s="491">
        <f>'Mielies-Maize'!F49</f>
        <v>36151</v>
      </c>
      <c r="P49" s="426">
        <f t="shared" si="2"/>
        <v>20575.2</v>
      </c>
    </row>
    <row r="50" spans="1:16" ht="15" customHeight="1">
      <c r="A50" s="12"/>
      <c r="B50" s="34">
        <v>32</v>
      </c>
      <c r="C50" s="206" t="s">
        <v>165</v>
      </c>
      <c r="D50" s="38">
        <v>23000</v>
      </c>
      <c r="E50" s="38">
        <v>11000</v>
      </c>
      <c r="F50" s="38">
        <v>10000</v>
      </c>
      <c r="G50" s="69">
        <v>16395</v>
      </c>
      <c r="H50" s="228">
        <v>5279</v>
      </c>
      <c r="I50" s="232">
        <v>9848</v>
      </c>
      <c r="J50" s="232">
        <v>5814</v>
      </c>
      <c r="K50" s="228">
        <v>0</v>
      </c>
      <c r="L50" s="293">
        <v>5455</v>
      </c>
      <c r="M50" s="391">
        <v>3944</v>
      </c>
      <c r="N50" s="391">
        <v>3259</v>
      </c>
      <c r="O50" s="491">
        <f>'Mielies-Maize'!F50</f>
        <v>4505</v>
      </c>
      <c r="P50" s="426">
        <f t="shared" si="2"/>
        <v>3694.4</v>
      </c>
    </row>
    <row r="51" spans="1:16" ht="15" customHeight="1">
      <c r="A51" s="12"/>
      <c r="B51" s="34">
        <v>33</v>
      </c>
      <c r="C51" s="206" t="s">
        <v>166</v>
      </c>
      <c r="D51" s="38">
        <v>0</v>
      </c>
      <c r="E51" s="38">
        <v>33000</v>
      </c>
      <c r="F51" s="38">
        <v>0</v>
      </c>
      <c r="G51" s="69">
        <v>0</v>
      </c>
      <c r="H51" s="228">
        <v>0</v>
      </c>
      <c r="I51" s="232">
        <v>0</v>
      </c>
      <c r="J51" s="232">
        <v>0</v>
      </c>
      <c r="K51" s="228">
        <v>0</v>
      </c>
      <c r="L51" s="293">
        <v>0</v>
      </c>
      <c r="M51" s="391">
        <v>4144</v>
      </c>
      <c r="N51" s="391">
        <v>1457</v>
      </c>
      <c r="O51" s="491">
        <f>'Mielies-Maize'!F51</f>
        <v>5803</v>
      </c>
      <c r="P51" s="426">
        <f t="shared" si="2"/>
        <v>1120.2</v>
      </c>
    </row>
    <row r="52" spans="1:16" ht="15" customHeight="1">
      <c r="A52" s="12"/>
      <c r="B52" s="34">
        <v>34</v>
      </c>
      <c r="C52" s="206" t="s">
        <v>167</v>
      </c>
      <c r="D52" s="38">
        <v>0</v>
      </c>
      <c r="E52" s="38">
        <v>0</v>
      </c>
      <c r="F52" s="38">
        <v>0</v>
      </c>
      <c r="G52" s="69">
        <v>0</v>
      </c>
      <c r="H52" s="228">
        <v>0</v>
      </c>
      <c r="I52" s="232">
        <v>0</v>
      </c>
      <c r="J52" s="232">
        <v>0</v>
      </c>
      <c r="K52" s="228">
        <v>0</v>
      </c>
      <c r="L52" s="293">
        <v>0</v>
      </c>
      <c r="M52" s="391">
        <v>2931</v>
      </c>
      <c r="N52" s="391">
        <v>2369</v>
      </c>
      <c r="O52" s="491">
        <f>'Mielies-Maize'!F52</f>
        <v>3668</v>
      </c>
      <c r="P52" s="426">
        <f t="shared" si="2"/>
        <v>1060</v>
      </c>
    </row>
    <row r="53" spans="1:16" ht="15" customHeight="1">
      <c r="A53" s="12"/>
      <c r="B53" s="34">
        <v>35</v>
      </c>
      <c r="C53" s="206" t="s">
        <v>168</v>
      </c>
      <c r="D53" s="38">
        <v>5000</v>
      </c>
      <c r="E53" s="38">
        <v>0</v>
      </c>
      <c r="F53" s="38">
        <v>7000</v>
      </c>
      <c r="G53" s="69">
        <v>43203</v>
      </c>
      <c r="H53" s="228">
        <v>24662</v>
      </c>
      <c r="I53" s="232">
        <v>39107</v>
      </c>
      <c r="J53" s="232">
        <v>32325</v>
      </c>
      <c r="K53" s="228">
        <v>18087</v>
      </c>
      <c r="L53" s="293">
        <v>26350</v>
      </c>
      <c r="M53" s="391">
        <v>9228</v>
      </c>
      <c r="N53" s="391">
        <v>15047</v>
      </c>
      <c r="O53" s="491">
        <f>'Mielies-Maize'!F53</f>
        <v>20657</v>
      </c>
      <c r="P53" s="426">
        <f t="shared" si="2"/>
        <v>20207.4</v>
      </c>
    </row>
    <row r="54" spans="1:16" ht="15" customHeight="1">
      <c r="A54" s="12"/>
      <c r="B54" s="34">
        <v>36</v>
      </c>
      <c r="C54" s="206" t="s">
        <v>169</v>
      </c>
      <c r="D54" s="38">
        <v>26000</v>
      </c>
      <c r="E54" s="38">
        <v>5000</v>
      </c>
      <c r="F54" s="38">
        <v>3000</v>
      </c>
      <c r="G54" s="69">
        <v>2751</v>
      </c>
      <c r="H54" s="228">
        <v>2656</v>
      </c>
      <c r="I54" s="232">
        <v>3844</v>
      </c>
      <c r="J54" s="232">
        <v>2421</v>
      </c>
      <c r="K54" s="228">
        <v>1025</v>
      </c>
      <c r="L54" s="293">
        <v>4553</v>
      </c>
      <c r="M54" s="391">
        <v>605</v>
      </c>
      <c r="N54" s="391">
        <v>247</v>
      </c>
      <c r="O54" s="491">
        <f>'Mielies-Maize'!F54</f>
        <v>164</v>
      </c>
      <c r="P54" s="426">
        <f t="shared" si="2"/>
        <v>1770.2</v>
      </c>
    </row>
    <row r="55" spans="1:16" ht="15" customHeight="1">
      <c r="A55" s="12"/>
      <c r="B55" s="34">
        <v>37</v>
      </c>
      <c r="C55" s="206" t="s">
        <v>170</v>
      </c>
      <c r="D55" s="38">
        <v>3000</v>
      </c>
      <c r="E55" s="38">
        <v>8000</v>
      </c>
      <c r="F55" s="38">
        <v>8000</v>
      </c>
      <c r="G55" s="69">
        <v>7169</v>
      </c>
      <c r="H55" s="228">
        <v>7865</v>
      </c>
      <c r="I55" s="232">
        <v>5259</v>
      </c>
      <c r="J55" s="232">
        <v>3785</v>
      </c>
      <c r="K55" s="228">
        <v>4021</v>
      </c>
      <c r="L55" s="293">
        <v>8411</v>
      </c>
      <c r="M55" s="391">
        <v>2895</v>
      </c>
      <c r="N55" s="391">
        <v>2079</v>
      </c>
      <c r="O55" s="491">
        <f>'Mielies-Maize'!F55</f>
        <v>2948</v>
      </c>
      <c r="P55" s="426">
        <f t="shared" si="2"/>
        <v>4238.2</v>
      </c>
    </row>
    <row r="56" spans="1:16" ht="14.25" customHeight="1">
      <c r="A56" s="12"/>
      <c r="B56" s="34">
        <v>38</v>
      </c>
      <c r="C56" s="206" t="s">
        <v>173</v>
      </c>
      <c r="D56" s="38">
        <v>8000</v>
      </c>
      <c r="E56" s="38">
        <v>5000</v>
      </c>
      <c r="F56" s="38">
        <v>6000</v>
      </c>
      <c r="G56" s="69">
        <v>5730</v>
      </c>
      <c r="H56" s="228">
        <v>5609</v>
      </c>
      <c r="I56" s="232">
        <v>8635</v>
      </c>
      <c r="J56" s="232">
        <v>10516</v>
      </c>
      <c r="K56" s="228">
        <v>5688</v>
      </c>
      <c r="L56" s="293">
        <v>6684</v>
      </c>
      <c r="M56" s="391">
        <v>1078</v>
      </c>
      <c r="N56" s="391">
        <v>6752</v>
      </c>
      <c r="O56" s="491">
        <f>'Mielies-Maize'!F56</f>
        <v>5613</v>
      </c>
      <c r="P56" s="426">
        <f t="shared" si="2"/>
        <v>6143.6</v>
      </c>
    </row>
    <row r="57" spans="1:16" ht="14.25" customHeight="1">
      <c r="A57" s="12"/>
      <c r="B57" s="34">
        <v>39</v>
      </c>
      <c r="C57" s="206" t="s">
        <v>174</v>
      </c>
      <c r="D57" s="38">
        <v>6000</v>
      </c>
      <c r="E57" s="38">
        <v>9000</v>
      </c>
      <c r="F57" s="38">
        <v>6000</v>
      </c>
      <c r="G57" s="69">
        <v>27988</v>
      </c>
      <c r="H57" s="228">
        <v>11806</v>
      </c>
      <c r="I57" s="232">
        <v>10210</v>
      </c>
      <c r="J57" s="232">
        <v>15770</v>
      </c>
      <c r="K57" s="228">
        <v>23798</v>
      </c>
      <c r="L57" s="293">
        <v>40609</v>
      </c>
      <c r="M57" s="391">
        <v>14929</v>
      </c>
      <c r="N57" s="391">
        <v>9442</v>
      </c>
      <c r="O57" s="491">
        <f>'Mielies-Maize'!F57</f>
        <v>7152</v>
      </c>
      <c r="P57" s="426">
        <f t="shared" si="2"/>
        <v>20909.6</v>
      </c>
    </row>
    <row r="58" spans="1:16" ht="14.25" customHeight="1">
      <c r="A58" s="12"/>
      <c r="B58" s="34">
        <v>40</v>
      </c>
      <c r="C58" s="206" t="s">
        <v>176</v>
      </c>
      <c r="D58" s="38">
        <v>10000</v>
      </c>
      <c r="E58" s="38">
        <v>5000</v>
      </c>
      <c r="F58" s="38">
        <v>4000</v>
      </c>
      <c r="G58" s="69">
        <v>8040</v>
      </c>
      <c r="H58" s="228">
        <v>22598</v>
      </c>
      <c r="I58" s="232">
        <v>52367</v>
      </c>
      <c r="J58" s="232">
        <v>38263</v>
      </c>
      <c r="K58" s="228">
        <v>3865</v>
      </c>
      <c r="L58" s="293">
        <v>1254</v>
      </c>
      <c r="M58" s="391">
        <v>91</v>
      </c>
      <c r="N58" s="391">
        <v>23988</v>
      </c>
      <c r="O58" s="491">
        <f>'Mielies-Maize'!F58</f>
        <v>32152</v>
      </c>
      <c r="P58" s="426">
        <f t="shared" si="2"/>
        <v>13492.2</v>
      </c>
    </row>
    <row r="59" spans="1:16" ht="14.25" customHeight="1">
      <c r="A59" s="12"/>
      <c r="B59" s="34">
        <v>41</v>
      </c>
      <c r="C59" s="206" t="s">
        <v>177</v>
      </c>
      <c r="D59" s="38">
        <v>9000</v>
      </c>
      <c r="E59" s="38">
        <v>9000</v>
      </c>
      <c r="F59" s="38">
        <v>3000</v>
      </c>
      <c r="G59" s="69">
        <v>7724</v>
      </c>
      <c r="H59" s="228">
        <v>10369</v>
      </c>
      <c r="I59" s="232">
        <v>11404</v>
      </c>
      <c r="J59" s="232">
        <v>19388</v>
      </c>
      <c r="K59" s="228">
        <v>18520</v>
      </c>
      <c r="L59" s="293">
        <v>5668</v>
      </c>
      <c r="M59" s="391">
        <v>2095</v>
      </c>
      <c r="N59" s="391">
        <v>7466</v>
      </c>
      <c r="O59" s="491">
        <f>'Mielies-Maize'!F59</f>
        <v>5936</v>
      </c>
      <c r="P59" s="426">
        <f t="shared" si="2"/>
        <v>10627.4</v>
      </c>
    </row>
    <row r="60" spans="1:16" ht="14.25" customHeight="1">
      <c r="A60" s="12"/>
      <c r="B60" s="34">
        <v>42</v>
      </c>
      <c r="C60" s="206" t="s">
        <v>178</v>
      </c>
      <c r="D60" s="38">
        <v>9000</v>
      </c>
      <c r="E60" s="38">
        <v>21000</v>
      </c>
      <c r="F60" s="38">
        <v>6000</v>
      </c>
      <c r="G60" s="69">
        <v>10865</v>
      </c>
      <c r="H60" s="228">
        <v>12879</v>
      </c>
      <c r="I60" s="232">
        <v>8871</v>
      </c>
      <c r="J60" s="232">
        <v>33366</v>
      </c>
      <c r="K60" s="228">
        <v>36119</v>
      </c>
      <c r="L60" s="293">
        <v>3148</v>
      </c>
      <c r="M60" s="391">
        <v>1001</v>
      </c>
      <c r="N60" s="391">
        <v>11480</v>
      </c>
      <c r="O60" s="491">
        <f>'Mielies-Maize'!F60</f>
        <v>10507</v>
      </c>
      <c r="P60" s="426">
        <f t="shared" si="2"/>
        <v>17022.8</v>
      </c>
    </row>
    <row r="61" spans="1:16" ht="14.25" customHeight="1">
      <c r="A61" s="12"/>
      <c r="B61" s="222">
        <v>43</v>
      </c>
      <c r="C61" s="206" t="s">
        <v>179</v>
      </c>
      <c r="D61" s="38">
        <v>6000</v>
      </c>
      <c r="E61" s="38">
        <v>6000</v>
      </c>
      <c r="F61" s="38">
        <v>10000</v>
      </c>
      <c r="G61" s="69">
        <v>47152</v>
      </c>
      <c r="H61" s="228">
        <v>14168</v>
      </c>
      <c r="I61" s="232">
        <v>12326</v>
      </c>
      <c r="J61" s="232">
        <v>22164</v>
      </c>
      <c r="K61" s="228">
        <v>42638</v>
      </c>
      <c r="L61" s="293">
        <v>28844</v>
      </c>
      <c r="M61" s="391">
        <v>21149</v>
      </c>
      <c r="N61" s="391">
        <v>9084</v>
      </c>
      <c r="O61" s="491">
        <f>'Mielies-Maize'!F61</f>
        <v>8705</v>
      </c>
      <c r="P61" s="426">
        <f t="shared" si="2"/>
        <v>24775.8</v>
      </c>
    </row>
    <row r="62" spans="1:16" ht="14.25" customHeight="1">
      <c r="A62" s="12"/>
      <c r="B62" s="121">
        <v>44</v>
      </c>
      <c r="C62" s="206" t="s">
        <v>180</v>
      </c>
      <c r="D62" s="38">
        <v>8000</v>
      </c>
      <c r="E62" s="38">
        <v>9000</v>
      </c>
      <c r="F62" s="38">
        <v>5000</v>
      </c>
      <c r="G62" s="69">
        <v>21681</v>
      </c>
      <c r="H62" s="228">
        <v>31442</v>
      </c>
      <c r="I62" s="232">
        <v>44208</v>
      </c>
      <c r="J62" s="232">
        <v>49314</v>
      </c>
      <c r="K62" s="228">
        <v>7698</v>
      </c>
      <c r="L62" s="293">
        <v>2322</v>
      </c>
      <c r="M62" s="391">
        <v>1000</v>
      </c>
      <c r="N62" s="391">
        <v>22233</v>
      </c>
      <c r="O62" s="491">
        <f>'Mielies-Maize'!F62</f>
        <v>28854</v>
      </c>
      <c r="P62" s="426">
        <f t="shared" si="2"/>
        <v>16513.4</v>
      </c>
    </row>
    <row r="63" spans="1:16" ht="14.25" customHeight="1">
      <c r="A63" s="12"/>
      <c r="B63" s="34">
        <v>45</v>
      </c>
      <c r="C63" s="206" t="s">
        <v>181</v>
      </c>
      <c r="D63" s="38">
        <v>14000</v>
      </c>
      <c r="E63" s="38">
        <v>9000</v>
      </c>
      <c r="F63" s="38">
        <v>7000</v>
      </c>
      <c r="G63" s="69">
        <v>16341</v>
      </c>
      <c r="H63" s="228">
        <v>7574</v>
      </c>
      <c r="I63" s="232">
        <v>7431</v>
      </c>
      <c r="J63" s="232">
        <v>17298</v>
      </c>
      <c r="K63" s="228">
        <v>25785</v>
      </c>
      <c r="L63" s="293">
        <v>5338</v>
      </c>
      <c r="M63" s="391">
        <v>0</v>
      </c>
      <c r="N63" s="391"/>
      <c r="O63" s="491">
        <f>'Mielies-Maize'!F63</f>
        <v>9127</v>
      </c>
      <c r="P63" s="426">
        <f t="shared" si="2"/>
        <v>12105.25</v>
      </c>
    </row>
    <row r="64" spans="1:16" ht="14.25" customHeight="1">
      <c r="A64" s="12"/>
      <c r="B64" s="34">
        <v>46</v>
      </c>
      <c r="C64" s="206" t="s">
        <v>182</v>
      </c>
      <c r="D64" s="38">
        <v>81000</v>
      </c>
      <c r="E64" s="38">
        <v>3000</v>
      </c>
      <c r="F64" s="38">
        <v>9000</v>
      </c>
      <c r="G64" s="69">
        <v>22682</v>
      </c>
      <c r="H64" s="228">
        <v>5053</v>
      </c>
      <c r="I64" s="232">
        <v>6752</v>
      </c>
      <c r="J64" s="232">
        <v>23142</v>
      </c>
      <c r="K64" s="228">
        <v>60218</v>
      </c>
      <c r="L64" s="293">
        <v>8415</v>
      </c>
      <c r="M64" s="391">
        <v>0</v>
      </c>
      <c r="N64" s="391"/>
      <c r="O64" s="491">
        <f>'Mielies-Maize'!F64</f>
        <v>11229</v>
      </c>
      <c r="P64" s="426">
        <f t="shared" si="2"/>
        <v>22943.75</v>
      </c>
    </row>
    <row r="65" spans="1:16" ht="14.25" customHeight="1">
      <c r="A65" s="12"/>
      <c r="B65" s="34">
        <v>47</v>
      </c>
      <c r="C65" s="206" t="s">
        <v>183</v>
      </c>
      <c r="D65" s="38">
        <v>10000</v>
      </c>
      <c r="E65" s="38">
        <v>6000</v>
      </c>
      <c r="F65" s="38">
        <v>17000</v>
      </c>
      <c r="G65" s="69">
        <v>35404</v>
      </c>
      <c r="H65" s="228">
        <v>7583</v>
      </c>
      <c r="I65" s="232">
        <v>6629</v>
      </c>
      <c r="J65" s="232">
        <v>20536</v>
      </c>
      <c r="K65" s="228">
        <v>60372</v>
      </c>
      <c r="L65" s="293">
        <v>4286</v>
      </c>
      <c r="M65" s="391">
        <v>0</v>
      </c>
      <c r="N65" s="391"/>
      <c r="O65" s="491">
        <f>'Mielies-Maize'!F65</f>
        <v>10015</v>
      </c>
      <c r="P65" s="426">
        <f t="shared" si="2"/>
        <v>21298.5</v>
      </c>
    </row>
    <row r="66" spans="1:16" ht="14.25" customHeight="1">
      <c r="A66" s="12"/>
      <c r="B66" s="34">
        <v>48</v>
      </c>
      <c r="C66" s="206" t="s">
        <v>184</v>
      </c>
      <c r="D66" s="38">
        <v>6000</v>
      </c>
      <c r="E66" s="38">
        <v>2000</v>
      </c>
      <c r="F66" s="38">
        <v>19000</v>
      </c>
      <c r="G66" s="69">
        <v>13827</v>
      </c>
      <c r="H66" s="228">
        <v>37526</v>
      </c>
      <c r="I66" s="232">
        <v>50583</v>
      </c>
      <c r="J66" s="232">
        <v>65674</v>
      </c>
      <c r="K66" s="228">
        <v>119943</v>
      </c>
      <c r="L66" s="293">
        <v>27621</v>
      </c>
      <c r="M66" s="391">
        <v>0</v>
      </c>
      <c r="N66" s="391"/>
      <c r="O66" s="491">
        <f>'Mielies-Maize'!F66</f>
        <v>45001</v>
      </c>
      <c r="P66" s="426">
        <f t="shared" si="2"/>
        <v>53309.5</v>
      </c>
    </row>
    <row r="67" spans="1:16" ht="14.25" customHeight="1">
      <c r="A67" s="12"/>
      <c r="B67" s="34">
        <v>49</v>
      </c>
      <c r="C67" s="206" t="s">
        <v>185</v>
      </c>
      <c r="D67" s="38">
        <v>7000</v>
      </c>
      <c r="E67" s="38">
        <v>3000</v>
      </c>
      <c r="F67" s="38">
        <v>14000</v>
      </c>
      <c r="G67" s="69">
        <v>14194</v>
      </c>
      <c r="H67" s="228">
        <v>10146</v>
      </c>
      <c r="I67" s="232">
        <v>8147</v>
      </c>
      <c r="J67" s="232">
        <v>9793</v>
      </c>
      <c r="K67" s="228">
        <v>51762</v>
      </c>
      <c r="L67" s="293">
        <v>2310</v>
      </c>
      <c r="M67" s="391">
        <v>0</v>
      </c>
      <c r="N67" s="391"/>
      <c r="O67" s="491">
        <f>'Mielies-Maize'!F67</f>
        <v>5055</v>
      </c>
      <c r="P67" s="426">
        <f t="shared" si="2"/>
        <v>15966.25</v>
      </c>
    </row>
    <row r="68" spans="1:16" ht="14.25" customHeight="1">
      <c r="A68" s="12"/>
      <c r="B68" s="34">
        <v>50</v>
      </c>
      <c r="C68" s="206" t="s">
        <v>186</v>
      </c>
      <c r="D68" s="38">
        <v>10000</v>
      </c>
      <c r="E68" s="38">
        <v>38000</v>
      </c>
      <c r="F68" s="38">
        <v>31000</v>
      </c>
      <c r="G68" s="69">
        <v>36786</v>
      </c>
      <c r="H68" s="228">
        <v>15483</v>
      </c>
      <c r="I68" s="232">
        <v>7895</v>
      </c>
      <c r="J68" s="232">
        <v>22825</v>
      </c>
      <c r="K68" s="228">
        <v>22382</v>
      </c>
      <c r="L68" s="293">
        <v>6840</v>
      </c>
      <c r="M68" s="391">
        <v>0</v>
      </c>
      <c r="N68" s="391"/>
      <c r="O68" s="491">
        <f>'Mielies-Maize'!F68</f>
        <v>16900</v>
      </c>
      <c r="P68" s="426">
        <f t="shared" si="2"/>
        <v>13011.75</v>
      </c>
    </row>
    <row r="69" spans="1:16" ht="14.25" customHeight="1">
      <c r="A69" s="12"/>
      <c r="B69" s="34">
        <v>51</v>
      </c>
      <c r="C69" s="206"/>
      <c r="D69" s="38">
        <v>0</v>
      </c>
      <c r="E69" s="38">
        <v>33000</v>
      </c>
      <c r="F69" s="38">
        <v>70000</v>
      </c>
      <c r="G69" s="69">
        <v>60090</v>
      </c>
      <c r="H69" s="228">
        <v>14779</v>
      </c>
      <c r="I69" s="232">
        <v>21239</v>
      </c>
      <c r="J69" s="232">
        <v>30161</v>
      </c>
      <c r="K69" s="228">
        <v>52461</v>
      </c>
      <c r="L69" s="293">
        <v>8423</v>
      </c>
      <c r="M69" s="391">
        <v>0</v>
      </c>
      <c r="N69" s="391"/>
      <c r="O69" s="492"/>
      <c r="P69" s="426"/>
    </row>
    <row r="70" spans="1:16" ht="14.25" customHeight="1">
      <c r="A70" s="12"/>
      <c r="B70" s="34">
        <v>52</v>
      </c>
      <c r="C70" s="206"/>
      <c r="D70" s="38">
        <v>14000</v>
      </c>
      <c r="E70" s="38">
        <v>49000</v>
      </c>
      <c r="F70" s="38">
        <v>50000</v>
      </c>
      <c r="G70" s="69">
        <v>144835</v>
      </c>
      <c r="H70" s="293">
        <v>77847</v>
      </c>
      <c r="I70" s="293">
        <v>19472</v>
      </c>
      <c r="J70" s="293">
        <v>32278</v>
      </c>
      <c r="K70" s="228">
        <v>67746</v>
      </c>
      <c r="L70" s="293">
        <v>12401</v>
      </c>
      <c r="M70" s="391">
        <v>0</v>
      </c>
      <c r="N70" s="391"/>
      <c r="O70" s="492"/>
      <c r="P70" s="426"/>
    </row>
    <row r="71" spans="1:16" ht="14.25" customHeight="1">
      <c r="A71" s="12"/>
      <c r="B71" s="34">
        <v>53</v>
      </c>
      <c r="C71" s="312"/>
      <c r="D71" s="38"/>
      <c r="E71" s="38"/>
      <c r="F71" s="38"/>
      <c r="G71" s="38"/>
      <c r="H71" s="293"/>
      <c r="I71" s="293"/>
      <c r="J71" s="293"/>
      <c r="K71" s="228"/>
      <c r="L71" s="293">
        <f>'Mielies-Maize'!F71</f>
        <v>0</v>
      </c>
      <c r="M71" s="391"/>
      <c r="N71" s="391"/>
      <c r="O71" s="492"/>
      <c r="P71" s="426">
        <f t="shared" si="2"/>
        <v>0</v>
      </c>
    </row>
    <row r="72" spans="1:16" ht="14.25" customHeight="1">
      <c r="A72" s="12"/>
      <c r="B72" s="34">
        <v>54</v>
      </c>
      <c r="C72" s="206"/>
      <c r="D72" s="46"/>
      <c r="E72" s="46"/>
      <c r="F72" s="46"/>
      <c r="G72" s="46"/>
      <c r="H72" s="292"/>
      <c r="I72" s="292"/>
      <c r="J72" s="292"/>
      <c r="K72" s="325"/>
      <c r="L72" s="292">
        <f>'Mielies-Maize'!F72</f>
        <v>0</v>
      </c>
      <c r="M72" s="392"/>
      <c r="N72" s="392"/>
      <c r="O72" s="493"/>
      <c r="P72" s="426">
        <f t="shared" si="2"/>
        <v>0</v>
      </c>
    </row>
    <row r="73" spans="1:16" ht="14.25" customHeight="1">
      <c r="A73" s="12"/>
      <c r="B73" s="219" t="s">
        <v>35</v>
      </c>
      <c r="C73" s="313"/>
      <c r="D73" s="184">
        <v>7480000</v>
      </c>
      <c r="E73" s="183">
        <v>6775000</v>
      </c>
      <c r="F73" s="182">
        <v>6052000</v>
      </c>
      <c r="G73" s="125">
        <v>6903656</v>
      </c>
      <c r="H73" s="125">
        <v>5606800</v>
      </c>
      <c r="I73" s="181">
        <v>7710000</v>
      </c>
      <c r="J73" s="125">
        <v>4735000</v>
      </c>
      <c r="K73" s="125">
        <v>3408500</v>
      </c>
      <c r="L73" s="327">
        <v>9916000</v>
      </c>
      <c r="M73" s="364">
        <v>6540000</v>
      </c>
      <c r="N73" s="364">
        <v>5545000</v>
      </c>
      <c r="O73" s="494">
        <f>'Table-SAGIS deliver vs CEC est'!C8</f>
        <v>8666310</v>
      </c>
      <c r="P73" s="506">
        <f>AVERAGE(J73:N73)</f>
        <v>6028900</v>
      </c>
    </row>
    <row r="74" spans="1:16" ht="14.25" customHeight="1">
      <c r="A74" s="12"/>
      <c r="B74" s="276" t="s">
        <v>84</v>
      </c>
      <c r="C74" s="235"/>
      <c r="D74" s="133">
        <v>119893</v>
      </c>
      <c r="E74" s="135">
        <v>114890</v>
      </c>
      <c r="F74" s="135">
        <v>100312</v>
      </c>
      <c r="G74" s="135">
        <v>114097</v>
      </c>
      <c r="H74" s="135">
        <v>110942</v>
      </c>
      <c r="I74" s="135">
        <v>137247</v>
      </c>
      <c r="J74" s="135">
        <v>94200</v>
      </c>
      <c r="K74" s="135">
        <v>41052</v>
      </c>
      <c r="L74" s="322">
        <f>212100+16900</f>
        <v>229000</v>
      </c>
      <c r="M74" s="365">
        <v>200000</v>
      </c>
      <c r="N74" s="365">
        <v>160000</v>
      </c>
      <c r="O74" s="495">
        <f>'Table-SAGIS deliver vs CEC est'!C9+'Table-SAGIS deliver vs CEC est'!C10</f>
        <v>270000</v>
      </c>
      <c r="P74" s="506">
        <f>AVERAGE(J74:N74)</f>
        <v>144850.4</v>
      </c>
    </row>
    <row r="75" spans="1:16" ht="14.25" customHeight="1">
      <c r="A75" s="12"/>
      <c r="B75" s="277" t="s">
        <v>82</v>
      </c>
      <c r="C75" s="238"/>
      <c r="D75" s="136">
        <f aca="true" t="shared" si="3" ref="D75:I75">D73-D74</f>
        <v>7360107</v>
      </c>
      <c r="E75" s="136">
        <f t="shared" si="3"/>
        <v>6660110</v>
      </c>
      <c r="F75" s="136">
        <f t="shared" si="3"/>
        <v>5951688</v>
      </c>
      <c r="G75" s="136">
        <f t="shared" si="3"/>
        <v>6789559</v>
      </c>
      <c r="H75" s="136">
        <f t="shared" si="3"/>
        <v>5495858</v>
      </c>
      <c r="I75" s="136">
        <f t="shared" si="3"/>
        <v>7572753</v>
      </c>
      <c r="J75" s="136">
        <v>4624890</v>
      </c>
      <c r="K75" s="136">
        <v>3367448</v>
      </c>
      <c r="L75" s="136">
        <f>L73-L74</f>
        <v>9687000</v>
      </c>
      <c r="M75" s="366">
        <f>M73-M74</f>
        <v>6340000</v>
      </c>
      <c r="N75" s="366">
        <v>5385000</v>
      </c>
      <c r="O75" s="496">
        <f>O73-O74</f>
        <v>8396310</v>
      </c>
      <c r="P75" s="507">
        <f>P73-P74</f>
        <v>5884049.6</v>
      </c>
    </row>
    <row r="76" spans="1:16" ht="12">
      <c r="A76" s="12"/>
      <c r="B76" s="23"/>
      <c r="C76" s="14"/>
      <c r="D76" s="134"/>
      <c r="E76" s="128"/>
      <c r="F76" s="128"/>
      <c r="G76" s="129"/>
      <c r="H76" s="130"/>
      <c r="I76" s="129"/>
      <c r="J76" s="248"/>
      <c r="K76" s="248"/>
      <c r="L76" s="278"/>
      <c r="M76" s="367"/>
      <c r="N76" s="367"/>
      <c r="O76" s="497"/>
      <c r="P76" s="508"/>
    </row>
    <row r="77" spans="1:16" ht="18" thickBot="1">
      <c r="A77" s="12"/>
      <c r="B77" s="210" t="s">
        <v>70</v>
      </c>
      <c r="C77" s="211"/>
      <c r="D77" s="212" t="s">
        <v>29</v>
      </c>
      <c r="E77" s="361" t="s">
        <v>30</v>
      </c>
      <c r="F77" s="351" t="s">
        <v>28</v>
      </c>
      <c r="G77" s="351" t="s">
        <v>34</v>
      </c>
      <c r="H77" s="351" t="s">
        <v>61</v>
      </c>
      <c r="I77" s="351" t="s">
        <v>80</v>
      </c>
      <c r="J77" s="351" t="s">
        <v>81</v>
      </c>
      <c r="K77" s="351" t="s">
        <v>91</v>
      </c>
      <c r="L77" s="352" t="s">
        <v>95</v>
      </c>
      <c r="M77" s="368" t="str">
        <f>M3</f>
        <v>2018/19</v>
      </c>
      <c r="N77" s="449" t="s">
        <v>128</v>
      </c>
      <c r="O77" s="498" t="str">
        <f>O3</f>
        <v>*2020/21</v>
      </c>
      <c r="P77" s="424" t="s">
        <v>122</v>
      </c>
    </row>
    <row r="78" spans="1:16" ht="12">
      <c r="A78" s="12"/>
      <c r="B78" s="70" t="s">
        <v>69</v>
      </c>
      <c r="C78" s="71"/>
      <c r="D78" s="40">
        <f aca="true" t="shared" si="4" ref="D78:I78">D16</f>
        <v>328341</v>
      </c>
      <c r="E78" s="362">
        <f t="shared" si="4"/>
        <v>115703</v>
      </c>
      <c r="F78" s="341">
        <f t="shared" si="4"/>
        <v>97000</v>
      </c>
      <c r="G78" s="341">
        <f t="shared" si="4"/>
        <v>139234</v>
      </c>
      <c r="H78" s="341">
        <f t="shared" si="4"/>
        <v>83365</v>
      </c>
      <c r="I78" s="341">
        <f t="shared" si="4"/>
        <v>87437</v>
      </c>
      <c r="J78" s="342">
        <v>174836</v>
      </c>
      <c r="K78" s="342">
        <v>342315</v>
      </c>
      <c r="L78" s="353">
        <f>L18</f>
        <v>503551</v>
      </c>
      <c r="M78" s="369">
        <f>M18</f>
        <v>117369</v>
      </c>
      <c r="N78" s="369">
        <f>N18</f>
        <v>85898</v>
      </c>
      <c r="O78" s="499">
        <f>O18</f>
        <v>131241</v>
      </c>
      <c r="P78" s="353">
        <f>P18</f>
        <v>230828.40000000002</v>
      </c>
    </row>
    <row r="79" spans="1:16" ht="12.75" thickBot="1">
      <c r="A79" s="12"/>
      <c r="B79" s="73" t="s">
        <v>117</v>
      </c>
      <c r="C79" s="74"/>
      <c r="D79" s="279">
        <f>SUM(D19:D62)</f>
        <v>7047000</v>
      </c>
      <c r="E79" s="279">
        <f>SUM(E19:E62)</f>
        <v>6594000</v>
      </c>
      <c r="F79" s="279">
        <f aca="true" t="shared" si="5" ref="F79:N79">SUM(F19:F57)</f>
        <v>5493800</v>
      </c>
      <c r="G79" s="279">
        <f t="shared" si="5"/>
        <v>6440516</v>
      </c>
      <c r="H79" s="279">
        <f t="shared" si="5"/>
        <v>5081850</v>
      </c>
      <c r="I79" s="279">
        <f t="shared" si="5"/>
        <v>7285187</v>
      </c>
      <c r="J79" s="279">
        <f t="shared" si="5"/>
        <v>4356756</v>
      </c>
      <c r="K79" s="279">
        <f t="shared" si="5"/>
        <v>2944897</v>
      </c>
      <c r="L79" s="279">
        <f t="shared" si="5"/>
        <v>9109377</v>
      </c>
      <c r="M79" s="279">
        <f t="shared" si="5"/>
        <v>6199780</v>
      </c>
      <c r="N79" s="279">
        <f t="shared" si="5"/>
        <v>5234552</v>
      </c>
      <c r="O79" s="500">
        <f>SUM(O19:O57)</f>
        <v>8083955</v>
      </c>
      <c r="P79" s="509">
        <f>SUM(P19:P57)</f>
        <v>5569072.4</v>
      </c>
    </row>
    <row r="80" spans="1:16" ht="15.75" thickBot="1">
      <c r="A80" s="12"/>
      <c r="B80" s="213" t="s">
        <v>118</v>
      </c>
      <c r="C80" s="214"/>
      <c r="D80" s="257">
        <f aca="true" t="shared" si="6" ref="D80:K80">SUM(D78:D79)</f>
        <v>7375341</v>
      </c>
      <c r="E80" s="363">
        <f t="shared" si="6"/>
        <v>6709703</v>
      </c>
      <c r="F80" s="343">
        <f t="shared" si="6"/>
        <v>5590800</v>
      </c>
      <c r="G80" s="343">
        <f t="shared" si="6"/>
        <v>6579750</v>
      </c>
      <c r="H80" s="343">
        <f t="shared" si="6"/>
        <v>5165215</v>
      </c>
      <c r="I80" s="343">
        <f t="shared" si="6"/>
        <v>7372624</v>
      </c>
      <c r="J80" s="343">
        <f t="shared" si="6"/>
        <v>4531592</v>
      </c>
      <c r="K80" s="343">
        <f t="shared" si="6"/>
        <v>3287212</v>
      </c>
      <c r="L80" s="354">
        <f>SUM(L78:L79)</f>
        <v>9612928</v>
      </c>
      <c r="M80" s="328">
        <f>SUM(M78:M79)</f>
        <v>6317149</v>
      </c>
      <c r="N80" s="328">
        <f>SUM(N78:N79)</f>
        <v>5320450</v>
      </c>
      <c r="O80" s="501">
        <f>SUM(O78:O79)</f>
        <v>8215196</v>
      </c>
      <c r="P80" s="354">
        <f>SUM(P78:P79)</f>
        <v>5799900.800000001</v>
      </c>
    </row>
    <row r="81" spans="1:16" ht="15.75" thickTop="1">
      <c r="A81" s="12"/>
      <c r="B81" s="376" t="s">
        <v>119</v>
      </c>
      <c r="C81" s="374"/>
      <c r="D81" s="375">
        <f aca="true" t="shared" si="7" ref="D81:K81">SUM(D18:D62)</f>
        <v>7375341</v>
      </c>
      <c r="E81" s="375">
        <f t="shared" si="7"/>
        <v>6709703</v>
      </c>
      <c r="F81" s="375">
        <f t="shared" si="7"/>
        <v>5618800</v>
      </c>
      <c r="G81" s="375">
        <f t="shared" si="7"/>
        <v>6675212</v>
      </c>
      <c r="H81" s="375">
        <f t="shared" si="7"/>
        <v>5256671</v>
      </c>
      <c r="I81" s="375">
        <f t="shared" si="7"/>
        <v>7501800</v>
      </c>
      <c r="J81" s="375">
        <f t="shared" si="7"/>
        <v>4694087</v>
      </c>
      <c r="K81" s="375">
        <f t="shared" si="7"/>
        <v>3341793</v>
      </c>
      <c r="L81" s="375">
        <f>SUM(L18:L62)</f>
        <v>9654164</v>
      </c>
      <c r="M81" s="375"/>
      <c r="N81" s="375"/>
      <c r="O81" s="502"/>
      <c r="P81" s="375"/>
    </row>
    <row r="82" spans="1:16" ht="15.75" thickBot="1">
      <c r="A82" s="12"/>
      <c r="B82" s="219" t="s">
        <v>33</v>
      </c>
      <c r="C82" s="239"/>
      <c r="D82" s="355">
        <f>D80/D81</f>
        <v>1</v>
      </c>
      <c r="E82" s="355">
        <f>E80/E81</f>
        <v>1</v>
      </c>
      <c r="F82" s="409">
        <f aca="true" t="shared" si="8" ref="F82:M82">F80/F75</f>
        <v>0.9393637569711315</v>
      </c>
      <c r="G82" s="409">
        <f t="shared" si="8"/>
        <v>0.9690982875323714</v>
      </c>
      <c r="H82" s="409">
        <f t="shared" si="8"/>
        <v>0.9398377832906163</v>
      </c>
      <c r="I82" s="409">
        <f t="shared" si="8"/>
        <v>0.9735724907441191</v>
      </c>
      <c r="J82" s="483">
        <f t="shared" si="8"/>
        <v>0.9798269796687057</v>
      </c>
      <c r="K82" s="483">
        <f t="shared" si="8"/>
        <v>0.9761730544911161</v>
      </c>
      <c r="L82" s="483">
        <f>L80/L75</f>
        <v>0.9923534634045628</v>
      </c>
      <c r="M82" s="483">
        <f t="shared" si="8"/>
        <v>0.9963957413249211</v>
      </c>
      <c r="N82" s="483">
        <f>N80/N75</f>
        <v>0.9880129990714949</v>
      </c>
      <c r="O82" s="503">
        <f>O80/O75</f>
        <v>0.9784293338383171</v>
      </c>
      <c r="P82" s="511">
        <f>P80/P75</f>
        <v>0.9856988289153785</v>
      </c>
    </row>
    <row r="83" spans="1:16" ht="15" customHeight="1">
      <c r="A83" s="12"/>
      <c r="B83" s="283" t="s">
        <v>46</v>
      </c>
      <c r="C83" s="284"/>
      <c r="D83" s="284"/>
      <c r="E83" s="284"/>
      <c r="F83" s="284"/>
      <c r="G83" s="284"/>
      <c r="H83" s="284"/>
      <c r="I83" s="284"/>
      <c r="J83" s="156"/>
      <c r="K83" s="156"/>
      <c r="L83" s="156"/>
      <c r="M83" s="394"/>
      <c r="N83" s="394"/>
      <c r="O83" s="323"/>
      <c r="P83" s="510"/>
    </row>
    <row r="84" spans="1:16" ht="15" customHeight="1">
      <c r="A84" s="12"/>
      <c r="B84" s="316" t="s">
        <v>47</v>
      </c>
      <c r="C84" s="317"/>
      <c r="D84" s="317"/>
      <c r="E84" s="317"/>
      <c r="F84" s="317"/>
      <c r="G84" s="317"/>
      <c r="H84" s="317"/>
      <c r="I84" s="317"/>
      <c r="J84" s="12"/>
      <c r="K84" s="12"/>
      <c r="L84" s="12"/>
      <c r="M84" s="12"/>
      <c r="N84" s="12"/>
      <c r="O84" s="24"/>
      <c r="P84" s="24"/>
    </row>
    <row r="85" spans="1:16" ht="15.75" customHeight="1" thickBot="1">
      <c r="A85" s="12"/>
      <c r="B85" s="318" t="s">
        <v>48</v>
      </c>
      <c r="C85" s="319"/>
      <c r="D85" s="319"/>
      <c r="E85" s="319"/>
      <c r="F85" s="319"/>
      <c r="G85" s="319"/>
      <c r="H85" s="319"/>
      <c r="I85" s="319"/>
      <c r="J85" s="157"/>
      <c r="K85" s="157"/>
      <c r="L85" s="157"/>
      <c r="M85" s="157"/>
      <c r="N85" s="157"/>
      <c r="O85" s="151"/>
      <c r="P85" s="151"/>
    </row>
    <row r="86" ht="12" hidden="1"/>
    <row r="87" spans="2:10" ht="12.75" hidden="1">
      <c r="B87" s="2" t="s">
        <v>89</v>
      </c>
      <c r="D87" s="141">
        <f aca="true" t="shared" si="9" ref="D87:I87">SUM(D48:D62)/D75</f>
        <v>0.01793452187583686</v>
      </c>
      <c r="E87" s="141">
        <f t="shared" si="9"/>
        <v>0.02057023082201345</v>
      </c>
      <c r="F87" s="141">
        <f t="shared" si="9"/>
        <v>0.019994327659648824</v>
      </c>
      <c r="G87" s="141">
        <f t="shared" si="9"/>
        <v>0.03855832168186476</v>
      </c>
      <c r="H87" s="141">
        <f t="shared" si="9"/>
        <v>0.033165340152529414</v>
      </c>
      <c r="I87" s="141">
        <f t="shared" si="9"/>
        <v>0.032902829393748875</v>
      </c>
      <c r="J87" s="138">
        <f>1-J82</f>
        <v>0.02017302033129431</v>
      </c>
    </row>
    <row r="88" ht="12" hidden="1">
      <c r="H88" s="2"/>
    </row>
    <row r="89" spans="8:9" ht="12" hidden="1">
      <c r="H89" s="2" t="s">
        <v>90</v>
      </c>
      <c r="I89" s="142">
        <f>SUM(AVERAGE(D87:I87))</f>
        <v>0.027187595264273695</v>
      </c>
    </row>
    <row r="90" spans="4:16" ht="12">
      <c r="D90" s="305">
        <f>1-D82</f>
        <v>0</v>
      </c>
      <c r="E90" s="305">
        <f>1-E82</f>
        <v>0</v>
      </c>
      <c r="F90" s="305">
        <f>1-F82</f>
        <v>0.0606362430288685</v>
      </c>
      <c r="G90" s="305">
        <f>1-G82</f>
        <v>0.030901712467628628</v>
      </c>
      <c r="H90" s="305"/>
      <c r="I90" s="305"/>
      <c r="J90" s="305"/>
      <c r="K90" s="305"/>
      <c r="L90" s="305"/>
      <c r="M90" s="305"/>
      <c r="N90" s="305"/>
      <c r="P90" s="305"/>
    </row>
    <row r="93" ht="12">
      <c r="O93" s="479">
        <f>N96*O73</f>
        <v>115597.9479756718</v>
      </c>
    </row>
    <row r="95" spans="6:16" ht="12">
      <c r="F95" s="445">
        <f>SUM(F56:F62)/F73</f>
        <v>0.006609385327164574</v>
      </c>
      <c r="G95" s="445">
        <f>SUM(G56:G62)/G73</f>
        <v>0.018711824575268526</v>
      </c>
      <c r="H95" s="446">
        <f aca="true" t="shared" si="10" ref="H95:N95">SUM(H58:H62)/H73</f>
        <v>0.016311621602340017</v>
      </c>
      <c r="I95" s="446">
        <f t="shared" si="10"/>
        <v>0.016754345006485084</v>
      </c>
      <c r="J95" s="446">
        <f t="shared" si="10"/>
        <v>0.03431784582893348</v>
      </c>
      <c r="K95" s="446">
        <f t="shared" si="10"/>
        <v>0.03193193486871058</v>
      </c>
      <c r="L95" s="446">
        <f t="shared" si="10"/>
        <v>0.004158531665994353</v>
      </c>
      <c r="M95" s="446">
        <f t="shared" si="10"/>
        <v>0.003874006116207951</v>
      </c>
      <c r="N95" s="446">
        <f t="shared" si="10"/>
        <v>0.013390622182146077</v>
      </c>
      <c r="O95" s="479">
        <f>O80+O93</f>
        <v>8330793.947975672</v>
      </c>
      <c r="P95" s="446">
        <f>SUM(P58:P62)/P73</f>
        <v>0.013672742954767869</v>
      </c>
    </row>
    <row r="96" spans="14:16" ht="12">
      <c r="N96" s="305">
        <f>AVERAGE(K95:N95)</f>
        <v>0.01333877370826474</v>
      </c>
      <c r="P96" s="479">
        <f>O73*P95</f>
        <v>118492.22899633434</v>
      </c>
    </row>
    <row r="97" spans="15:16" ht="12">
      <c r="O97" s="479">
        <f>O73-O95</f>
        <v>335516.05202432815</v>
      </c>
      <c r="P97" s="5">
        <f>O80+P96</f>
        <v>8333688.228996335</v>
      </c>
    </row>
    <row r="98" spans="16:17" ht="12">
      <c r="P98" s="513">
        <f>O75-P97</f>
        <v>62621.7710036654</v>
      </c>
      <c r="Q98" s="377">
        <f>O73-P97</f>
        <v>332621.7710036654</v>
      </c>
    </row>
    <row r="99" spans="8:16" ht="12">
      <c r="H99" s="460">
        <f aca="true" t="shared" si="11" ref="H99:N99">H16/H73</f>
        <v>0.014868552471998288</v>
      </c>
      <c r="I99" s="460">
        <f t="shared" si="11"/>
        <v>0.011340726329442283</v>
      </c>
      <c r="J99" s="460">
        <f t="shared" si="11"/>
        <v>0.03692418162618796</v>
      </c>
      <c r="K99" s="460">
        <f t="shared" si="11"/>
        <v>0.08451107525304385</v>
      </c>
      <c r="L99" s="460">
        <f t="shared" si="11"/>
        <v>0.05078166599435256</v>
      </c>
      <c r="M99" s="460">
        <f t="shared" si="11"/>
        <v>0.017946330275229357</v>
      </c>
      <c r="N99" s="460">
        <f t="shared" si="11"/>
        <v>0.01549107303877367</v>
      </c>
      <c r="O99" s="460">
        <f>O16/O73</f>
        <v>0.015143815533946973</v>
      </c>
      <c r="P99" s="460">
        <f>P16/P73</f>
        <v>0.0382869843586724</v>
      </c>
    </row>
    <row r="102" ht="12">
      <c r="O102" s="479">
        <f>O75-O95</f>
        <v>65516.05202432815</v>
      </c>
    </row>
  </sheetData>
  <sheetProtection/>
  <mergeCells count="1">
    <mergeCell ref="B2:P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showGridLines="0" zoomScale="80" zoomScaleNormal="80" workbookViewId="0" topLeftCell="A1">
      <pane xSplit="3" ySplit="3" topLeftCell="H4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68" sqref="C68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6" width="14.421875" style="4" hidden="1" customWidth="1"/>
    <col min="7" max="7" width="14.421875" style="2" hidden="1" customWidth="1"/>
    <col min="8" max="8" width="14.140625" style="2" bestFit="1" customWidth="1"/>
    <col min="9" max="9" width="14.00390625" style="2" customWidth="1"/>
    <col min="10" max="10" width="14.57421875" style="2" bestFit="1" customWidth="1"/>
    <col min="11" max="11" width="15.00390625" style="2" bestFit="1" customWidth="1"/>
    <col min="12" max="12" width="15.00390625" style="2" customWidth="1"/>
    <col min="13" max="14" width="13.28125" style="2" bestFit="1" customWidth="1"/>
    <col min="15" max="15" width="13.140625" style="2" customWidth="1"/>
    <col min="16" max="16" width="12.421875" style="2" bestFit="1" customWidth="1"/>
    <col min="17" max="17" width="11.140625" style="2" bestFit="1" customWidth="1"/>
    <col min="18" max="16384" width="9.140625" style="2" customWidth="1"/>
  </cols>
  <sheetData>
    <row r="1" spans="1:12" ht="12.75" thickBot="1">
      <c r="A1" s="12"/>
      <c r="B1" s="12"/>
      <c r="C1" s="14"/>
      <c r="D1" s="14"/>
      <c r="E1" s="14"/>
      <c r="F1" s="14"/>
      <c r="G1" s="12"/>
      <c r="H1" s="12"/>
      <c r="I1" s="12"/>
      <c r="J1" s="12"/>
      <c r="K1" s="12"/>
      <c r="L1" s="12"/>
    </row>
    <row r="2" spans="1:17" ht="22.5">
      <c r="A2" s="12"/>
      <c r="B2" s="546" t="s">
        <v>75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8"/>
    </row>
    <row r="3" spans="1:17" s="1" customFormat="1" ht="17.25">
      <c r="A3" s="16"/>
      <c r="B3" s="217" t="s">
        <v>19</v>
      </c>
      <c r="C3" s="218" t="s">
        <v>0</v>
      </c>
      <c r="D3" s="289" t="s">
        <v>29</v>
      </c>
      <c r="E3" s="289" t="s">
        <v>30</v>
      </c>
      <c r="F3" s="289" t="s">
        <v>31</v>
      </c>
      <c r="G3" s="289" t="s">
        <v>28</v>
      </c>
      <c r="H3" s="289" t="s">
        <v>34</v>
      </c>
      <c r="I3" s="289" t="s">
        <v>61</v>
      </c>
      <c r="J3" s="289" t="s">
        <v>80</v>
      </c>
      <c r="K3" s="289" t="s">
        <v>81</v>
      </c>
      <c r="L3" s="296" t="s">
        <v>91</v>
      </c>
      <c r="M3" s="231" t="s">
        <v>95</v>
      </c>
      <c r="N3" s="314" t="s">
        <v>111</v>
      </c>
      <c r="O3" s="451" t="s">
        <v>128</v>
      </c>
      <c r="P3" s="231" t="s">
        <v>130</v>
      </c>
      <c r="Q3" s="427" t="s">
        <v>122</v>
      </c>
    </row>
    <row r="4" spans="1:17" ht="15">
      <c r="A4" s="12"/>
      <c r="B4" s="41">
        <v>44</v>
      </c>
      <c r="C4" s="455">
        <f>'Mielies-Maize'!C6</f>
        <v>43896</v>
      </c>
      <c r="D4" s="37"/>
      <c r="E4" s="37">
        <v>68000</v>
      </c>
      <c r="F4" s="204">
        <v>4000</v>
      </c>
      <c r="G4" s="204">
        <v>8000</v>
      </c>
      <c r="H4" s="204">
        <v>9000</v>
      </c>
      <c r="I4" s="208">
        <v>26796</v>
      </c>
      <c r="J4" s="228">
        <v>24811</v>
      </c>
      <c r="K4" s="293">
        <v>47446</v>
      </c>
      <c r="L4" s="293">
        <v>40215</v>
      </c>
      <c r="M4" s="293">
        <v>4855</v>
      </c>
      <c r="N4" s="293">
        <v>1051</v>
      </c>
      <c r="O4" s="228">
        <v>1372</v>
      </c>
      <c r="P4" s="228">
        <f>'Mielies-Maize'!J6</f>
        <v>5765</v>
      </c>
      <c r="Q4" s="230"/>
    </row>
    <row r="5" spans="1:17" s="1" customFormat="1" ht="15">
      <c r="A5" s="16"/>
      <c r="B5" s="44">
        <v>45</v>
      </c>
      <c r="C5" s="455">
        <f>'Mielies-Maize'!C7</f>
        <v>43903</v>
      </c>
      <c r="D5" s="38">
        <v>32000</v>
      </c>
      <c r="E5" s="38">
        <v>12000</v>
      </c>
      <c r="F5" s="204">
        <v>8000</v>
      </c>
      <c r="G5" s="204">
        <v>34000</v>
      </c>
      <c r="H5" s="204">
        <v>19000</v>
      </c>
      <c r="I5" s="208">
        <v>36840</v>
      </c>
      <c r="J5" s="228">
        <v>9892</v>
      </c>
      <c r="K5" s="293">
        <v>20915</v>
      </c>
      <c r="L5" s="293">
        <v>12600</v>
      </c>
      <c r="M5" s="293">
        <v>10424</v>
      </c>
      <c r="N5" s="293">
        <v>7988</v>
      </c>
      <c r="O5" s="228">
        <v>6218</v>
      </c>
      <c r="P5" s="228">
        <f>'Mielies-Maize'!J7</f>
        <v>7010</v>
      </c>
      <c r="Q5" s="230"/>
    </row>
    <row r="6" spans="1:17" s="1" customFormat="1" ht="15">
      <c r="A6" s="16"/>
      <c r="B6" s="44">
        <v>46</v>
      </c>
      <c r="C6" s="455">
        <f>'Mielies-Maize'!C8</f>
        <v>43910</v>
      </c>
      <c r="D6" s="38">
        <v>15000</v>
      </c>
      <c r="E6" s="38">
        <v>29000</v>
      </c>
      <c r="F6" s="204">
        <v>14000</v>
      </c>
      <c r="G6" s="204">
        <v>9000</v>
      </c>
      <c r="H6" s="204">
        <v>33000</v>
      </c>
      <c r="I6" s="208">
        <v>35391</v>
      </c>
      <c r="J6" s="228">
        <v>11779</v>
      </c>
      <c r="K6" s="293">
        <v>29975</v>
      </c>
      <c r="L6" s="293">
        <v>21498</v>
      </c>
      <c r="M6" s="293">
        <v>17466</v>
      </c>
      <c r="N6" s="293">
        <v>9412</v>
      </c>
      <c r="O6" s="228">
        <v>4977</v>
      </c>
      <c r="P6" s="228">
        <f>'Mielies-Maize'!J8</f>
        <v>8268</v>
      </c>
      <c r="Q6" s="230"/>
    </row>
    <row r="7" spans="1:17" s="1" customFormat="1" ht="15">
      <c r="A7" s="16"/>
      <c r="B7" s="44">
        <v>47</v>
      </c>
      <c r="C7" s="455">
        <f>'Mielies-Maize'!C9</f>
        <v>43917</v>
      </c>
      <c r="D7" s="38">
        <v>45000</v>
      </c>
      <c r="E7" s="38">
        <v>22000</v>
      </c>
      <c r="F7" s="204">
        <v>10000</v>
      </c>
      <c r="G7" s="204">
        <v>8000</v>
      </c>
      <c r="H7" s="204">
        <v>24000</v>
      </c>
      <c r="I7" s="208">
        <v>56654</v>
      </c>
      <c r="J7" s="228">
        <v>23253</v>
      </c>
      <c r="K7" s="293">
        <v>28053</v>
      </c>
      <c r="L7" s="293">
        <v>18258</v>
      </c>
      <c r="M7" s="293">
        <v>15982</v>
      </c>
      <c r="N7" s="293">
        <v>4102</v>
      </c>
      <c r="O7" s="228">
        <v>7521</v>
      </c>
      <c r="P7" s="228">
        <f>'Mielies-Maize'!J9</f>
        <v>61133</v>
      </c>
      <c r="Q7" s="230"/>
    </row>
    <row r="8" spans="1:17" s="1" customFormat="1" ht="15">
      <c r="A8" s="16"/>
      <c r="B8" s="44">
        <v>48</v>
      </c>
      <c r="C8" s="455">
        <f>'Mielies-Maize'!C10</f>
        <v>43924</v>
      </c>
      <c r="D8" s="38">
        <v>32000</v>
      </c>
      <c r="E8" s="38">
        <v>21000</v>
      </c>
      <c r="F8" s="204">
        <v>6000</v>
      </c>
      <c r="G8" s="204">
        <v>11000</v>
      </c>
      <c r="H8" s="204">
        <v>32000</v>
      </c>
      <c r="I8" s="208">
        <v>30445</v>
      </c>
      <c r="J8" s="228">
        <v>50319</v>
      </c>
      <c r="K8" s="293">
        <v>49480</v>
      </c>
      <c r="L8" s="293">
        <v>68852</v>
      </c>
      <c r="M8" s="293">
        <v>54677</v>
      </c>
      <c r="N8" s="293">
        <v>30391</v>
      </c>
      <c r="O8" s="228">
        <v>44082</v>
      </c>
      <c r="P8" s="228">
        <f>'Mielies-Maize'!J10</f>
        <v>5636</v>
      </c>
      <c r="Q8" s="230"/>
    </row>
    <row r="9" spans="1:17" s="1" customFormat="1" ht="15">
      <c r="A9" s="16"/>
      <c r="B9" s="44">
        <v>49</v>
      </c>
      <c r="C9" s="455"/>
      <c r="D9" s="38">
        <v>43000</v>
      </c>
      <c r="E9" s="38">
        <v>-4000</v>
      </c>
      <c r="F9" s="204">
        <v>35000</v>
      </c>
      <c r="G9" s="204">
        <v>7000</v>
      </c>
      <c r="H9" s="204">
        <v>21000</v>
      </c>
      <c r="I9" s="208">
        <v>26404</v>
      </c>
      <c r="J9" s="228">
        <v>24511</v>
      </c>
      <c r="K9" s="293">
        <v>19256</v>
      </c>
      <c r="L9" s="293">
        <v>13097</v>
      </c>
      <c r="M9" s="293">
        <v>39179</v>
      </c>
      <c r="N9" s="293">
        <v>4779</v>
      </c>
      <c r="O9" s="228">
        <v>20052</v>
      </c>
      <c r="P9" s="228">
        <f>'Mielies-Maize'!J11</f>
        <v>18102</v>
      </c>
      <c r="Q9" s="230"/>
    </row>
    <row r="10" spans="1:17" ht="15">
      <c r="A10" s="12"/>
      <c r="B10" s="44">
        <v>50</v>
      </c>
      <c r="C10" s="455"/>
      <c r="D10" s="38">
        <v>52000</v>
      </c>
      <c r="E10" s="38">
        <v>33000</v>
      </c>
      <c r="F10" s="204">
        <v>18000</v>
      </c>
      <c r="G10" s="204">
        <v>22500</v>
      </c>
      <c r="H10" s="204">
        <v>53000</v>
      </c>
      <c r="I10" s="208">
        <v>57311</v>
      </c>
      <c r="J10" s="228">
        <v>36503</v>
      </c>
      <c r="K10" s="293">
        <v>25982</v>
      </c>
      <c r="L10" s="293">
        <v>47363</v>
      </c>
      <c r="M10" s="293">
        <v>24428</v>
      </c>
      <c r="N10" s="293">
        <v>10763</v>
      </c>
      <c r="O10" s="228">
        <v>18417</v>
      </c>
      <c r="P10" s="228">
        <f>'Mielies-Maize'!J12</f>
        <v>14576</v>
      </c>
      <c r="Q10" s="230"/>
    </row>
    <row r="11" spans="1:17" ht="15">
      <c r="A11" s="12"/>
      <c r="B11" s="44">
        <v>51</v>
      </c>
      <c r="C11" s="455"/>
      <c r="D11" s="38">
        <v>95000</v>
      </c>
      <c r="E11" s="38">
        <v>44000</v>
      </c>
      <c r="F11" s="204">
        <v>22000</v>
      </c>
      <c r="G11" s="204">
        <v>18000</v>
      </c>
      <c r="H11" s="204">
        <v>83000</v>
      </c>
      <c r="I11" s="208">
        <v>121210</v>
      </c>
      <c r="J11" s="228">
        <v>32842</v>
      </c>
      <c r="K11" s="293">
        <v>51132</v>
      </c>
      <c r="L11" s="293">
        <v>65527</v>
      </c>
      <c r="M11" s="293">
        <v>36667</v>
      </c>
      <c r="N11" s="293">
        <v>14403</v>
      </c>
      <c r="O11" s="228">
        <v>23121</v>
      </c>
      <c r="P11" s="228">
        <f>'Mielies-Maize'!J13</f>
        <v>85073</v>
      </c>
      <c r="Q11" s="230"/>
    </row>
    <row r="12" spans="1:17" ht="15">
      <c r="A12" s="12"/>
      <c r="B12" s="45">
        <v>52</v>
      </c>
      <c r="C12" s="455"/>
      <c r="D12" s="46"/>
      <c r="E12" s="46"/>
      <c r="F12" s="205">
        <v>16000</v>
      </c>
      <c r="G12" s="205">
        <v>6500</v>
      </c>
      <c r="H12" s="205">
        <v>60000</v>
      </c>
      <c r="I12" s="209">
        <v>74145</v>
      </c>
      <c r="J12" s="292">
        <v>131750</v>
      </c>
      <c r="K12" s="292">
        <v>57159</v>
      </c>
      <c r="L12" s="292">
        <v>66227</v>
      </c>
      <c r="M12" s="292">
        <v>61905</v>
      </c>
      <c r="N12" s="292">
        <v>12156</v>
      </c>
      <c r="O12" s="325">
        <v>54784</v>
      </c>
      <c r="P12" s="325">
        <f>'Mielies-Maize'!J14</f>
        <v>0</v>
      </c>
      <c r="Q12" s="419"/>
    </row>
    <row r="13" spans="1:17" ht="14.25">
      <c r="A13" s="12"/>
      <c r="B13" s="274" t="s">
        <v>125</v>
      </c>
      <c r="C13" s="159"/>
      <c r="D13" s="19"/>
      <c r="E13" s="19"/>
      <c r="F13" s="19"/>
      <c r="G13" s="19"/>
      <c r="H13" s="19"/>
      <c r="I13" s="15"/>
      <c r="J13" s="19"/>
      <c r="K13" s="19"/>
      <c r="L13" s="19"/>
      <c r="M13" s="19">
        <f>'Mielies-Maize'!K15</f>
        <v>0</v>
      </c>
      <c r="N13" s="19">
        <v>0</v>
      </c>
      <c r="O13" s="19">
        <v>0</v>
      </c>
      <c r="P13" s="19">
        <f>'Mielies-Maize'!M15</f>
        <v>0</v>
      </c>
      <c r="Q13" s="428"/>
    </row>
    <row r="14" spans="1:17" ht="12">
      <c r="A14" s="12"/>
      <c r="B14" s="274" t="s">
        <v>126</v>
      </c>
      <c r="C14" s="17"/>
      <c r="D14" s="123">
        <v>103095</v>
      </c>
      <c r="E14" s="123">
        <v>75732</v>
      </c>
      <c r="F14" s="123">
        <f>SUM(F4:F8)</f>
        <v>42000</v>
      </c>
      <c r="G14" s="123">
        <f>SUM(G4:G8)</f>
        <v>70000</v>
      </c>
      <c r="H14" s="123">
        <f>SUM(H4:H8)</f>
        <v>117000</v>
      </c>
      <c r="I14" s="123">
        <f>SUM(I4:I8)</f>
        <v>186126</v>
      </c>
      <c r="J14" s="123">
        <f>SUM(J4:J8)</f>
        <v>120054</v>
      </c>
      <c r="K14" s="123">
        <v>132693</v>
      </c>
      <c r="L14" s="123">
        <v>121129</v>
      </c>
      <c r="M14" s="123">
        <v>104061</v>
      </c>
      <c r="N14" s="123">
        <v>53582</v>
      </c>
      <c r="O14" s="123">
        <v>64402</v>
      </c>
      <c r="P14" s="123">
        <f>'Mielies-Maize'!J16</f>
        <v>82264</v>
      </c>
      <c r="Q14" s="429">
        <f>AVERAGE(K14:O14)</f>
        <v>95173.4</v>
      </c>
    </row>
    <row r="15" spans="1:17" ht="12">
      <c r="A15" s="12"/>
      <c r="B15" s="274" t="s">
        <v>127</v>
      </c>
      <c r="C15" s="17"/>
      <c r="D15" s="123">
        <v>237597</v>
      </c>
      <c r="E15" s="123">
        <v>160284</v>
      </c>
      <c r="F15" s="123">
        <f>F9</f>
        <v>35000</v>
      </c>
      <c r="G15" s="123">
        <f>G9</f>
        <v>7000</v>
      </c>
      <c r="H15" s="123">
        <f>H9</f>
        <v>21000</v>
      </c>
      <c r="I15" s="123">
        <f>I9</f>
        <v>26404</v>
      </c>
      <c r="J15" s="123">
        <f>J9</f>
        <v>24511</v>
      </c>
      <c r="K15" s="123">
        <v>234427</v>
      </c>
      <c r="L15" s="123">
        <v>328826</v>
      </c>
      <c r="M15" s="123">
        <v>196581</v>
      </c>
      <c r="N15" s="123">
        <v>68966</v>
      </c>
      <c r="O15" s="123">
        <v>116643</v>
      </c>
      <c r="P15" s="123">
        <v>134227</v>
      </c>
      <c r="Q15" s="429">
        <f>AVERAGE(K15:O15)</f>
        <v>189088.6</v>
      </c>
    </row>
    <row r="16" spans="1:17" ht="15">
      <c r="A16" s="12"/>
      <c r="B16" s="198" t="s">
        <v>44</v>
      </c>
      <c r="C16" s="201"/>
      <c r="D16" s="290">
        <f>SUM(D14:D15)</f>
        <v>340692</v>
      </c>
      <c r="E16" s="290">
        <f>SUM(E14:E15)</f>
        <v>236016</v>
      </c>
      <c r="F16" s="290">
        <f>SUM(F14:F15)</f>
        <v>77000</v>
      </c>
      <c r="G16" s="290">
        <f aca="true" t="shared" si="0" ref="G16:N16">SUM(G14:G15)</f>
        <v>77000</v>
      </c>
      <c r="H16" s="290">
        <f t="shared" si="0"/>
        <v>138000</v>
      </c>
      <c r="I16" s="512">
        <f t="shared" si="0"/>
        <v>212530</v>
      </c>
      <c r="J16" s="512">
        <f t="shared" si="0"/>
        <v>144565</v>
      </c>
      <c r="K16" s="512">
        <f t="shared" si="0"/>
        <v>367120</v>
      </c>
      <c r="L16" s="512">
        <f t="shared" si="0"/>
        <v>449955</v>
      </c>
      <c r="M16" s="512">
        <f t="shared" si="0"/>
        <v>300642</v>
      </c>
      <c r="N16" s="512">
        <f t="shared" si="0"/>
        <v>122548</v>
      </c>
      <c r="O16" s="290">
        <v>181045</v>
      </c>
      <c r="P16" s="290">
        <f>P13+P14+P15</f>
        <v>216491</v>
      </c>
      <c r="Q16" s="429">
        <f>SUM(Q14:Q15)</f>
        <v>284262</v>
      </c>
    </row>
    <row r="17" spans="1:17" ht="17.25">
      <c r="A17" s="12"/>
      <c r="B17" s="215" t="s">
        <v>19</v>
      </c>
      <c r="C17" s="197" t="s">
        <v>0</v>
      </c>
      <c r="D17" s="199" t="s">
        <v>29</v>
      </c>
      <c r="E17" s="196" t="s">
        <v>30</v>
      </c>
      <c r="F17" s="200" t="s">
        <v>31</v>
      </c>
      <c r="G17" s="196" t="str">
        <f>G3</f>
        <v>2011/12</v>
      </c>
      <c r="H17" s="200" t="str">
        <f>H3</f>
        <v>2012/13</v>
      </c>
      <c r="I17" s="196" t="str">
        <f>I3</f>
        <v>2013/14</v>
      </c>
      <c r="J17" s="291" t="s">
        <v>80</v>
      </c>
      <c r="K17" s="291" t="s">
        <v>81</v>
      </c>
      <c r="L17" s="291" t="s">
        <v>91</v>
      </c>
      <c r="M17" s="291" t="s">
        <v>95</v>
      </c>
      <c r="N17" s="199" t="s">
        <v>111</v>
      </c>
      <c r="O17" s="199" t="s">
        <v>110</v>
      </c>
      <c r="P17" s="199" t="s">
        <v>130</v>
      </c>
      <c r="Q17" s="424" t="s">
        <v>122</v>
      </c>
    </row>
    <row r="18" spans="1:17" ht="15">
      <c r="A18" s="12"/>
      <c r="B18" s="120" t="s">
        <v>77</v>
      </c>
      <c r="C18" s="78" t="s">
        <v>77</v>
      </c>
      <c r="D18" s="20">
        <f aca="true" t="shared" si="1" ref="D18:I18">D16</f>
        <v>340692</v>
      </c>
      <c r="E18" s="42">
        <f t="shared" si="1"/>
        <v>236016</v>
      </c>
      <c r="F18" s="20">
        <f t="shared" si="1"/>
        <v>77000</v>
      </c>
      <c r="G18" s="42">
        <f t="shared" si="1"/>
        <v>77000</v>
      </c>
      <c r="H18" s="127">
        <f t="shared" si="1"/>
        <v>138000</v>
      </c>
      <c r="I18" s="20">
        <f t="shared" si="1"/>
        <v>212530</v>
      </c>
      <c r="J18" s="225">
        <f>J78</f>
        <v>144565</v>
      </c>
      <c r="K18" s="294">
        <f aca="true" t="shared" si="2" ref="K18:P18">K16</f>
        <v>367120</v>
      </c>
      <c r="L18" s="294">
        <f t="shared" si="2"/>
        <v>449955</v>
      </c>
      <c r="M18" s="294">
        <f t="shared" si="2"/>
        <v>300642</v>
      </c>
      <c r="N18" s="386">
        <f t="shared" si="2"/>
        <v>122548</v>
      </c>
      <c r="O18" s="452">
        <v>181045</v>
      </c>
      <c r="P18" s="227">
        <f t="shared" si="2"/>
        <v>216491</v>
      </c>
      <c r="Q18" s="429">
        <f>Q16</f>
        <v>284262</v>
      </c>
    </row>
    <row r="19" spans="1:17" ht="15">
      <c r="A19" s="12"/>
      <c r="B19" s="34">
        <v>1</v>
      </c>
      <c r="C19" s="206" t="s">
        <v>131</v>
      </c>
      <c r="D19" s="38">
        <v>66000</v>
      </c>
      <c r="E19" s="38">
        <v>61000</v>
      </c>
      <c r="F19" s="38">
        <v>23000</v>
      </c>
      <c r="G19" s="38">
        <v>17000</v>
      </c>
      <c r="H19" s="69">
        <v>100148</v>
      </c>
      <c r="I19" s="228">
        <v>135443</v>
      </c>
      <c r="J19" s="293">
        <v>59679</v>
      </c>
      <c r="K19" s="293">
        <v>19931</v>
      </c>
      <c r="L19" s="293">
        <v>103657</v>
      </c>
      <c r="M19" s="293">
        <v>79839</v>
      </c>
      <c r="N19" s="407">
        <v>19709</v>
      </c>
      <c r="O19" s="392">
        <v>27232</v>
      </c>
      <c r="P19" s="230">
        <f>'Mielies-Maize'!J19</f>
        <v>3807</v>
      </c>
      <c r="Q19" s="429">
        <f>AVERAGE(K19:O19)</f>
        <v>50073.6</v>
      </c>
    </row>
    <row r="20" spans="1:17" ht="15">
      <c r="A20" s="12"/>
      <c r="B20" s="34">
        <v>2</v>
      </c>
      <c r="C20" s="206" t="s">
        <v>132</v>
      </c>
      <c r="D20" s="38">
        <v>168000</v>
      </c>
      <c r="E20" s="38">
        <v>106000</v>
      </c>
      <c r="F20" s="38">
        <v>67000</v>
      </c>
      <c r="G20" s="38">
        <v>31000</v>
      </c>
      <c r="H20" s="69">
        <v>238767</v>
      </c>
      <c r="I20" s="228">
        <v>274371</v>
      </c>
      <c r="J20" s="293">
        <v>105949</v>
      </c>
      <c r="K20" s="293">
        <v>139146</v>
      </c>
      <c r="L20" s="293">
        <v>146679</v>
      </c>
      <c r="M20" s="293">
        <v>175743</v>
      </c>
      <c r="N20" s="407">
        <v>73822</v>
      </c>
      <c r="O20" s="392">
        <v>65305</v>
      </c>
      <c r="P20" s="230">
        <f>'Mielies-Maize'!J20</f>
        <v>53600</v>
      </c>
      <c r="Q20" s="429">
        <f aca="true" t="shared" si="3" ref="Q20:Q68">AVERAGE(K20:O20)</f>
        <v>120139</v>
      </c>
    </row>
    <row r="21" spans="1:17" ht="15">
      <c r="A21" s="12"/>
      <c r="B21" s="34">
        <v>3</v>
      </c>
      <c r="C21" s="206" t="s">
        <v>133</v>
      </c>
      <c r="D21" s="38">
        <v>238000</v>
      </c>
      <c r="E21" s="38">
        <v>183000</v>
      </c>
      <c r="F21" s="38">
        <v>111000</v>
      </c>
      <c r="G21" s="38">
        <v>45000</v>
      </c>
      <c r="H21" s="69">
        <v>299202</v>
      </c>
      <c r="I21" s="228">
        <v>245122</v>
      </c>
      <c r="J21" s="293">
        <v>233401</v>
      </c>
      <c r="K21" s="293">
        <v>221680</v>
      </c>
      <c r="L21" s="293">
        <v>122389</v>
      </c>
      <c r="M21" s="293">
        <v>156704</v>
      </c>
      <c r="N21" s="407">
        <v>80705</v>
      </c>
      <c r="O21" s="392">
        <v>164962</v>
      </c>
      <c r="P21" s="230">
        <f>'Mielies-Maize'!J21</f>
        <v>102871</v>
      </c>
      <c r="Q21" s="429">
        <f>AVERAGE(K21:O21)</f>
        <v>149288</v>
      </c>
    </row>
    <row r="22" spans="1:17" ht="15">
      <c r="A22" s="12"/>
      <c r="B22" s="34">
        <v>4</v>
      </c>
      <c r="C22" s="206" t="s">
        <v>134</v>
      </c>
      <c r="D22" s="38">
        <v>172000</v>
      </c>
      <c r="E22" s="38">
        <v>261000</v>
      </c>
      <c r="F22" s="38">
        <v>229000</v>
      </c>
      <c r="G22" s="38">
        <v>136000</v>
      </c>
      <c r="H22" s="69">
        <v>370170</v>
      </c>
      <c r="I22" s="228">
        <v>397425</v>
      </c>
      <c r="J22" s="293">
        <v>277137</v>
      </c>
      <c r="K22" s="293">
        <v>372647</v>
      </c>
      <c r="L22" s="293">
        <v>349672</v>
      </c>
      <c r="M22" s="293">
        <v>811519</v>
      </c>
      <c r="N22" s="407">
        <v>427202</v>
      </c>
      <c r="O22" s="392">
        <v>310494</v>
      </c>
      <c r="P22" s="230">
        <f>'Mielies-Maize'!J22</f>
        <v>209349</v>
      </c>
      <c r="Q22" s="429">
        <f t="shared" si="3"/>
        <v>454306.8</v>
      </c>
    </row>
    <row r="23" spans="1:17" ht="15">
      <c r="A23" s="12"/>
      <c r="B23" s="34">
        <v>5</v>
      </c>
      <c r="C23" s="206" t="s">
        <v>135</v>
      </c>
      <c r="D23" s="38">
        <v>209000</v>
      </c>
      <c r="E23" s="38">
        <v>337000</v>
      </c>
      <c r="F23" s="38">
        <v>293000</v>
      </c>
      <c r="G23" s="38">
        <v>221000</v>
      </c>
      <c r="H23" s="69">
        <v>413276</v>
      </c>
      <c r="I23" s="228">
        <v>624015</v>
      </c>
      <c r="J23" s="293">
        <v>470900</v>
      </c>
      <c r="K23" s="293">
        <v>532195</v>
      </c>
      <c r="L23" s="293">
        <v>241653</v>
      </c>
      <c r="M23" s="293">
        <v>415304</v>
      </c>
      <c r="N23" s="407">
        <v>28600</v>
      </c>
      <c r="O23" s="392">
        <v>483901</v>
      </c>
      <c r="P23" s="230">
        <f>'Mielies-Maize'!J23</f>
        <v>479765</v>
      </c>
      <c r="Q23" s="429">
        <f t="shared" si="3"/>
        <v>340330.6</v>
      </c>
    </row>
    <row r="24" spans="1:17" ht="15">
      <c r="A24" s="12"/>
      <c r="B24" s="34">
        <v>6</v>
      </c>
      <c r="C24" s="206" t="s">
        <v>136</v>
      </c>
      <c r="D24" s="38">
        <v>391000</v>
      </c>
      <c r="E24" s="38">
        <v>254000</v>
      </c>
      <c r="F24" s="38">
        <v>467000</v>
      </c>
      <c r="G24" s="38">
        <v>193000</v>
      </c>
      <c r="H24" s="69">
        <v>396260</v>
      </c>
      <c r="I24" s="228">
        <v>534434</v>
      </c>
      <c r="J24" s="293">
        <v>419988</v>
      </c>
      <c r="K24" s="293">
        <v>407603</v>
      </c>
      <c r="L24" s="293">
        <v>355275</v>
      </c>
      <c r="M24" s="293">
        <v>501029</v>
      </c>
      <c r="N24" s="407">
        <v>343375</v>
      </c>
      <c r="O24" s="392">
        <v>471181</v>
      </c>
      <c r="P24" s="230">
        <f>'Mielies-Maize'!J24</f>
        <v>378889</v>
      </c>
      <c r="Q24" s="429">
        <f t="shared" si="3"/>
        <v>415692.6</v>
      </c>
    </row>
    <row r="25" spans="1:17" ht="15">
      <c r="A25" s="12"/>
      <c r="B25" s="34">
        <v>7</v>
      </c>
      <c r="C25" s="206" t="s">
        <v>137</v>
      </c>
      <c r="D25" s="38">
        <v>400000</v>
      </c>
      <c r="E25" s="38">
        <v>238000</v>
      </c>
      <c r="F25" s="38">
        <v>365000</v>
      </c>
      <c r="G25" s="38">
        <v>241000</v>
      </c>
      <c r="H25" s="69">
        <v>385661</v>
      </c>
      <c r="I25" s="228">
        <v>544077</v>
      </c>
      <c r="J25" s="293">
        <v>556092</v>
      </c>
      <c r="K25" s="293">
        <v>435684</v>
      </c>
      <c r="L25" s="293">
        <v>187830</v>
      </c>
      <c r="M25" s="293">
        <v>486915</v>
      </c>
      <c r="N25" s="407">
        <v>503047</v>
      </c>
      <c r="O25" s="392">
        <v>513200</v>
      </c>
      <c r="P25" s="230">
        <f>'Mielies-Maize'!J25</f>
        <v>550026</v>
      </c>
      <c r="Q25" s="429">
        <f t="shared" si="3"/>
        <v>425335.2</v>
      </c>
    </row>
    <row r="26" spans="1:17" ht="14.25" customHeight="1">
      <c r="A26" s="12"/>
      <c r="B26" s="34">
        <v>8</v>
      </c>
      <c r="C26" s="206" t="s">
        <v>139</v>
      </c>
      <c r="D26" s="38">
        <v>393000</v>
      </c>
      <c r="E26" s="38">
        <v>328000</v>
      </c>
      <c r="F26" s="38">
        <v>419000</v>
      </c>
      <c r="G26" s="38">
        <v>337000</v>
      </c>
      <c r="H26" s="69">
        <v>371690</v>
      </c>
      <c r="I26" s="228">
        <v>459158</v>
      </c>
      <c r="J26" s="293">
        <v>556499</v>
      </c>
      <c r="K26" s="293">
        <v>342664</v>
      </c>
      <c r="L26" s="293">
        <v>542348</v>
      </c>
      <c r="M26" s="293">
        <v>546479</v>
      </c>
      <c r="N26" s="407">
        <v>500907</v>
      </c>
      <c r="O26" s="392">
        <v>424683</v>
      </c>
      <c r="P26" s="230">
        <f>'Mielies-Maize'!J26</f>
        <v>392636</v>
      </c>
      <c r="Q26" s="429">
        <f t="shared" si="3"/>
        <v>471416.2</v>
      </c>
    </row>
    <row r="27" spans="1:17" ht="15" customHeight="1">
      <c r="A27" s="12"/>
      <c r="B27" s="34">
        <v>9</v>
      </c>
      <c r="C27" s="206" t="s">
        <v>140</v>
      </c>
      <c r="D27" s="38">
        <v>351000</v>
      </c>
      <c r="E27" s="38">
        <v>467000</v>
      </c>
      <c r="F27" s="38">
        <v>422000</v>
      </c>
      <c r="G27" s="38">
        <v>363000</v>
      </c>
      <c r="H27" s="69">
        <v>120273</v>
      </c>
      <c r="I27" s="228">
        <v>516035</v>
      </c>
      <c r="J27" s="293">
        <v>802737</v>
      </c>
      <c r="K27" s="293">
        <v>584925</v>
      </c>
      <c r="L27" s="293">
        <v>209742</v>
      </c>
      <c r="M27" s="293">
        <v>614165</v>
      </c>
      <c r="N27" s="407">
        <v>617450</v>
      </c>
      <c r="O27" s="392">
        <v>570954</v>
      </c>
      <c r="P27" s="230">
        <f>'Mielies-Maize'!J27</f>
        <v>963446</v>
      </c>
      <c r="Q27" s="429">
        <f t="shared" si="3"/>
        <v>519447.2</v>
      </c>
    </row>
    <row r="28" spans="1:17" ht="15" customHeight="1">
      <c r="A28" s="12"/>
      <c r="B28" s="34">
        <v>10</v>
      </c>
      <c r="C28" s="206" t="s">
        <v>141</v>
      </c>
      <c r="D28" s="38">
        <v>404000</v>
      </c>
      <c r="E28" s="38">
        <v>551000</v>
      </c>
      <c r="F28" s="38">
        <v>493000</v>
      </c>
      <c r="G28" s="38">
        <v>315000</v>
      </c>
      <c r="H28" s="69">
        <v>287818</v>
      </c>
      <c r="I28" s="228">
        <v>279489</v>
      </c>
      <c r="J28" s="293">
        <v>475453</v>
      </c>
      <c r="K28" s="293">
        <v>200197</v>
      </c>
      <c r="L28" s="293">
        <v>203239</v>
      </c>
      <c r="M28" s="293">
        <v>404227</v>
      </c>
      <c r="N28" s="407">
        <v>414749</v>
      </c>
      <c r="O28" s="392">
        <v>297850</v>
      </c>
      <c r="P28" s="230">
        <f>'Mielies-Maize'!J28</f>
        <v>275658</v>
      </c>
      <c r="Q28" s="429">
        <f t="shared" si="3"/>
        <v>304052.4</v>
      </c>
    </row>
    <row r="29" spans="1:17" ht="15" customHeight="1">
      <c r="A29" s="12"/>
      <c r="B29" s="34">
        <v>11</v>
      </c>
      <c r="C29" s="206" t="s">
        <v>142</v>
      </c>
      <c r="D29" s="38">
        <v>334000</v>
      </c>
      <c r="E29" s="38">
        <v>447000</v>
      </c>
      <c r="F29" s="38">
        <v>309000</v>
      </c>
      <c r="G29" s="38">
        <v>430000</v>
      </c>
      <c r="H29" s="69">
        <v>255047</v>
      </c>
      <c r="I29" s="228">
        <v>230017</v>
      </c>
      <c r="J29" s="293">
        <v>395147</v>
      </c>
      <c r="K29" s="293">
        <v>243948</v>
      </c>
      <c r="L29" s="293">
        <v>224775</v>
      </c>
      <c r="M29" s="293">
        <v>365268</v>
      </c>
      <c r="N29" s="407">
        <v>341942</v>
      </c>
      <c r="O29" s="392">
        <v>293623</v>
      </c>
      <c r="P29" s="230">
        <f>'Mielies-Maize'!J29</f>
        <v>449351</v>
      </c>
      <c r="Q29" s="429">
        <f t="shared" si="3"/>
        <v>293911.2</v>
      </c>
    </row>
    <row r="30" spans="1:17" ht="15" customHeight="1">
      <c r="A30" s="12"/>
      <c r="B30" s="34">
        <v>12</v>
      </c>
      <c r="C30" s="206" t="s">
        <v>143</v>
      </c>
      <c r="D30" s="206" t="s">
        <v>144</v>
      </c>
      <c r="E30" s="206" t="s">
        <v>145</v>
      </c>
      <c r="F30" s="208">
        <v>288620</v>
      </c>
      <c r="G30" s="228">
        <v>185575</v>
      </c>
      <c r="H30" s="69">
        <v>288620</v>
      </c>
      <c r="I30" s="228">
        <v>185575</v>
      </c>
      <c r="J30" s="293">
        <v>338970</v>
      </c>
      <c r="K30" s="293">
        <v>202698</v>
      </c>
      <c r="L30" s="293">
        <v>205799</v>
      </c>
      <c r="M30" s="293">
        <v>338097</v>
      </c>
      <c r="N30" s="407">
        <v>292287</v>
      </c>
      <c r="O30" s="392">
        <v>263073</v>
      </c>
      <c r="P30" s="230">
        <f>'Mielies-Maize'!J30</f>
        <v>398309</v>
      </c>
      <c r="Q30" s="429">
        <f t="shared" si="3"/>
        <v>260390.8</v>
      </c>
    </row>
    <row r="31" spans="1:17" ht="15" customHeight="1">
      <c r="A31" s="12"/>
      <c r="B31" s="34">
        <v>13</v>
      </c>
      <c r="C31" s="206" t="s">
        <v>146</v>
      </c>
      <c r="D31" s="206" t="s">
        <v>144</v>
      </c>
      <c r="E31" s="206" t="s">
        <v>145</v>
      </c>
      <c r="F31" s="208">
        <v>177755</v>
      </c>
      <c r="G31" s="228">
        <v>313368</v>
      </c>
      <c r="H31" s="69">
        <v>177755</v>
      </c>
      <c r="I31" s="228">
        <v>313368</v>
      </c>
      <c r="J31" s="293">
        <v>438859</v>
      </c>
      <c r="K31" s="293">
        <v>135688</v>
      </c>
      <c r="L31" s="293">
        <v>67692</v>
      </c>
      <c r="M31" s="293">
        <v>427043</v>
      </c>
      <c r="N31" s="407">
        <v>595099</v>
      </c>
      <c r="O31" s="392">
        <v>479207</v>
      </c>
      <c r="P31" s="230">
        <f>'Mielies-Maize'!J31</f>
        <v>363722</v>
      </c>
      <c r="Q31" s="429">
        <f t="shared" si="3"/>
        <v>340945.8</v>
      </c>
    </row>
    <row r="32" spans="1:17" ht="15" customHeight="1">
      <c r="A32" s="12"/>
      <c r="B32" s="34">
        <v>14</v>
      </c>
      <c r="C32" s="206" t="s">
        <v>147</v>
      </c>
      <c r="D32" s="38">
        <v>163000</v>
      </c>
      <c r="E32" s="38">
        <v>148000</v>
      </c>
      <c r="F32" s="38">
        <v>118000</v>
      </c>
      <c r="G32" s="38">
        <v>155000</v>
      </c>
      <c r="H32" s="69">
        <v>110778</v>
      </c>
      <c r="I32" s="228">
        <v>88561</v>
      </c>
      <c r="J32" s="293">
        <v>175077</v>
      </c>
      <c r="K32" s="293">
        <v>119400</v>
      </c>
      <c r="L32" s="293">
        <v>80668</v>
      </c>
      <c r="M32" s="293">
        <v>152770</v>
      </c>
      <c r="N32" s="407">
        <v>172892</v>
      </c>
      <c r="O32" s="392">
        <v>50491</v>
      </c>
      <c r="P32" s="230">
        <f>'Mielies-Maize'!J32</f>
        <v>529953</v>
      </c>
      <c r="Q32" s="429">
        <f t="shared" si="3"/>
        <v>115244.2</v>
      </c>
    </row>
    <row r="33" spans="1:17" ht="15" customHeight="1">
      <c r="A33" s="12"/>
      <c r="B33" s="34">
        <v>15</v>
      </c>
      <c r="C33" s="206" t="s">
        <v>148</v>
      </c>
      <c r="D33" s="38">
        <v>256000</v>
      </c>
      <c r="E33" s="38">
        <v>182000</v>
      </c>
      <c r="F33" s="38">
        <v>179000</v>
      </c>
      <c r="G33" s="38">
        <v>228000</v>
      </c>
      <c r="H33" s="69">
        <v>65737</v>
      </c>
      <c r="I33" s="228">
        <v>68302</v>
      </c>
      <c r="J33" s="293">
        <v>156922</v>
      </c>
      <c r="K33" s="293">
        <v>80491</v>
      </c>
      <c r="L33" s="293">
        <v>87590</v>
      </c>
      <c r="M33" s="293">
        <v>117715</v>
      </c>
      <c r="N33" s="407">
        <v>195282</v>
      </c>
      <c r="O33" s="392">
        <v>97443</v>
      </c>
      <c r="P33" s="230">
        <f>'Mielies-Maize'!J33</f>
        <v>200619</v>
      </c>
      <c r="Q33" s="429">
        <f t="shared" si="3"/>
        <v>115704.2</v>
      </c>
    </row>
    <row r="34" spans="1:17" ht="15" customHeight="1">
      <c r="A34" s="12"/>
      <c r="B34" s="34">
        <v>16</v>
      </c>
      <c r="C34" s="206" t="s">
        <v>149</v>
      </c>
      <c r="D34" s="38">
        <v>72000</v>
      </c>
      <c r="E34" s="38">
        <v>96000</v>
      </c>
      <c r="F34" s="38">
        <v>53000</v>
      </c>
      <c r="G34" s="38">
        <v>95000</v>
      </c>
      <c r="H34" s="69">
        <v>66312</v>
      </c>
      <c r="I34" s="228">
        <v>48240</v>
      </c>
      <c r="J34" s="293">
        <v>95727</v>
      </c>
      <c r="K34" s="293">
        <v>48534</v>
      </c>
      <c r="L34" s="293">
        <v>64519</v>
      </c>
      <c r="M34" s="293">
        <v>81941</v>
      </c>
      <c r="N34" s="407">
        <v>163372</v>
      </c>
      <c r="O34" s="392">
        <v>84253</v>
      </c>
      <c r="P34" s="230">
        <f>'Mielies-Maize'!J34</f>
        <v>125572</v>
      </c>
      <c r="Q34" s="429">
        <f t="shared" si="3"/>
        <v>88523.8</v>
      </c>
    </row>
    <row r="35" spans="1:17" ht="15" customHeight="1">
      <c r="A35" s="12"/>
      <c r="B35" s="34">
        <v>17</v>
      </c>
      <c r="C35" s="206" t="s">
        <v>150</v>
      </c>
      <c r="D35" s="38">
        <v>50000</v>
      </c>
      <c r="E35" s="38">
        <v>58000</v>
      </c>
      <c r="F35" s="38">
        <v>39000</v>
      </c>
      <c r="G35" s="38">
        <v>77000</v>
      </c>
      <c r="H35" s="69">
        <v>183567</v>
      </c>
      <c r="I35" s="228">
        <v>38510</v>
      </c>
      <c r="J35" s="293">
        <v>55152</v>
      </c>
      <c r="K35" s="293">
        <v>42537</v>
      </c>
      <c r="L35" s="293">
        <v>92021</v>
      </c>
      <c r="M35" s="293">
        <v>161933</v>
      </c>
      <c r="N35" s="407">
        <v>109316</v>
      </c>
      <c r="O35" s="392">
        <v>58807</v>
      </c>
      <c r="P35" s="230">
        <f>'Mielies-Maize'!J35</f>
        <v>87412</v>
      </c>
      <c r="Q35" s="429">
        <f t="shared" si="3"/>
        <v>92922.8</v>
      </c>
    </row>
    <row r="36" spans="1:17" ht="15" customHeight="1">
      <c r="A36" s="12"/>
      <c r="B36" s="34">
        <f>'Mielies-Maize'!B36</f>
        <v>18</v>
      </c>
      <c r="C36" s="206" t="s">
        <v>151</v>
      </c>
      <c r="D36" s="38">
        <v>28000</v>
      </c>
      <c r="E36" s="38">
        <v>39000</v>
      </c>
      <c r="F36" s="38">
        <v>32000</v>
      </c>
      <c r="G36" s="38">
        <v>55000</v>
      </c>
      <c r="H36" s="69">
        <v>39120</v>
      </c>
      <c r="I36" s="228">
        <v>-9008</v>
      </c>
      <c r="J36" s="293">
        <v>-115374</v>
      </c>
      <c r="K36" s="293">
        <v>65779</v>
      </c>
      <c r="L36" s="293">
        <v>26358</v>
      </c>
      <c r="M36" s="293">
        <v>18586</v>
      </c>
      <c r="N36" s="407">
        <v>162194</v>
      </c>
      <c r="O36" s="392">
        <v>160655</v>
      </c>
      <c r="P36" s="230">
        <f>'Mielies-Maize'!J36</f>
        <v>157153</v>
      </c>
      <c r="Q36" s="429">
        <f>AVERAGE(K36:O36)</f>
        <v>86714.4</v>
      </c>
    </row>
    <row r="37" spans="1:17" ht="15" customHeight="1">
      <c r="A37" s="12"/>
      <c r="B37" s="34">
        <f>'Mielies-Maize'!B37</f>
        <v>19</v>
      </c>
      <c r="C37" s="206" t="s">
        <v>152</v>
      </c>
      <c r="D37" s="38">
        <v>21000</v>
      </c>
      <c r="E37" s="38">
        <v>119000</v>
      </c>
      <c r="F37" s="38">
        <v>94000</v>
      </c>
      <c r="G37" s="38">
        <v>29000</v>
      </c>
      <c r="H37" s="69">
        <v>24980</v>
      </c>
      <c r="I37" s="228">
        <v>15128</v>
      </c>
      <c r="J37" s="293">
        <v>21586</v>
      </c>
      <c r="K37" s="293">
        <v>17440</v>
      </c>
      <c r="L37" s="293">
        <v>21200</v>
      </c>
      <c r="M37" s="293">
        <v>18657</v>
      </c>
      <c r="N37" s="407">
        <v>42152</v>
      </c>
      <c r="O37" s="392">
        <v>22816</v>
      </c>
      <c r="P37" s="230">
        <f>'Mielies-Maize'!J37</f>
        <v>17546</v>
      </c>
      <c r="Q37" s="429">
        <f t="shared" si="3"/>
        <v>24453</v>
      </c>
    </row>
    <row r="38" spans="1:17" ht="15" customHeight="1">
      <c r="A38" s="12"/>
      <c r="B38" s="34">
        <f>'Mielies-Maize'!B38</f>
        <v>20</v>
      </c>
      <c r="C38" s="206" t="s">
        <v>153</v>
      </c>
      <c r="D38" s="38">
        <v>39000</v>
      </c>
      <c r="E38" s="38">
        <v>17000</v>
      </c>
      <c r="F38" s="38">
        <v>13000</v>
      </c>
      <c r="G38" s="38">
        <v>143000</v>
      </c>
      <c r="H38" s="69">
        <v>12715</v>
      </c>
      <c r="I38" s="228">
        <v>12566</v>
      </c>
      <c r="J38" s="293">
        <v>13962</v>
      </c>
      <c r="K38" s="293">
        <v>18274</v>
      </c>
      <c r="L38" s="293">
        <v>15307</v>
      </c>
      <c r="M38" s="293">
        <v>20367</v>
      </c>
      <c r="N38" s="407">
        <v>38422</v>
      </c>
      <c r="O38" s="392">
        <v>18815</v>
      </c>
      <c r="P38" s="230">
        <f>'Mielies-Maize'!J38</f>
        <v>21677</v>
      </c>
      <c r="Q38" s="429">
        <f t="shared" si="3"/>
        <v>22237</v>
      </c>
    </row>
    <row r="39" spans="1:17" ht="15" customHeight="1">
      <c r="A39" s="12"/>
      <c r="B39" s="34">
        <f>'Mielies-Maize'!B39</f>
        <v>21</v>
      </c>
      <c r="C39" s="206" t="s">
        <v>154</v>
      </c>
      <c r="D39" s="38">
        <v>11000</v>
      </c>
      <c r="E39" s="38">
        <v>13000</v>
      </c>
      <c r="F39" s="38">
        <v>11000</v>
      </c>
      <c r="G39" s="38">
        <v>12000</v>
      </c>
      <c r="H39" s="69">
        <v>27155</v>
      </c>
      <c r="I39" s="228">
        <v>9756</v>
      </c>
      <c r="J39" s="293">
        <v>12807</v>
      </c>
      <c r="K39" s="293">
        <v>10500</v>
      </c>
      <c r="L39" s="293">
        <v>11709</v>
      </c>
      <c r="M39" s="293">
        <v>15146</v>
      </c>
      <c r="N39" s="407">
        <v>28796</v>
      </c>
      <c r="O39" s="392">
        <v>14342</v>
      </c>
      <c r="P39" s="230">
        <f>'Mielies-Maize'!J39</f>
        <v>15186</v>
      </c>
      <c r="Q39" s="429">
        <f t="shared" si="3"/>
        <v>16098.6</v>
      </c>
    </row>
    <row r="40" spans="1:17" ht="15" customHeight="1">
      <c r="A40" s="12"/>
      <c r="B40" s="34">
        <f>'Mielies-Maize'!B40</f>
        <v>22</v>
      </c>
      <c r="C40" s="206" t="s">
        <v>155</v>
      </c>
      <c r="D40" s="38">
        <v>8000</v>
      </c>
      <c r="E40" s="38">
        <v>11000</v>
      </c>
      <c r="F40" s="38">
        <v>16000</v>
      </c>
      <c r="G40" s="38">
        <v>22000</v>
      </c>
      <c r="H40" s="69">
        <v>14916</v>
      </c>
      <c r="I40" s="228">
        <v>41667</v>
      </c>
      <c r="J40" s="293">
        <v>29932</v>
      </c>
      <c r="K40" s="293">
        <v>35491</v>
      </c>
      <c r="L40" s="293">
        <v>27381</v>
      </c>
      <c r="M40" s="293">
        <v>49621</v>
      </c>
      <c r="N40" s="407">
        <v>76405</v>
      </c>
      <c r="O40" s="392">
        <v>71870</v>
      </c>
      <c r="P40" s="230">
        <f>'Mielies-Maize'!J40</f>
        <v>80302</v>
      </c>
      <c r="Q40" s="429">
        <f t="shared" si="3"/>
        <v>52153.6</v>
      </c>
    </row>
    <row r="41" spans="1:17" ht="15" customHeight="1">
      <c r="A41" s="12"/>
      <c r="B41" s="34">
        <f>'Mielies-Maize'!B41</f>
        <v>23</v>
      </c>
      <c r="C41" s="206" t="s">
        <v>156</v>
      </c>
      <c r="D41" s="38">
        <v>7000</v>
      </c>
      <c r="E41" s="38">
        <v>29000</v>
      </c>
      <c r="F41" s="38">
        <v>42000</v>
      </c>
      <c r="G41" s="38">
        <v>10000</v>
      </c>
      <c r="H41" s="69">
        <v>12616</v>
      </c>
      <c r="I41" s="228">
        <v>10571</v>
      </c>
      <c r="J41" s="293">
        <v>3273</v>
      </c>
      <c r="K41" s="293">
        <v>10255</v>
      </c>
      <c r="L41" s="293">
        <v>9868</v>
      </c>
      <c r="M41" s="293">
        <v>11482</v>
      </c>
      <c r="N41" s="407">
        <v>12227</v>
      </c>
      <c r="O41" s="392">
        <v>11417</v>
      </c>
      <c r="P41" s="230">
        <f>'Mielies-Maize'!J41</f>
        <v>3791</v>
      </c>
      <c r="Q41" s="429">
        <f t="shared" si="3"/>
        <v>11049.8</v>
      </c>
    </row>
    <row r="42" spans="1:17" ht="15" customHeight="1">
      <c r="A42" s="12"/>
      <c r="B42" s="34">
        <f>'Mielies-Maize'!B42</f>
        <v>24</v>
      </c>
      <c r="C42" s="206" t="s">
        <v>157</v>
      </c>
      <c r="D42" s="38">
        <v>28000</v>
      </c>
      <c r="E42" s="38">
        <v>8000</v>
      </c>
      <c r="F42" s="38">
        <v>13000</v>
      </c>
      <c r="G42" s="38">
        <v>36000</v>
      </c>
      <c r="H42" s="69">
        <v>9063</v>
      </c>
      <c r="I42" s="228">
        <v>12305</v>
      </c>
      <c r="J42" s="293">
        <v>9728</v>
      </c>
      <c r="K42" s="293">
        <v>9030</v>
      </c>
      <c r="L42" s="293">
        <v>11193</v>
      </c>
      <c r="M42" s="293">
        <v>10293</v>
      </c>
      <c r="N42" s="407">
        <v>14728</v>
      </c>
      <c r="O42" s="392">
        <v>11248</v>
      </c>
      <c r="P42" s="230">
        <f>'Mielies-Maize'!J42</f>
        <v>7732</v>
      </c>
      <c r="Q42" s="429">
        <f t="shared" si="3"/>
        <v>11298.4</v>
      </c>
    </row>
    <row r="43" spans="1:17" ht="15" customHeight="1">
      <c r="A43" s="12"/>
      <c r="B43" s="34">
        <f>'Mielies-Maize'!B43</f>
        <v>25</v>
      </c>
      <c r="C43" s="206" t="s">
        <v>158</v>
      </c>
      <c r="D43" s="38">
        <v>6000</v>
      </c>
      <c r="E43" s="38">
        <v>6000</v>
      </c>
      <c r="F43" s="38">
        <v>14000</v>
      </c>
      <c r="G43" s="38">
        <v>11000</v>
      </c>
      <c r="H43" s="69">
        <v>18247</v>
      </c>
      <c r="I43" s="228">
        <v>11116</v>
      </c>
      <c r="J43" s="293">
        <v>8531</v>
      </c>
      <c r="K43" s="293">
        <v>10692</v>
      </c>
      <c r="L43" s="293">
        <v>5943</v>
      </c>
      <c r="M43" s="293">
        <v>10282</v>
      </c>
      <c r="N43" s="407">
        <v>9284</v>
      </c>
      <c r="O43" s="392">
        <v>10082</v>
      </c>
      <c r="P43" s="230">
        <f>'Mielies-Maize'!J43</f>
        <v>8212</v>
      </c>
      <c r="Q43" s="429">
        <f t="shared" si="3"/>
        <v>9256.6</v>
      </c>
    </row>
    <row r="44" spans="1:17" ht="15" customHeight="1">
      <c r="A44" s="12"/>
      <c r="B44" s="34">
        <f>'Mielies-Maize'!B44</f>
        <v>26</v>
      </c>
      <c r="C44" s="206" t="s">
        <v>159</v>
      </c>
      <c r="D44" s="38">
        <v>4000</v>
      </c>
      <c r="E44" s="38">
        <v>11000</v>
      </c>
      <c r="F44" s="38">
        <v>11000</v>
      </c>
      <c r="G44" s="38">
        <v>10000</v>
      </c>
      <c r="H44" s="69">
        <v>10868</v>
      </c>
      <c r="I44" s="228">
        <v>31192</v>
      </c>
      <c r="J44" s="293">
        <v>10588</v>
      </c>
      <c r="K44" s="293">
        <v>11544</v>
      </c>
      <c r="L44" s="293">
        <v>19559</v>
      </c>
      <c r="M44" s="293">
        <v>47113</v>
      </c>
      <c r="N44" s="407">
        <v>48886</v>
      </c>
      <c r="O44" s="392">
        <v>56451</v>
      </c>
      <c r="P44" s="230">
        <f>'Mielies-Maize'!J44</f>
        <v>7309</v>
      </c>
      <c r="Q44" s="429">
        <f t="shared" si="3"/>
        <v>36710.6</v>
      </c>
    </row>
    <row r="45" spans="1:17" ht="15" customHeight="1">
      <c r="A45" s="12"/>
      <c r="B45" s="34">
        <f>'Mielies-Maize'!B45</f>
        <v>27</v>
      </c>
      <c r="C45" s="206" t="s">
        <v>160</v>
      </c>
      <c r="D45" s="38">
        <v>4000</v>
      </c>
      <c r="E45" s="38">
        <v>10000</v>
      </c>
      <c r="F45" s="38">
        <v>12000</v>
      </c>
      <c r="G45" s="38">
        <v>7000</v>
      </c>
      <c r="H45" s="69">
        <v>7436</v>
      </c>
      <c r="I45" s="228">
        <v>7897</v>
      </c>
      <c r="J45" s="293">
        <v>25795</v>
      </c>
      <c r="K45" s="293">
        <v>19670</v>
      </c>
      <c r="L45" s="293">
        <v>5045</v>
      </c>
      <c r="M45" s="293">
        <v>3951</v>
      </c>
      <c r="N45" s="407">
        <v>3132</v>
      </c>
      <c r="O45" s="392">
        <v>2233</v>
      </c>
      <c r="P45" s="230">
        <f>'Mielies-Maize'!J45</f>
        <v>53991</v>
      </c>
      <c r="Q45" s="429">
        <f t="shared" si="3"/>
        <v>6806.2</v>
      </c>
    </row>
    <row r="46" spans="1:17" ht="15" customHeight="1">
      <c r="A46" s="12"/>
      <c r="B46" s="34">
        <f>'Mielies-Maize'!B46</f>
        <v>28</v>
      </c>
      <c r="C46" s="206" t="s">
        <v>161</v>
      </c>
      <c r="D46" s="38">
        <v>9000</v>
      </c>
      <c r="E46" s="38">
        <v>38000</v>
      </c>
      <c r="F46" s="38">
        <v>18000</v>
      </c>
      <c r="G46" s="38">
        <v>17000</v>
      </c>
      <c r="H46" s="69">
        <v>9920</v>
      </c>
      <c r="I46" s="228">
        <v>7349</v>
      </c>
      <c r="J46" s="293">
        <v>5900</v>
      </c>
      <c r="K46" s="293">
        <v>8805</v>
      </c>
      <c r="L46" s="293">
        <v>3932</v>
      </c>
      <c r="M46" s="293">
        <v>5639</v>
      </c>
      <c r="N46" s="407">
        <v>6314</v>
      </c>
      <c r="O46" s="392">
        <v>4487</v>
      </c>
      <c r="P46" s="230">
        <f>'Mielies-Maize'!J46</f>
        <v>4380</v>
      </c>
      <c r="Q46" s="429">
        <f t="shared" si="3"/>
        <v>5835.4</v>
      </c>
    </row>
    <row r="47" spans="1:17" ht="14.25" customHeight="1">
      <c r="A47" s="12"/>
      <c r="B47" s="34">
        <f>'Mielies-Maize'!B47</f>
        <v>29</v>
      </c>
      <c r="C47" s="206" t="s">
        <v>162</v>
      </c>
      <c r="D47" s="38">
        <v>28000</v>
      </c>
      <c r="E47" s="38">
        <v>10000</v>
      </c>
      <c r="F47" s="38">
        <v>9000</v>
      </c>
      <c r="G47" s="38">
        <v>10000</v>
      </c>
      <c r="H47" s="69">
        <v>9205</v>
      </c>
      <c r="I47" s="228">
        <v>6182</v>
      </c>
      <c r="J47" s="293">
        <v>5353</v>
      </c>
      <c r="K47" s="293">
        <v>9037</v>
      </c>
      <c r="L47" s="293">
        <v>5677</v>
      </c>
      <c r="M47" s="293">
        <v>4121</v>
      </c>
      <c r="N47" s="407">
        <v>5186</v>
      </c>
      <c r="O47" s="392">
        <v>2835</v>
      </c>
      <c r="P47" s="230">
        <f>'Mielies-Maize'!J47</f>
        <v>3323</v>
      </c>
      <c r="Q47" s="429">
        <f t="shared" si="3"/>
        <v>5371.2</v>
      </c>
    </row>
    <row r="48" spans="1:17" ht="15" customHeight="1">
      <c r="A48" s="12"/>
      <c r="B48" s="34">
        <f>'Mielies-Maize'!B48</f>
        <v>30</v>
      </c>
      <c r="C48" s="206" t="s">
        <v>163</v>
      </c>
      <c r="D48" s="38">
        <v>24000</v>
      </c>
      <c r="E48" s="38">
        <v>14000</v>
      </c>
      <c r="F48" s="38">
        <v>11000</v>
      </c>
      <c r="G48" s="38">
        <v>6000</v>
      </c>
      <c r="H48" s="69">
        <v>9870</v>
      </c>
      <c r="I48" s="228">
        <v>8877</v>
      </c>
      <c r="J48" s="293">
        <v>6223</v>
      </c>
      <c r="K48" s="293">
        <v>5830</v>
      </c>
      <c r="L48" s="293">
        <v>31000</v>
      </c>
      <c r="M48" s="293">
        <v>52278</v>
      </c>
      <c r="N48" s="407">
        <v>8660</v>
      </c>
      <c r="O48" s="392">
        <v>1962</v>
      </c>
      <c r="P48" s="230">
        <f>'Mielies-Maize'!J48</f>
        <v>2240</v>
      </c>
      <c r="Q48" s="429">
        <f t="shared" si="3"/>
        <v>19946</v>
      </c>
    </row>
    <row r="49" spans="1:17" ht="15" customHeight="1">
      <c r="A49" s="12"/>
      <c r="B49" s="34">
        <f>'Mielies-Maize'!B49</f>
        <v>31</v>
      </c>
      <c r="C49" s="206" t="s">
        <v>164</v>
      </c>
      <c r="D49" s="38">
        <v>-14000</v>
      </c>
      <c r="E49" s="38">
        <v>10000</v>
      </c>
      <c r="F49" s="38">
        <v>3000</v>
      </c>
      <c r="G49" s="38">
        <v>5000</v>
      </c>
      <c r="H49" s="69">
        <v>8679</v>
      </c>
      <c r="I49" s="228">
        <v>16965</v>
      </c>
      <c r="J49" s="293">
        <v>20496</v>
      </c>
      <c r="K49" s="293">
        <v>19312</v>
      </c>
      <c r="L49" s="293">
        <v>5688</v>
      </c>
      <c r="M49" s="293">
        <v>3874</v>
      </c>
      <c r="N49" s="407">
        <v>35422</v>
      </c>
      <c r="O49" s="392">
        <v>28704</v>
      </c>
      <c r="P49" s="230">
        <f>'Mielies-Maize'!J49</f>
        <v>41130</v>
      </c>
      <c r="Q49" s="429">
        <f t="shared" si="3"/>
        <v>18600</v>
      </c>
    </row>
    <row r="50" spans="1:17" ht="15" customHeight="1">
      <c r="A50" s="12"/>
      <c r="B50" s="34">
        <f>'Mielies-Maize'!B50</f>
        <v>32</v>
      </c>
      <c r="C50" s="206" t="s">
        <v>165</v>
      </c>
      <c r="D50" s="38">
        <v>3000</v>
      </c>
      <c r="E50" s="38">
        <v>-4000</v>
      </c>
      <c r="F50" s="38">
        <v>1000</v>
      </c>
      <c r="G50" s="38">
        <v>21000</v>
      </c>
      <c r="H50" s="69">
        <v>4596</v>
      </c>
      <c r="I50" s="228">
        <v>8626</v>
      </c>
      <c r="J50" s="293">
        <v>6887</v>
      </c>
      <c r="K50" s="293">
        <v>6538</v>
      </c>
      <c r="L50" s="293">
        <v>0</v>
      </c>
      <c r="M50" s="293">
        <v>4339</v>
      </c>
      <c r="N50" s="407">
        <v>5097</v>
      </c>
      <c r="O50" s="392">
        <v>1811</v>
      </c>
      <c r="P50" s="230">
        <f>'Mielies-Maize'!J50</f>
        <v>3754</v>
      </c>
      <c r="Q50" s="429">
        <f t="shared" si="3"/>
        <v>3557</v>
      </c>
    </row>
    <row r="51" spans="1:17" ht="15" customHeight="1">
      <c r="A51" s="12"/>
      <c r="B51" s="34">
        <v>33</v>
      </c>
      <c r="C51" s="206" t="s">
        <v>166</v>
      </c>
      <c r="D51" s="79">
        <v>0</v>
      </c>
      <c r="E51" s="38">
        <v>0</v>
      </c>
      <c r="F51" s="38">
        <v>1667</v>
      </c>
      <c r="G51" s="38">
        <v>0</v>
      </c>
      <c r="H51" s="69">
        <v>0</v>
      </c>
      <c r="I51" s="228">
        <v>0</v>
      </c>
      <c r="J51" s="293">
        <v>0</v>
      </c>
      <c r="K51" s="293">
        <v>0</v>
      </c>
      <c r="L51" s="293">
        <v>0</v>
      </c>
      <c r="M51" s="293">
        <v>0</v>
      </c>
      <c r="N51" s="407">
        <v>5186</v>
      </c>
      <c r="O51" s="392">
        <v>1750</v>
      </c>
      <c r="P51" s="230">
        <f>'Mielies-Maize'!J51</f>
        <v>4481</v>
      </c>
      <c r="Q51" s="429">
        <f t="shared" si="3"/>
        <v>1387.2</v>
      </c>
    </row>
    <row r="52" spans="1:17" ht="15" customHeight="1">
      <c r="A52" s="12"/>
      <c r="B52" s="34">
        <v>34</v>
      </c>
      <c r="C52" s="206" t="s">
        <v>167</v>
      </c>
      <c r="D52" s="79">
        <v>8000</v>
      </c>
      <c r="E52" s="38">
        <v>0</v>
      </c>
      <c r="F52" s="38">
        <v>1667</v>
      </c>
      <c r="G52" s="38">
        <v>0</v>
      </c>
      <c r="H52" s="69">
        <v>0</v>
      </c>
      <c r="I52" s="228">
        <v>0</v>
      </c>
      <c r="J52" s="293">
        <v>0</v>
      </c>
      <c r="K52" s="293">
        <v>0</v>
      </c>
      <c r="L52" s="293">
        <v>0</v>
      </c>
      <c r="M52" s="293">
        <v>0</v>
      </c>
      <c r="N52" s="407">
        <v>8885</v>
      </c>
      <c r="O52" s="392">
        <v>3748</v>
      </c>
      <c r="P52" s="230">
        <f>'Mielies-Maize'!J52</f>
        <v>4090</v>
      </c>
      <c r="Q52" s="429">
        <f t="shared" si="3"/>
        <v>2526.6</v>
      </c>
    </row>
    <row r="53" spans="1:17" ht="15" customHeight="1">
      <c r="A53" s="12"/>
      <c r="B53" s="34">
        <f>'Mielies-Maize'!B53</f>
        <v>35</v>
      </c>
      <c r="C53" s="206" t="s">
        <v>168</v>
      </c>
      <c r="D53" s="79">
        <v>29000</v>
      </c>
      <c r="E53" s="38">
        <v>20000</v>
      </c>
      <c r="F53" s="38">
        <v>1666</v>
      </c>
      <c r="G53" s="38">
        <v>6000</v>
      </c>
      <c r="H53" s="69">
        <v>32560</v>
      </c>
      <c r="I53" s="228">
        <v>22245</v>
      </c>
      <c r="J53" s="293">
        <v>29426</v>
      </c>
      <c r="K53" s="293">
        <v>25182</v>
      </c>
      <c r="L53" s="293">
        <v>22399</v>
      </c>
      <c r="M53" s="293">
        <v>35081</v>
      </c>
      <c r="N53" s="407">
        <v>12085</v>
      </c>
      <c r="O53" s="392">
        <v>16492</v>
      </c>
      <c r="P53" s="230">
        <f>'Mielies-Maize'!J53</f>
        <v>38464</v>
      </c>
      <c r="Q53" s="429">
        <f t="shared" si="3"/>
        <v>22247.8</v>
      </c>
    </row>
    <row r="54" spans="1:17" ht="15" customHeight="1">
      <c r="A54" s="12"/>
      <c r="B54" s="34">
        <f>'Mielies-Maize'!B54</f>
        <v>36</v>
      </c>
      <c r="C54" s="206" t="s">
        <v>169</v>
      </c>
      <c r="D54" s="79">
        <v>7000</v>
      </c>
      <c r="E54" s="38">
        <v>7000</v>
      </c>
      <c r="F54" s="38">
        <v>2000</v>
      </c>
      <c r="G54" s="38">
        <v>7000</v>
      </c>
      <c r="H54" s="69">
        <v>1668</v>
      </c>
      <c r="I54" s="228">
        <v>4517</v>
      </c>
      <c r="J54" s="293">
        <v>1550</v>
      </c>
      <c r="K54" s="293">
        <v>1352</v>
      </c>
      <c r="L54" s="293">
        <v>1653</v>
      </c>
      <c r="M54" s="293">
        <v>1742</v>
      </c>
      <c r="N54" s="407">
        <v>329</v>
      </c>
      <c r="O54" s="392">
        <v>306</v>
      </c>
      <c r="P54" s="230">
        <f>'Mielies-Maize'!J54</f>
        <v>306</v>
      </c>
      <c r="Q54" s="429">
        <f t="shared" si="3"/>
        <v>1076.4</v>
      </c>
    </row>
    <row r="55" spans="1:17" ht="15" customHeight="1">
      <c r="A55" s="12"/>
      <c r="B55" s="34">
        <f>'Mielies-Maize'!B55</f>
        <v>37</v>
      </c>
      <c r="C55" s="206" t="s">
        <v>170</v>
      </c>
      <c r="D55" s="79">
        <v>9000</v>
      </c>
      <c r="E55" s="38">
        <v>-3000</v>
      </c>
      <c r="F55" s="38">
        <v>2000</v>
      </c>
      <c r="G55" s="38">
        <v>6000</v>
      </c>
      <c r="H55" s="69">
        <v>4009</v>
      </c>
      <c r="I55" s="228">
        <v>3887</v>
      </c>
      <c r="J55" s="293">
        <v>4829</v>
      </c>
      <c r="K55" s="293">
        <v>3195</v>
      </c>
      <c r="L55" s="293">
        <v>6497</v>
      </c>
      <c r="M55" s="293">
        <v>2256</v>
      </c>
      <c r="N55" s="407">
        <v>2710</v>
      </c>
      <c r="O55" s="392">
        <v>3699</v>
      </c>
      <c r="P55" s="230">
        <f>'Mielies-Maize'!J55</f>
        <v>1791</v>
      </c>
      <c r="Q55" s="429">
        <f t="shared" si="3"/>
        <v>3671.4</v>
      </c>
    </row>
    <row r="56" spans="1:17" ht="15" customHeight="1">
      <c r="A56" s="12"/>
      <c r="B56" s="34">
        <f>'Mielies-Maize'!B56</f>
        <v>38</v>
      </c>
      <c r="C56" s="206" t="s">
        <v>173</v>
      </c>
      <c r="D56" s="38">
        <v>4000</v>
      </c>
      <c r="E56" s="38">
        <v>6000</v>
      </c>
      <c r="F56" s="38">
        <v>-3000</v>
      </c>
      <c r="G56" s="38">
        <v>10000</v>
      </c>
      <c r="H56" s="69">
        <v>3727</v>
      </c>
      <c r="I56" s="228">
        <v>6891</v>
      </c>
      <c r="J56" s="293">
        <v>7986</v>
      </c>
      <c r="K56" s="293">
        <v>3619</v>
      </c>
      <c r="L56" s="293">
        <v>11270</v>
      </c>
      <c r="M56" s="293">
        <v>2523</v>
      </c>
      <c r="N56" s="407">
        <v>6404</v>
      </c>
      <c r="O56" s="392">
        <v>5274</v>
      </c>
      <c r="P56" s="230">
        <f>'Mielies-Maize'!J56</f>
        <v>4215</v>
      </c>
      <c r="Q56" s="429">
        <f t="shared" si="3"/>
        <v>5818</v>
      </c>
    </row>
    <row r="57" spans="1:17" ht="15" customHeight="1">
      <c r="A57" s="12"/>
      <c r="B57" s="34">
        <f>'Mielies-Maize'!B57</f>
        <v>39</v>
      </c>
      <c r="C57" s="206" t="s">
        <v>174</v>
      </c>
      <c r="D57" s="38">
        <v>9000</v>
      </c>
      <c r="E57" s="38">
        <v>7000</v>
      </c>
      <c r="F57" s="38">
        <v>4000</v>
      </c>
      <c r="G57" s="38">
        <v>6000</v>
      </c>
      <c r="H57" s="69">
        <v>3341</v>
      </c>
      <c r="I57" s="228">
        <v>17148</v>
      </c>
      <c r="J57" s="293">
        <v>8787</v>
      </c>
      <c r="K57" s="293">
        <v>6187</v>
      </c>
      <c r="L57" s="293">
        <v>32119</v>
      </c>
      <c r="M57" s="293">
        <v>26585</v>
      </c>
      <c r="N57" s="407">
        <v>35868</v>
      </c>
      <c r="O57" s="392">
        <v>5176</v>
      </c>
      <c r="P57" s="230">
        <f>'Mielies-Maize'!J57</f>
        <v>6661</v>
      </c>
      <c r="Q57" s="429">
        <f t="shared" si="3"/>
        <v>21187</v>
      </c>
    </row>
    <row r="58" spans="1:17" ht="15" customHeight="1">
      <c r="A58" s="12"/>
      <c r="B58" s="34">
        <f>'Mielies-Maize'!B58</f>
        <v>40</v>
      </c>
      <c r="C58" s="206" t="s">
        <v>176</v>
      </c>
      <c r="D58" s="38">
        <v>9000</v>
      </c>
      <c r="E58" s="38">
        <v>10000</v>
      </c>
      <c r="F58" s="38">
        <v>4000</v>
      </c>
      <c r="G58" s="38">
        <v>4000</v>
      </c>
      <c r="H58" s="69">
        <v>6501</v>
      </c>
      <c r="I58" s="228">
        <v>21579</v>
      </c>
      <c r="J58" s="293">
        <v>21557</v>
      </c>
      <c r="K58" s="293">
        <v>32619</v>
      </c>
      <c r="L58" s="293">
        <v>4929</v>
      </c>
      <c r="M58" s="293">
        <v>1418</v>
      </c>
      <c r="N58" s="407">
        <v>2804</v>
      </c>
      <c r="O58" s="392">
        <v>43180</v>
      </c>
      <c r="P58" s="230">
        <f>'Mielies-Maize'!J58</f>
        <v>38839</v>
      </c>
      <c r="Q58" s="429">
        <f t="shared" si="3"/>
        <v>16990</v>
      </c>
    </row>
    <row r="59" spans="1:17" ht="15" customHeight="1">
      <c r="A59" s="12"/>
      <c r="B59" s="34">
        <f>'Mielies-Maize'!B59</f>
        <v>41</v>
      </c>
      <c r="C59" s="206" t="s">
        <v>177</v>
      </c>
      <c r="D59" s="38">
        <v>7000</v>
      </c>
      <c r="E59" s="38">
        <v>-4000</v>
      </c>
      <c r="F59" s="38">
        <v>19000</v>
      </c>
      <c r="G59" s="38">
        <v>3000</v>
      </c>
      <c r="H59" s="69">
        <v>10359</v>
      </c>
      <c r="I59" s="228">
        <v>14254</v>
      </c>
      <c r="J59" s="293">
        <v>13574</v>
      </c>
      <c r="K59" s="293">
        <v>13978</v>
      </c>
      <c r="L59" s="293">
        <v>9061</v>
      </c>
      <c r="M59" s="293">
        <v>6038</v>
      </c>
      <c r="N59" s="407">
        <v>7564</v>
      </c>
      <c r="O59" s="392">
        <v>8985</v>
      </c>
      <c r="P59" s="230">
        <f>'Mielies-Maize'!J59</f>
        <v>3239</v>
      </c>
      <c r="Q59" s="429">
        <f t="shared" si="3"/>
        <v>9125.2</v>
      </c>
    </row>
    <row r="60" spans="1:17" ht="15" customHeight="1">
      <c r="A60" s="12"/>
      <c r="B60" s="34">
        <f>'Mielies-Maize'!B60</f>
        <v>42</v>
      </c>
      <c r="C60" s="206" t="s">
        <v>178</v>
      </c>
      <c r="D60" s="38">
        <v>9000</v>
      </c>
      <c r="E60" s="38">
        <v>6000</v>
      </c>
      <c r="F60" s="38">
        <v>8000</v>
      </c>
      <c r="G60" s="38">
        <v>21000</v>
      </c>
      <c r="H60" s="69">
        <v>13742</v>
      </c>
      <c r="I60" s="228">
        <v>16670</v>
      </c>
      <c r="J60" s="293">
        <v>23605</v>
      </c>
      <c r="K60" s="293">
        <v>12098</v>
      </c>
      <c r="L60" s="293">
        <v>10858</v>
      </c>
      <c r="M60" s="293">
        <v>6287</v>
      </c>
      <c r="N60" s="407">
        <v>5453</v>
      </c>
      <c r="O60" s="392">
        <v>6787</v>
      </c>
      <c r="P60" s="230">
        <f>'Mielies-Maize'!J60</f>
        <v>5682</v>
      </c>
      <c r="Q60" s="429">
        <f t="shared" si="3"/>
        <v>8296.6</v>
      </c>
    </row>
    <row r="61" spans="1:17" ht="15" customHeight="1">
      <c r="A61" s="12"/>
      <c r="B61" s="34">
        <f>'Mielies-Maize'!B61</f>
        <v>43</v>
      </c>
      <c r="C61" s="206" t="s">
        <v>179</v>
      </c>
      <c r="D61" s="38">
        <v>13000</v>
      </c>
      <c r="E61" s="38">
        <v>6000</v>
      </c>
      <c r="F61" s="38">
        <v>7000</v>
      </c>
      <c r="G61" s="38">
        <v>14000</v>
      </c>
      <c r="H61" s="69">
        <v>27459</v>
      </c>
      <c r="I61" s="228">
        <v>23609</v>
      </c>
      <c r="J61" s="293">
        <v>23487</v>
      </c>
      <c r="K61" s="293">
        <v>12069</v>
      </c>
      <c r="L61" s="293">
        <v>33195</v>
      </c>
      <c r="M61" s="293">
        <v>39174</v>
      </c>
      <c r="N61" s="407">
        <v>30139</v>
      </c>
      <c r="O61" s="392">
        <v>15342</v>
      </c>
      <c r="P61" s="230">
        <f>'Mielies-Maize'!J61</f>
        <v>10151</v>
      </c>
      <c r="Q61" s="429">
        <f t="shared" si="3"/>
        <v>25983.8</v>
      </c>
    </row>
    <row r="62" spans="1:17" ht="15" customHeight="1">
      <c r="A62" s="12"/>
      <c r="B62" s="194">
        <f>'Mielies-Maize'!B62</f>
        <v>44</v>
      </c>
      <c r="C62" s="206" t="s">
        <v>180</v>
      </c>
      <c r="D62" s="38">
        <v>68000</v>
      </c>
      <c r="E62" s="38">
        <v>4000</v>
      </c>
      <c r="F62" s="38">
        <v>8000</v>
      </c>
      <c r="G62" s="38">
        <v>9000</v>
      </c>
      <c r="H62" s="69">
        <v>26796</v>
      </c>
      <c r="I62" s="228">
        <v>24811</v>
      </c>
      <c r="J62" s="293">
        <v>47446</v>
      </c>
      <c r="K62" s="293">
        <v>40215</v>
      </c>
      <c r="L62" s="293">
        <v>4855</v>
      </c>
      <c r="M62" s="293">
        <v>1051</v>
      </c>
      <c r="N62" s="407">
        <v>1372</v>
      </c>
      <c r="O62" s="392">
        <v>41776</v>
      </c>
      <c r="P62" s="230">
        <f>'Mielies-Maize'!J62</f>
        <v>40094</v>
      </c>
      <c r="Q62" s="429">
        <f t="shared" si="3"/>
        <v>17853.8</v>
      </c>
    </row>
    <row r="63" spans="1:17" ht="15" customHeight="1">
      <c r="A63" s="12"/>
      <c r="B63" s="34">
        <f>'Mielies-Maize'!B63</f>
        <v>45</v>
      </c>
      <c r="C63" s="206" t="s">
        <v>181</v>
      </c>
      <c r="D63" s="38">
        <v>12000</v>
      </c>
      <c r="E63" s="38">
        <v>8000</v>
      </c>
      <c r="F63" s="38">
        <v>34000</v>
      </c>
      <c r="G63" s="38">
        <v>19000</v>
      </c>
      <c r="H63" s="69">
        <v>36840</v>
      </c>
      <c r="I63" s="228">
        <v>9892</v>
      </c>
      <c r="J63" s="293">
        <v>20915</v>
      </c>
      <c r="K63" s="293">
        <v>12600</v>
      </c>
      <c r="L63" s="293">
        <v>10424</v>
      </c>
      <c r="M63" s="293">
        <v>7988</v>
      </c>
      <c r="N63" s="407">
        <v>0</v>
      </c>
      <c r="O63" s="392"/>
      <c r="P63" s="230">
        <f>'Mielies-Maize'!J63</f>
        <v>7876</v>
      </c>
      <c r="Q63" s="429">
        <f t="shared" si="3"/>
        <v>7753</v>
      </c>
    </row>
    <row r="64" spans="1:17" ht="15" customHeight="1">
      <c r="A64" s="12"/>
      <c r="B64" s="34">
        <f>'Mielies-Maize'!B64</f>
        <v>46</v>
      </c>
      <c r="C64" s="206" t="s">
        <v>182</v>
      </c>
      <c r="D64" s="38">
        <v>29000</v>
      </c>
      <c r="E64" s="38">
        <v>14000</v>
      </c>
      <c r="F64" s="38">
        <v>9000</v>
      </c>
      <c r="G64" s="38">
        <v>33000</v>
      </c>
      <c r="H64" s="69">
        <v>35391</v>
      </c>
      <c r="I64" s="228">
        <v>11779</v>
      </c>
      <c r="J64" s="293">
        <v>29975</v>
      </c>
      <c r="K64" s="293">
        <v>21498</v>
      </c>
      <c r="L64" s="293">
        <v>17466</v>
      </c>
      <c r="M64" s="293">
        <v>9412</v>
      </c>
      <c r="N64" s="407">
        <v>0</v>
      </c>
      <c r="O64" s="392"/>
      <c r="P64" s="230">
        <f>'Mielies-Maize'!J64</f>
        <v>16682</v>
      </c>
      <c r="Q64" s="429">
        <f t="shared" si="3"/>
        <v>12094</v>
      </c>
    </row>
    <row r="65" spans="1:17" ht="15" customHeight="1">
      <c r="A65" s="12"/>
      <c r="B65" s="34">
        <f>'Mielies-Maize'!B65</f>
        <v>47</v>
      </c>
      <c r="C65" s="206" t="s">
        <v>183</v>
      </c>
      <c r="D65" s="38">
        <v>22000</v>
      </c>
      <c r="E65" s="38">
        <v>10000</v>
      </c>
      <c r="F65" s="38">
        <v>8000</v>
      </c>
      <c r="G65" s="38">
        <v>24000</v>
      </c>
      <c r="H65" s="69">
        <v>56654</v>
      </c>
      <c r="I65" s="228">
        <v>23253</v>
      </c>
      <c r="J65" s="293">
        <v>28053</v>
      </c>
      <c r="K65" s="293">
        <v>18258</v>
      </c>
      <c r="L65" s="293">
        <v>15982</v>
      </c>
      <c r="M65" s="293">
        <v>4102</v>
      </c>
      <c r="N65" s="407">
        <v>0</v>
      </c>
      <c r="O65" s="392"/>
      <c r="P65" s="230">
        <f>'Mielies-Maize'!J65</f>
        <v>18448</v>
      </c>
      <c r="Q65" s="429">
        <f t="shared" si="3"/>
        <v>9585.5</v>
      </c>
    </row>
    <row r="66" spans="1:17" ht="15" customHeight="1">
      <c r="A66" s="12"/>
      <c r="B66" s="34">
        <f>'Mielies-Maize'!B66</f>
        <v>48</v>
      </c>
      <c r="C66" s="206" t="s">
        <v>184</v>
      </c>
      <c r="D66" s="38">
        <v>21000</v>
      </c>
      <c r="E66" s="38">
        <v>6000</v>
      </c>
      <c r="F66" s="38">
        <v>11000</v>
      </c>
      <c r="G66" s="38">
        <v>32000</v>
      </c>
      <c r="H66" s="69">
        <v>30445</v>
      </c>
      <c r="I66" s="228">
        <v>50319</v>
      </c>
      <c r="J66" s="293">
        <v>49480</v>
      </c>
      <c r="K66" s="293">
        <v>68852</v>
      </c>
      <c r="L66" s="293">
        <v>54677</v>
      </c>
      <c r="M66" s="293">
        <v>30391</v>
      </c>
      <c r="N66" s="407">
        <v>0</v>
      </c>
      <c r="O66" s="392"/>
      <c r="P66" s="230">
        <f>'Mielies-Maize'!J66</f>
        <v>48964</v>
      </c>
      <c r="Q66" s="429">
        <f t="shared" si="3"/>
        <v>38480</v>
      </c>
    </row>
    <row r="67" spans="1:17" ht="15" customHeight="1">
      <c r="A67" s="12"/>
      <c r="B67" s="34">
        <f>'Mielies-Maize'!B67</f>
        <v>49</v>
      </c>
      <c r="C67" s="206" t="s">
        <v>185</v>
      </c>
      <c r="D67" s="38">
        <v>-4000</v>
      </c>
      <c r="E67" s="38">
        <v>35000</v>
      </c>
      <c r="F67" s="38">
        <v>7000</v>
      </c>
      <c r="G67" s="38">
        <v>21000</v>
      </c>
      <c r="H67" s="69">
        <v>26404</v>
      </c>
      <c r="I67" s="228">
        <v>24511</v>
      </c>
      <c r="J67" s="293">
        <v>19256</v>
      </c>
      <c r="K67" s="293">
        <v>13097</v>
      </c>
      <c r="L67" s="293">
        <v>39179</v>
      </c>
      <c r="M67" s="293">
        <v>4779</v>
      </c>
      <c r="N67" s="407">
        <v>0</v>
      </c>
      <c r="O67" s="392"/>
      <c r="P67" s="230">
        <f>'Mielies-Maize'!J67</f>
        <v>8372</v>
      </c>
      <c r="Q67" s="429">
        <f t="shared" si="3"/>
        <v>14263.75</v>
      </c>
    </row>
    <row r="68" spans="1:17" ht="15" customHeight="1">
      <c r="A68" s="12"/>
      <c r="B68" s="34">
        <f>'Mielies-Maize'!B68</f>
        <v>50</v>
      </c>
      <c r="C68" s="206" t="s">
        <v>186</v>
      </c>
      <c r="D68" s="38">
        <v>33000</v>
      </c>
      <c r="E68" s="38">
        <v>18000</v>
      </c>
      <c r="F68" s="38">
        <v>22500</v>
      </c>
      <c r="G68" s="38">
        <v>53000</v>
      </c>
      <c r="H68" s="69">
        <v>57311</v>
      </c>
      <c r="I68" s="228">
        <v>36503</v>
      </c>
      <c r="J68" s="293">
        <v>25982</v>
      </c>
      <c r="K68" s="293">
        <v>47363</v>
      </c>
      <c r="L68" s="293">
        <v>24428</v>
      </c>
      <c r="M68" s="293">
        <v>10763</v>
      </c>
      <c r="N68" s="407">
        <v>0</v>
      </c>
      <c r="O68" s="392">
        <v>0</v>
      </c>
      <c r="P68" s="230">
        <f>'Mielies-Maize'!J68</f>
        <v>28428</v>
      </c>
      <c r="Q68" s="429">
        <f t="shared" si="3"/>
        <v>16510.8</v>
      </c>
    </row>
    <row r="69" spans="1:17" ht="15" customHeight="1">
      <c r="A69" s="12"/>
      <c r="B69" s="34">
        <f>'Mielies-Maize'!B69</f>
        <v>51</v>
      </c>
      <c r="C69" s="206"/>
      <c r="D69" s="38">
        <v>44000</v>
      </c>
      <c r="E69" s="38">
        <v>22000</v>
      </c>
      <c r="F69" s="38">
        <v>18000</v>
      </c>
      <c r="G69" s="38">
        <v>83000</v>
      </c>
      <c r="H69" s="69">
        <v>121210</v>
      </c>
      <c r="I69" s="228">
        <v>32842</v>
      </c>
      <c r="J69" s="293">
        <v>51132</v>
      </c>
      <c r="K69" s="293">
        <v>65527</v>
      </c>
      <c r="L69" s="293">
        <v>36667</v>
      </c>
      <c r="M69" s="293">
        <v>14403</v>
      </c>
      <c r="N69" s="407">
        <v>0</v>
      </c>
      <c r="O69" s="392">
        <v>0</v>
      </c>
      <c r="P69" s="230">
        <f>'Mielies-Maize'!J69</f>
        <v>0</v>
      </c>
      <c r="Q69" s="429"/>
    </row>
    <row r="70" spans="1:17" ht="15" customHeight="1">
      <c r="A70" s="12"/>
      <c r="B70" s="34">
        <f>'Mielies-Maize'!B70</f>
        <v>52</v>
      </c>
      <c r="C70" s="206"/>
      <c r="D70" s="38"/>
      <c r="E70" s="38">
        <v>16000</v>
      </c>
      <c r="F70" s="38">
        <v>6500</v>
      </c>
      <c r="G70" s="38">
        <v>60000</v>
      </c>
      <c r="H70" s="69">
        <v>74145</v>
      </c>
      <c r="I70" s="293">
        <v>131750</v>
      </c>
      <c r="J70" s="293">
        <v>57159</v>
      </c>
      <c r="K70" s="293">
        <v>66227</v>
      </c>
      <c r="L70" s="293">
        <v>61905</v>
      </c>
      <c r="M70" s="293">
        <v>12156</v>
      </c>
      <c r="N70" s="407">
        <v>0</v>
      </c>
      <c r="O70" s="392">
        <v>0</v>
      </c>
      <c r="P70" s="230">
        <f>'Mielies-Maize'!J70</f>
        <v>0</v>
      </c>
      <c r="Q70" s="429"/>
    </row>
    <row r="71" spans="1:17" ht="14.25" customHeight="1">
      <c r="A71" s="12"/>
      <c r="B71" s="34">
        <v>53</v>
      </c>
      <c r="C71" s="312"/>
      <c r="D71" s="38"/>
      <c r="E71" s="38"/>
      <c r="F71" s="38"/>
      <c r="G71" s="38"/>
      <c r="H71" s="38"/>
      <c r="I71" s="293"/>
      <c r="J71" s="293"/>
      <c r="K71" s="293"/>
      <c r="L71" s="293"/>
      <c r="M71" s="293">
        <f>'Mielies-Maize'!F71</f>
        <v>0</v>
      </c>
      <c r="N71" s="407">
        <v>0</v>
      </c>
      <c r="O71" s="392">
        <v>0</v>
      </c>
      <c r="P71" s="230">
        <f>'Mielies-Maize'!J71</f>
        <v>0</v>
      </c>
      <c r="Q71" s="429"/>
    </row>
    <row r="72" spans="1:17" ht="14.25" customHeight="1">
      <c r="A72" s="12"/>
      <c r="B72" s="34">
        <v>54</v>
      </c>
      <c r="C72" s="206"/>
      <c r="D72" s="46"/>
      <c r="E72" s="46"/>
      <c r="F72" s="46"/>
      <c r="G72" s="46"/>
      <c r="H72" s="46"/>
      <c r="I72" s="292"/>
      <c r="J72" s="292"/>
      <c r="K72" s="292"/>
      <c r="L72" s="292"/>
      <c r="M72" s="292">
        <f>'Mielies-Maize'!F72</f>
        <v>0</v>
      </c>
      <c r="N72" s="407">
        <v>0</v>
      </c>
      <c r="O72" s="392">
        <v>0</v>
      </c>
      <c r="P72" s="230">
        <f>'Mielies-Maize'!J72</f>
        <v>0</v>
      </c>
      <c r="Q72" s="429"/>
    </row>
    <row r="73" spans="1:17" ht="15">
      <c r="A73" s="12"/>
      <c r="B73" s="219" t="s">
        <v>35</v>
      </c>
      <c r="C73" s="220"/>
      <c r="D73" s="106" t="s">
        <v>76</v>
      </c>
      <c r="E73" s="106">
        <v>5275000</v>
      </c>
      <c r="F73" s="106">
        <v>4985000</v>
      </c>
      <c r="G73" s="106">
        <v>4308000</v>
      </c>
      <c r="H73" s="107">
        <v>5217000</v>
      </c>
      <c r="I73" s="236">
        <v>6203800</v>
      </c>
      <c r="J73" s="236">
        <v>6540000</v>
      </c>
      <c r="K73" s="153">
        <v>5220000</v>
      </c>
      <c r="L73" s="295">
        <v>4370000</v>
      </c>
      <c r="M73" s="153">
        <v>6904000</v>
      </c>
      <c r="N73" s="153">
        <v>5970000</v>
      </c>
      <c r="O73" s="153">
        <v>5730000</v>
      </c>
      <c r="P73" s="153">
        <f>'Table-SAGIS deliver vs CEC est'!D8</f>
        <v>6741870</v>
      </c>
      <c r="Q73" s="429">
        <f>AVERAGE(K73:O73)</f>
        <v>5638800</v>
      </c>
    </row>
    <row r="74" spans="1:17" ht="14.25" customHeight="1">
      <c r="A74" s="12"/>
      <c r="B74" s="276" t="s">
        <v>84</v>
      </c>
      <c r="C74" s="235"/>
      <c r="D74" s="133">
        <v>433883</v>
      </c>
      <c r="E74" s="135">
        <v>309666</v>
      </c>
      <c r="F74" s="135">
        <v>408213</v>
      </c>
      <c r="G74" s="135">
        <v>373764</v>
      </c>
      <c r="H74" s="135">
        <v>319431</v>
      </c>
      <c r="I74" s="135">
        <v>346869</v>
      </c>
      <c r="J74" s="135">
        <v>382404</v>
      </c>
      <c r="K74" s="154">
        <v>362420</v>
      </c>
      <c r="L74" s="300">
        <v>286664</v>
      </c>
      <c r="M74" s="154">
        <f>338900+13100</f>
        <v>352000</v>
      </c>
      <c r="N74" s="154">
        <v>350000</v>
      </c>
      <c r="O74" s="154">
        <v>354000</v>
      </c>
      <c r="P74" s="154">
        <f>'Table-SAGIS deliver vs CEC est'!D9</f>
        <v>400000</v>
      </c>
      <c r="Q74" s="429">
        <f>AVERAGE(K74:O74)</f>
        <v>341016.8</v>
      </c>
    </row>
    <row r="75" spans="1:17" ht="14.25" customHeight="1">
      <c r="A75" s="12"/>
      <c r="B75" s="277" t="s">
        <v>82</v>
      </c>
      <c r="C75" s="238"/>
      <c r="D75" s="136">
        <f aca="true" t="shared" si="4" ref="D75:J75">D73-D74</f>
        <v>4786117</v>
      </c>
      <c r="E75" s="136">
        <f t="shared" si="4"/>
        <v>4965334</v>
      </c>
      <c r="F75" s="136">
        <f t="shared" si="4"/>
        <v>4576787</v>
      </c>
      <c r="G75" s="136">
        <f t="shared" si="4"/>
        <v>3934236</v>
      </c>
      <c r="H75" s="136">
        <f t="shared" si="4"/>
        <v>4897569</v>
      </c>
      <c r="I75" s="136">
        <f t="shared" si="4"/>
        <v>5856931</v>
      </c>
      <c r="J75" s="136">
        <f t="shared" si="4"/>
        <v>6157596</v>
      </c>
      <c r="K75" s="155">
        <f>K73-K74</f>
        <v>4857580</v>
      </c>
      <c r="L75" s="155">
        <f>L73-L74</f>
        <v>4083336</v>
      </c>
      <c r="M75" s="155">
        <f>M73-M74</f>
        <v>6552000</v>
      </c>
      <c r="N75" s="155">
        <v>5620000</v>
      </c>
      <c r="O75" s="155">
        <v>5380000</v>
      </c>
      <c r="P75" s="155">
        <f>P73-P74</f>
        <v>6341870</v>
      </c>
      <c r="Q75" s="429">
        <f>Q73-Q74</f>
        <v>5297783.2</v>
      </c>
    </row>
    <row r="76" spans="1:17" ht="12.75" thickBot="1">
      <c r="A76" s="12"/>
      <c r="B76" s="131"/>
      <c r="C76" s="132"/>
      <c r="D76" s="126"/>
      <c r="E76" s="126"/>
      <c r="F76" s="126"/>
      <c r="G76" s="126"/>
      <c r="H76" s="126"/>
      <c r="I76" s="126"/>
      <c r="J76" s="126"/>
      <c r="K76" s="249"/>
      <c r="L76" s="249"/>
      <c r="M76" s="249"/>
      <c r="N76" s="249"/>
      <c r="O76" s="249"/>
      <c r="P76" s="249"/>
      <c r="Q76" s="428"/>
    </row>
    <row r="77" spans="1:17" ht="18" thickBot="1">
      <c r="A77" s="12"/>
      <c r="B77" s="285" t="s">
        <v>70</v>
      </c>
      <c r="C77" s="346"/>
      <c r="D77" s="286" t="s">
        <v>29</v>
      </c>
      <c r="E77" s="338" t="s">
        <v>30</v>
      </c>
      <c r="F77" s="338" t="s">
        <v>31</v>
      </c>
      <c r="G77" s="338" t="s">
        <v>28</v>
      </c>
      <c r="H77" s="338" t="s">
        <v>34</v>
      </c>
      <c r="I77" s="338" t="s">
        <v>61</v>
      </c>
      <c r="J77" s="338" t="s">
        <v>80</v>
      </c>
      <c r="K77" s="338" t="s">
        <v>81</v>
      </c>
      <c r="L77" s="338" t="s">
        <v>91</v>
      </c>
      <c r="M77" s="338" t="s">
        <v>95</v>
      </c>
      <c r="N77" s="286" t="s">
        <v>111</v>
      </c>
      <c r="O77" s="286" t="s">
        <v>128</v>
      </c>
      <c r="P77" s="231" t="s">
        <v>130</v>
      </c>
      <c r="Q77" s="428"/>
    </row>
    <row r="78" spans="1:17" ht="12">
      <c r="A78" s="12"/>
      <c r="B78" s="70" t="s">
        <v>69</v>
      </c>
      <c r="C78" s="347"/>
      <c r="D78" s="72">
        <f>D16</f>
        <v>340692</v>
      </c>
      <c r="E78" s="341">
        <f>E16</f>
        <v>236016</v>
      </c>
      <c r="F78" s="341">
        <f>F16</f>
        <v>77000</v>
      </c>
      <c r="G78" s="341">
        <f>G16</f>
        <v>77000</v>
      </c>
      <c r="H78" s="341">
        <f>H16</f>
        <v>138000</v>
      </c>
      <c r="I78" s="342">
        <v>526969</v>
      </c>
      <c r="J78" s="341">
        <f>J16</f>
        <v>144565</v>
      </c>
      <c r="K78" s="341">
        <f>K16</f>
        <v>367120</v>
      </c>
      <c r="L78" s="341">
        <f aca="true" t="shared" si="5" ref="L78:Q78">L18</f>
        <v>449955</v>
      </c>
      <c r="M78" s="341">
        <f t="shared" si="5"/>
        <v>300642</v>
      </c>
      <c r="N78" s="282">
        <f t="shared" si="5"/>
        <v>122548</v>
      </c>
      <c r="O78" s="282">
        <f t="shared" si="5"/>
        <v>181045</v>
      </c>
      <c r="P78" s="282">
        <f t="shared" si="5"/>
        <v>216491</v>
      </c>
      <c r="Q78" s="282">
        <f t="shared" si="5"/>
        <v>284262</v>
      </c>
    </row>
    <row r="79" spans="1:17" ht="12.75" thickBot="1">
      <c r="A79" s="12"/>
      <c r="B79" s="73" t="s">
        <v>63</v>
      </c>
      <c r="C79" s="348"/>
      <c r="D79" s="345">
        <f>SUM(D19:D62)</f>
        <v>4045000</v>
      </c>
      <c r="E79" s="345">
        <f>SUM(E19:E62)</f>
        <v>4107000</v>
      </c>
      <c r="F79" s="345">
        <f>SUM(F19:F31)</f>
        <v>3664375</v>
      </c>
      <c r="G79" s="345">
        <f>SUM(G19:G31)</f>
        <v>2827943</v>
      </c>
      <c r="H79" s="345">
        <f aca="true" t="shared" si="6" ref="H79:O79">SUM(H19:H57)</f>
        <v>4395772</v>
      </c>
      <c r="I79" s="345">
        <f t="shared" si="6"/>
        <v>5228019</v>
      </c>
      <c r="J79" s="345">
        <f t="shared" si="6"/>
        <v>5731954</v>
      </c>
      <c r="K79" s="345">
        <f t="shared" si="6"/>
        <v>4427700</v>
      </c>
      <c r="L79" s="345">
        <f t="shared" si="6"/>
        <v>3559346</v>
      </c>
      <c r="M79" s="345">
        <f t="shared" si="6"/>
        <v>6180627</v>
      </c>
      <c r="N79" s="345">
        <f t="shared" si="6"/>
        <v>5448128</v>
      </c>
      <c r="O79" s="345">
        <f t="shared" si="6"/>
        <v>5112832</v>
      </c>
      <c r="P79" s="345">
        <f>SUM(P19:P57)</f>
        <v>6052719</v>
      </c>
      <c r="Q79" s="345">
        <f>SUM(Q19:Q55)</f>
        <v>4918721.6</v>
      </c>
    </row>
    <row r="80" spans="1:17" ht="15.75" thickBot="1">
      <c r="A80" s="12"/>
      <c r="B80" s="213" t="s">
        <v>32</v>
      </c>
      <c r="C80" s="349"/>
      <c r="D80" s="298">
        <f aca="true" t="shared" si="7" ref="D80:J80">SUM(D78:D79)</f>
        <v>4385692</v>
      </c>
      <c r="E80" s="343">
        <f t="shared" si="7"/>
        <v>4343016</v>
      </c>
      <c r="F80" s="343">
        <f t="shared" si="7"/>
        <v>3741375</v>
      </c>
      <c r="G80" s="343">
        <f t="shared" si="7"/>
        <v>2904943</v>
      </c>
      <c r="H80" s="343">
        <f t="shared" si="7"/>
        <v>4533772</v>
      </c>
      <c r="I80" s="343">
        <f t="shared" si="7"/>
        <v>5754988</v>
      </c>
      <c r="J80" s="343">
        <f t="shared" si="7"/>
        <v>5876519</v>
      </c>
      <c r="K80" s="343">
        <f aca="true" t="shared" si="8" ref="K80:Q80">SUM(K78:K79)</f>
        <v>4794820</v>
      </c>
      <c r="L80" s="343">
        <f t="shared" si="8"/>
        <v>4009301</v>
      </c>
      <c r="M80" s="343">
        <f t="shared" si="8"/>
        <v>6481269</v>
      </c>
      <c r="N80" s="298">
        <f t="shared" si="8"/>
        <v>5570676</v>
      </c>
      <c r="O80" s="298">
        <f t="shared" si="8"/>
        <v>5293877</v>
      </c>
      <c r="P80" s="298">
        <f t="shared" si="8"/>
        <v>6269210</v>
      </c>
      <c r="Q80" s="298">
        <f t="shared" si="8"/>
        <v>5202983.6</v>
      </c>
    </row>
    <row r="81" spans="1:17" ht="15.75" thickTop="1">
      <c r="A81" s="12"/>
      <c r="B81" s="376" t="s">
        <v>119</v>
      </c>
      <c r="C81" s="374"/>
      <c r="D81" s="375">
        <v>4814295</v>
      </c>
      <c r="E81" s="375">
        <v>4979139</v>
      </c>
      <c r="F81" s="375">
        <v>4540086</v>
      </c>
      <c r="G81" s="375">
        <v>3958421</v>
      </c>
      <c r="H81" s="375">
        <v>4904954</v>
      </c>
      <c r="I81" s="375">
        <v>5855399</v>
      </c>
      <c r="J81" s="375">
        <v>6188980</v>
      </c>
      <c r="K81" s="378">
        <v>4903218</v>
      </c>
      <c r="L81" s="375">
        <v>4067091</v>
      </c>
      <c r="M81" s="375">
        <v>6538183</v>
      </c>
      <c r="N81" s="375"/>
      <c r="O81" s="375"/>
      <c r="P81" s="375"/>
      <c r="Q81" s="428"/>
    </row>
    <row r="82" spans="1:17" ht="15.75" thickBot="1">
      <c r="A82" s="12"/>
      <c r="B82" s="219" t="s">
        <v>33</v>
      </c>
      <c r="C82" s="350"/>
      <c r="D82" s="344">
        <f>D80/D81</f>
        <v>0.9109728423372477</v>
      </c>
      <c r="E82" s="344">
        <f aca="true" t="shared" si="9" ref="E82:M82">E80/E81</f>
        <v>0.8722423696145056</v>
      </c>
      <c r="F82" s="344">
        <f t="shared" si="9"/>
        <v>0.8240757994452087</v>
      </c>
      <c r="G82" s="344">
        <f t="shared" si="9"/>
        <v>0.7338640836838729</v>
      </c>
      <c r="H82" s="409">
        <f t="shared" si="9"/>
        <v>0.9243250803167573</v>
      </c>
      <c r="I82" s="409">
        <f t="shared" si="9"/>
        <v>0.9828515529001525</v>
      </c>
      <c r="J82" s="409">
        <f t="shared" si="9"/>
        <v>0.9495133285290953</v>
      </c>
      <c r="K82" s="483">
        <f t="shared" si="9"/>
        <v>0.9778924779603926</v>
      </c>
      <c r="L82" s="483">
        <f t="shared" si="9"/>
        <v>0.9857908269079791</v>
      </c>
      <c r="M82" s="483">
        <f t="shared" si="9"/>
        <v>0.9912951350551062</v>
      </c>
      <c r="N82" s="483">
        <f>N80/N75</f>
        <v>0.991223487544484</v>
      </c>
      <c r="O82" s="483">
        <f>O80/O75</f>
        <v>0.9839920074349442</v>
      </c>
      <c r="P82" s="409">
        <f>P80/P75</f>
        <v>0.9885428115051239</v>
      </c>
      <c r="Q82" s="483">
        <f>Q80/Q75</f>
        <v>0.9821057985158772</v>
      </c>
    </row>
    <row r="83" spans="1:17" ht="15">
      <c r="A83" s="12"/>
      <c r="B83" s="540" t="s">
        <v>46</v>
      </c>
      <c r="C83" s="541"/>
      <c r="D83" s="541"/>
      <c r="E83" s="541"/>
      <c r="F83" s="541"/>
      <c r="G83" s="541"/>
      <c r="H83" s="541"/>
      <c r="I83" s="541"/>
      <c r="J83" s="541"/>
      <c r="K83" s="541"/>
      <c r="L83" s="541"/>
      <c r="M83" s="541"/>
      <c r="N83" s="150"/>
      <c r="O83" s="150"/>
      <c r="P83" s="150"/>
      <c r="Q83" s="485"/>
    </row>
    <row r="84" spans="1:17" ht="15" customHeight="1">
      <c r="A84" s="12"/>
      <c r="B84" s="542" t="s">
        <v>47</v>
      </c>
      <c r="C84" s="543"/>
      <c r="D84" s="543"/>
      <c r="E84" s="543"/>
      <c r="F84" s="543"/>
      <c r="G84" s="543"/>
      <c r="H84" s="543"/>
      <c r="I84" s="543"/>
      <c r="J84" s="543"/>
      <c r="K84" s="543"/>
      <c r="L84" s="543"/>
      <c r="M84" s="543"/>
      <c r="N84" s="24"/>
      <c r="O84" s="24"/>
      <c r="P84" s="24"/>
      <c r="Q84" s="428"/>
    </row>
    <row r="85" spans="1:17" ht="15.75" customHeight="1" thickBot="1">
      <c r="A85" s="12"/>
      <c r="B85" s="544" t="s">
        <v>48</v>
      </c>
      <c r="C85" s="545"/>
      <c r="D85" s="545"/>
      <c r="E85" s="545"/>
      <c r="F85" s="545"/>
      <c r="G85" s="545"/>
      <c r="H85" s="545"/>
      <c r="I85" s="545"/>
      <c r="J85" s="545"/>
      <c r="K85" s="545"/>
      <c r="L85" s="545"/>
      <c r="M85" s="545"/>
      <c r="N85" s="151"/>
      <c r="O85" s="151"/>
      <c r="P85" s="151"/>
      <c r="Q85" s="430"/>
    </row>
    <row r="86" ht="12" hidden="1"/>
    <row r="87" spans="2:11" ht="12.75" hidden="1">
      <c r="B87" s="2" t="s">
        <v>89</v>
      </c>
      <c r="D87" s="141">
        <f aca="true" t="shared" si="10" ref="D87:J87">SUM(D48:D62)/D75</f>
        <v>0.0386534637577811</v>
      </c>
      <c r="E87" s="141">
        <f t="shared" si="10"/>
        <v>0.015910309356832793</v>
      </c>
      <c r="F87" s="141">
        <f t="shared" si="10"/>
        <v>0.015513066262423835</v>
      </c>
      <c r="G87" s="141">
        <f t="shared" si="10"/>
        <v>0.029993116833865584</v>
      </c>
      <c r="H87" s="141">
        <f t="shared" si="10"/>
        <v>0.03130267281583986</v>
      </c>
      <c r="I87" s="141">
        <f t="shared" si="10"/>
        <v>0.03245368606869366</v>
      </c>
      <c r="J87" s="141">
        <f t="shared" si="10"/>
        <v>0.03505475188693769</v>
      </c>
      <c r="K87" s="138">
        <f>1-K82</f>
        <v>0.02210752203960742</v>
      </c>
    </row>
    <row r="88" ht="12" hidden="1"/>
    <row r="89" spans="9:10" ht="12" hidden="1">
      <c r="I89" s="2" t="s">
        <v>90</v>
      </c>
      <c r="J89" s="142">
        <f>SUM(AVERAGE(D87:J87))</f>
        <v>0.02841158099748207</v>
      </c>
    </row>
    <row r="90" spans="12:15" ht="12">
      <c r="L90" s="305"/>
      <c r="M90" s="305"/>
      <c r="N90" s="305"/>
      <c r="O90" s="305"/>
    </row>
    <row r="92" spans="7:18" ht="12">
      <c r="G92" s="446">
        <f aca="true" t="shared" si="11" ref="G92:N92">SUM(G58:G62)/G73</f>
        <v>0.011838440111420613</v>
      </c>
      <c r="H92" s="446">
        <f t="shared" si="11"/>
        <v>0.01626547824420165</v>
      </c>
      <c r="I92" s="446">
        <f t="shared" si="11"/>
        <v>0.016267932557464778</v>
      </c>
      <c r="J92" s="446">
        <f t="shared" si="11"/>
        <v>0.019827064220183488</v>
      </c>
      <c r="K92" s="446">
        <f t="shared" si="11"/>
        <v>0.02126034482758621</v>
      </c>
      <c r="L92" s="446">
        <f t="shared" si="11"/>
        <v>0.014393135011441648</v>
      </c>
      <c r="M92" s="446">
        <f t="shared" si="11"/>
        <v>0.007816917728852839</v>
      </c>
      <c r="N92" s="446">
        <f t="shared" si="11"/>
        <v>0.007928308207705192</v>
      </c>
      <c r="O92" s="446">
        <f>SUM(O58:O62)/O73</f>
        <v>0.0202565445026178</v>
      </c>
      <c r="P92" s="479">
        <f>P73*Q92</f>
        <v>93556.65786656736</v>
      </c>
      <c r="Q92" s="446">
        <f>SUM(Q58:Q62)/Q73</f>
        <v>0.013876959636802157</v>
      </c>
      <c r="R92" s="142">
        <f>AVERAGE(K92:O92)</f>
        <v>0.014331050055640737</v>
      </c>
    </row>
    <row r="94" spans="8:17" ht="12">
      <c r="H94" s="460">
        <f aca="true" t="shared" si="12" ref="H94:N94">H16/H73</f>
        <v>0.02645198389879241</v>
      </c>
      <c r="I94" s="460">
        <f t="shared" si="12"/>
        <v>0.0342580353976595</v>
      </c>
      <c r="J94" s="460">
        <f t="shared" si="12"/>
        <v>0.02210474006116208</v>
      </c>
      <c r="K94" s="460">
        <f t="shared" si="12"/>
        <v>0.07032950191570882</v>
      </c>
      <c r="L94" s="460">
        <f t="shared" si="12"/>
        <v>0.10296453089244852</v>
      </c>
      <c r="M94" s="460">
        <f t="shared" si="12"/>
        <v>0.04354606025492468</v>
      </c>
      <c r="N94" s="460">
        <f t="shared" si="12"/>
        <v>0.020527303182579563</v>
      </c>
      <c r="O94" s="460">
        <f>O16/O73</f>
        <v>0.03159598603839441</v>
      </c>
      <c r="P94" s="460">
        <f>P16/P73</f>
        <v>0.03211141715874082</v>
      </c>
      <c r="Q94" s="460">
        <f>Q16/Q73</f>
        <v>0.0504117897424984</v>
      </c>
    </row>
    <row r="96" spans="14:16" ht="12">
      <c r="N96" s="377"/>
      <c r="O96" s="377"/>
      <c r="P96" s="479">
        <f>P80+P92</f>
        <v>6362766.657866567</v>
      </c>
    </row>
  </sheetData>
  <sheetProtection/>
  <mergeCells count="4">
    <mergeCell ref="B83:M83"/>
    <mergeCell ref="B84:M84"/>
    <mergeCell ref="B85:M85"/>
    <mergeCell ref="B2:Q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showGridLines="0" zoomScale="80" zoomScaleNormal="80" workbookViewId="0" topLeftCell="A1">
      <pane xSplit="3" ySplit="3" topLeftCell="I4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67" sqref="Q67:Q68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4" width="17.28125" style="4" hidden="1" customWidth="1"/>
    <col min="5" max="5" width="15.140625" style="4" hidden="1" customWidth="1"/>
    <col min="6" max="6" width="15.421875" style="4" hidden="1" customWidth="1"/>
    <col min="7" max="7" width="15.8515625" style="2" hidden="1" customWidth="1"/>
    <col min="8" max="8" width="15.140625" style="2" customWidth="1"/>
    <col min="9" max="9" width="15.8515625" style="2" bestFit="1" customWidth="1"/>
    <col min="10" max="10" width="15.7109375" style="2" customWidth="1"/>
    <col min="11" max="11" width="14.8515625" style="2" bestFit="1" customWidth="1"/>
    <col min="12" max="12" width="16.28125" style="2" customWidth="1"/>
    <col min="13" max="15" width="15.00390625" style="2" customWidth="1"/>
    <col min="16" max="16" width="15.8515625" style="2" customWidth="1"/>
    <col min="17" max="17" width="11.00390625" style="2" customWidth="1"/>
    <col min="18" max="16384" width="9.140625" style="2" customWidth="1"/>
  </cols>
  <sheetData>
    <row r="1" spans="1:11" ht="12.75" thickBot="1">
      <c r="A1" s="12"/>
      <c r="B1" s="12"/>
      <c r="C1" s="14"/>
      <c r="D1" s="14"/>
      <c r="E1" s="14"/>
      <c r="F1" s="14"/>
      <c r="G1" s="12"/>
      <c r="H1" s="12"/>
      <c r="I1" s="12"/>
      <c r="J1" s="12"/>
      <c r="K1" s="12"/>
    </row>
    <row r="2" spans="1:16" ht="23.25" thickBot="1">
      <c r="A2" s="12"/>
      <c r="B2" s="537" t="s">
        <v>64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9"/>
    </row>
    <row r="3" spans="1:17" s="1" customFormat="1" ht="18" thickBot="1">
      <c r="A3" s="16"/>
      <c r="B3" s="246" t="s">
        <v>19</v>
      </c>
      <c r="C3" s="218" t="s">
        <v>0</v>
      </c>
      <c r="D3" s="289" t="s">
        <v>29</v>
      </c>
      <c r="E3" s="244" t="s">
        <v>30</v>
      </c>
      <c r="F3" s="289" t="s">
        <v>31</v>
      </c>
      <c r="G3" s="244" t="s">
        <v>28</v>
      </c>
      <c r="H3" s="260" t="s">
        <v>34</v>
      </c>
      <c r="I3" s="261" t="s">
        <v>61</v>
      </c>
      <c r="J3" s="260" t="s">
        <v>80</v>
      </c>
      <c r="K3" s="260" t="s">
        <v>81</v>
      </c>
      <c r="L3" s="260" t="s">
        <v>91</v>
      </c>
      <c r="M3" s="260" t="s">
        <v>95</v>
      </c>
      <c r="N3" s="395" t="s">
        <v>111</v>
      </c>
      <c r="O3" s="395" t="s">
        <v>128</v>
      </c>
      <c r="P3" s="334" t="s">
        <v>130</v>
      </c>
      <c r="Q3" s="412"/>
    </row>
    <row r="4" spans="1:16" ht="15">
      <c r="A4" s="12"/>
      <c r="B4" s="146">
        <v>44</v>
      </c>
      <c r="C4" s="455">
        <f>'Mielies-Maize'!C6</f>
        <v>43896</v>
      </c>
      <c r="D4" s="251">
        <v>152000</v>
      </c>
      <c r="E4" s="145">
        <v>12000</v>
      </c>
      <c r="F4" s="241">
        <v>15000</v>
      </c>
      <c r="G4" s="242">
        <v>14000</v>
      </c>
      <c r="H4" s="241">
        <v>48477</v>
      </c>
      <c r="I4" s="234">
        <v>56253</v>
      </c>
      <c r="J4" s="226">
        <v>91654</v>
      </c>
      <c r="K4" s="293">
        <v>89529</v>
      </c>
      <c r="L4" s="293">
        <v>12553</v>
      </c>
      <c r="M4" s="293">
        <v>3373</v>
      </c>
      <c r="N4" s="431">
        <v>2432</v>
      </c>
      <c r="O4" s="453">
        <v>11378</v>
      </c>
      <c r="P4" s="453">
        <f>'Mielies-Maize'!N6</f>
        <v>13109</v>
      </c>
    </row>
    <row r="5" spans="1:16" s="1" customFormat="1" ht="15">
      <c r="A5" s="16"/>
      <c r="B5" s="34">
        <v>45</v>
      </c>
      <c r="C5" s="455">
        <f>'Mielies-Maize'!C7</f>
        <v>43903</v>
      </c>
      <c r="D5" s="252">
        <v>22000</v>
      </c>
      <c r="E5" s="18">
        <v>20000</v>
      </c>
      <c r="F5" s="204">
        <v>44000</v>
      </c>
      <c r="G5" s="410">
        <v>27000</v>
      </c>
      <c r="H5" s="411">
        <v>53181</v>
      </c>
      <c r="I5" s="234">
        <v>17466</v>
      </c>
      <c r="J5" s="226">
        <v>28346</v>
      </c>
      <c r="K5" s="293">
        <v>29898</v>
      </c>
      <c r="L5" s="293">
        <v>36209</v>
      </c>
      <c r="M5" s="293">
        <v>13326</v>
      </c>
      <c r="N5" s="407">
        <v>11378</v>
      </c>
      <c r="O5" s="391">
        <v>6612</v>
      </c>
      <c r="P5" s="391">
        <f>'Mielies-Maize'!N7</f>
        <v>11130</v>
      </c>
    </row>
    <row r="6" spans="1:16" s="1" customFormat="1" ht="15">
      <c r="A6" s="16"/>
      <c r="B6" s="34">
        <v>46</v>
      </c>
      <c r="C6" s="455">
        <f>'Mielies-Maize'!C8</f>
        <v>43910</v>
      </c>
      <c r="D6" s="252">
        <v>39000</v>
      </c>
      <c r="E6" s="18">
        <v>61000</v>
      </c>
      <c r="F6" s="204">
        <v>12000</v>
      </c>
      <c r="G6" s="410">
        <v>42000</v>
      </c>
      <c r="H6" s="411">
        <v>58073</v>
      </c>
      <c r="I6" s="234">
        <v>16832</v>
      </c>
      <c r="J6" s="226">
        <v>36727</v>
      </c>
      <c r="K6" s="293">
        <v>44640</v>
      </c>
      <c r="L6" s="293">
        <v>77684</v>
      </c>
      <c r="M6" s="293">
        <v>17827</v>
      </c>
      <c r="N6" s="407">
        <v>6612</v>
      </c>
      <c r="O6" s="391">
        <v>9472</v>
      </c>
      <c r="P6" s="391">
        <f>'Mielies-Maize'!N8</f>
        <v>15766</v>
      </c>
    </row>
    <row r="7" spans="1:16" s="1" customFormat="1" ht="15">
      <c r="A7" s="16"/>
      <c r="B7" s="34">
        <v>47</v>
      </c>
      <c r="C7" s="455">
        <f>'Mielies-Maize'!C9</f>
        <v>43917</v>
      </c>
      <c r="D7" s="252">
        <v>28000</v>
      </c>
      <c r="E7" s="18">
        <v>27000</v>
      </c>
      <c r="F7" s="204">
        <v>13000</v>
      </c>
      <c r="G7" s="410">
        <v>40000</v>
      </c>
      <c r="H7" s="411">
        <v>92058</v>
      </c>
      <c r="I7" s="234">
        <v>30836</v>
      </c>
      <c r="J7" s="226">
        <v>34682</v>
      </c>
      <c r="K7" s="293">
        <v>38794</v>
      </c>
      <c r="L7" s="293">
        <v>76354</v>
      </c>
      <c r="M7" s="293">
        <v>8388</v>
      </c>
      <c r="N7" s="407">
        <v>9472</v>
      </c>
      <c r="O7" s="391">
        <v>68505</v>
      </c>
      <c r="P7" s="391">
        <f>'Mielies-Maize'!N9</f>
        <v>90262</v>
      </c>
    </row>
    <row r="8" spans="1:16" s="1" customFormat="1" ht="15">
      <c r="A8" s="16"/>
      <c r="B8" s="34">
        <v>48</v>
      </c>
      <c r="C8" s="455">
        <f>'Mielies-Maize'!C10</f>
        <v>43924</v>
      </c>
      <c r="D8" s="252">
        <v>28000</v>
      </c>
      <c r="E8" s="18">
        <v>24000</v>
      </c>
      <c r="F8" s="204">
        <v>15000</v>
      </c>
      <c r="G8" s="410">
        <v>52000</v>
      </c>
      <c r="H8" s="411">
        <v>44272</v>
      </c>
      <c r="I8" s="234">
        <v>87845</v>
      </c>
      <c r="J8" s="226">
        <v>100063</v>
      </c>
      <c r="K8" s="293">
        <v>134526</v>
      </c>
      <c r="L8" s="293">
        <v>174620</v>
      </c>
      <c r="M8" s="293">
        <v>58012</v>
      </c>
      <c r="N8" s="407">
        <v>69380</v>
      </c>
      <c r="O8" s="391">
        <v>26306</v>
      </c>
      <c r="P8" s="391">
        <f>'Mielies-Maize'!N10</f>
        <v>8695</v>
      </c>
    </row>
    <row r="9" spans="1:16" s="1" customFormat="1" ht="15">
      <c r="A9" s="16"/>
      <c r="B9" s="34">
        <v>49</v>
      </c>
      <c r="C9" s="455"/>
      <c r="D9" s="252">
        <v>-9000</v>
      </c>
      <c r="E9" s="18">
        <v>21000</v>
      </c>
      <c r="F9" s="204">
        <v>14000</v>
      </c>
      <c r="G9" s="410">
        <v>35000</v>
      </c>
      <c r="H9" s="411">
        <v>40598</v>
      </c>
      <c r="I9" s="234">
        <v>34657</v>
      </c>
      <c r="J9" s="226">
        <v>27403</v>
      </c>
      <c r="K9" s="293">
        <v>22890</v>
      </c>
      <c r="L9" s="293">
        <v>90941</v>
      </c>
      <c r="M9" s="293">
        <v>7089</v>
      </c>
      <c r="N9" s="407">
        <v>26306</v>
      </c>
      <c r="O9" s="391">
        <v>28409</v>
      </c>
      <c r="P9" s="391">
        <f>'Mielies-Maize'!N11</f>
        <v>24096</v>
      </c>
    </row>
    <row r="10" spans="1:16" ht="15">
      <c r="A10" s="12"/>
      <c r="B10" s="34">
        <v>50</v>
      </c>
      <c r="C10" s="455"/>
      <c r="D10" s="252">
        <v>48000</v>
      </c>
      <c r="E10" s="18">
        <v>34000</v>
      </c>
      <c r="F10" s="204">
        <v>37500</v>
      </c>
      <c r="G10" s="410">
        <v>93000</v>
      </c>
      <c r="H10" s="411">
        <v>94097</v>
      </c>
      <c r="I10" s="234">
        <v>51986</v>
      </c>
      <c r="J10" s="226">
        <v>33877</v>
      </c>
      <c r="K10" s="293">
        <v>70188</v>
      </c>
      <c r="L10" s="293">
        <v>46810</v>
      </c>
      <c r="M10" s="293">
        <v>17603</v>
      </c>
      <c r="N10" s="407">
        <v>28409</v>
      </c>
      <c r="O10" s="391">
        <v>34340</v>
      </c>
      <c r="P10" s="391">
        <f>'Mielies-Maize'!N12</f>
        <v>24917</v>
      </c>
    </row>
    <row r="11" spans="1:16" ht="15">
      <c r="A11" s="12"/>
      <c r="B11" s="34">
        <v>51</v>
      </c>
      <c r="C11" s="455"/>
      <c r="D11" s="252">
        <v>62000</v>
      </c>
      <c r="E11" s="18">
        <v>-5000</v>
      </c>
      <c r="F11" s="204">
        <v>29000</v>
      </c>
      <c r="G11" s="410">
        <v>144000</v>
      </c>
      <c r="H11" s="411">
        <v>181300</v>
      </c>
      <c r="I11" s="234">
        <v>47621</v>
      </c>
      <c r="J11" s="226">
        <v>72371</v>
      </c>
      <c r="K11" s="293">
        <v>95688</v>
      </c>
      <c r="L11" s="293">
        <v>89128</v>
      </c>
      <c r="M11" s="293">
        <v>22826</v>
      </c>
      <c r="N11" s="407">
        <v>34340</v>
      </c>
      <c r="O11" s="391">
        <v>42306</v>
      </c>
      <c r="P11" s="391">
        <f>'Mielies-Maize'!N13</f>
        <v>138907</v>
      </c>
    </row>
    <row r="12" spans="1:16" ht="15">
      <c r="A12" s="12"/>
      <c r="B12" s="147">
        <v>52</v>
      </c>
      <c r="C12" s="455"/>
      <c r="D12" s="253" t="s">
        <v>62</v>
      </c>
      <c r="E12" s="144">
        <v>55000</v>
      </c>
      <c r="F12" s="205">
        <v>10500</v>
      </c>
      <c r="G12" s="413">
        <v>92000</v>
      </c>
      <c r="H12" s="414">
        <v>349127</v>
      </c>
      <c r="I12" s="415">
        <v>209597</v>
      </c>
      <c r="J12" s="416">
        <v>76631</v>
      </c>
      <c r="K12" s="292">
        <v>98505</v>
      </c>
      <c r="L12" s="292">
        <v>129651</v>
      </c>
      <c r="M12" s="292">
        <v>24557</v>
      </c>
      <c r="N12" s="408">
        <v>77875</v>
      </c>
      <c r="O12" s="454">
        <v>0</v>
      </c>
      <c r="P12" s="454">
        <f>'Mielies-Maize'!N14</f>
        <v>0</v>
      </c>
    </row>
    <row r="13" spans="1:16" ht="14.25">
      <c r="A13" s="12"/>
      <c r="B13" s="274" t="s">
        <v>125</v>
      </c>
      <c r="C13" s="160"/>
      <c r="D13" s="19"/>
      <c r="E13" s="19"/>
      <c r="F13" s="19"/>
      <c r="G13" s="19"/>
      <c r="H13" s="19"/>
      <c r="I13" s="19"/>
      <c r="J13" s="19"/>
      <c r="K13" s="19"/>
      <c r="L13" s="19">
        <v>82997</v>
      </c>
      <c r="M13" s="19">
        <f>'Mielies-Maize'!P15</f>
        <v>0</v>
      </c>
      <c r="N13" s="19">
        <f>'Mielies-Maize'!Q15</f>
        <v>0</v>
      </c>
      <c r="O13" s="19">
        <v>0</v>
      </c>
      <c r="P13" s="387">
        <f>'Mielies-Maize'!R15</f>
        <v>0</v>
      </c>
    </row>
    <row r="14" spans="1:17" ht="12">
      <c r="A14" s="12"/>
      <c r="B14" s="274" t="s">
        <v>126</v>
      </c>
      <c r="C14" s="143"/>
      <c r="D14" s="123">
        <v>183432</v>
      </c>
      <c r="E14" s="123">
        <v>125545</v>
      </c>
      <c r="F14" s="123">
        <f>SUM(F4:F8)</f>
        <v>99000</v>
      </c>
      <c r="G14" s="123">
        <v>89240</v>
      </c>
      <c r="H14" s="123">
        <v>187361</v>
      </c>
      <c r="I14" s="122">
        <v>281531</v>
      </c>
      <c r="J14" s="123">
        <v>153045</v>
      </c>
      <c r="K14" s="123">
        <v>197697</v>
      </c>
      <c r="L14" s="123">
        <v>249761</v>
      </c>
      <c r="M14" s="123">
        <f>'Summary -White maize'!L14+'Summary -Yellow maize'!M14</f>
        <v>384702</v>
      </c>
      <c r="N14" s="123">
        <f>'Summary -White maize'!M14+'Summary -Yellow maize'!N14</f>
        <v>103393</v>
      </c>
      <c r="O14" s="123">
        <v>99506</v>
      </c>
      <c r="P14" s="388">
        <f>'Summary -White maize'!O14+'Summary -Yellow maize'!P14</f>
        <v>130740</v>
      </c>
      <c r="Q14" s="377">
        <f>AVERAGE(K14:O14)</f>
        <v>207011.8</v>
      </c>
    </row>
    <row r="15" spans="1:17" ht="12">
      <c r="A15" s="12"/>
      <c r="B15" s="274" t="s">
        <v>127</v>
      </c>
      <c r="C15" s="143"/>
      <c r="D15" s="123">
        <v>485601</v>
      </c>
      <c r="E15" s="123">
        <v>226174</v>
      </c>
      <c r="F15" s="123">
        <f>SUM(F9)</f>
        <v>14000</v>
      </c>
      <c r="G15" s="123">
        <f aca="true" t="shared" si="0" ref="G15:N15">SUM(G9)</f>
        <v>35000</v>
      </c>
      <c r="H15" s="123">
        <f t="shared" si="0"/>
        <v>40598</v>
      </c>
      <c r="I15" s="123">
        <f t="shared" si="0"/>
        <v>34657</v>
      </c>
      <c r="J15" s="123">
        <f t="shared" si="0"/>
        <v>27403</v>
      </c>
      <c r="K15" s="123">
        <f t="shared" si="0"/>
        <v>22890</v>
      </c>
      <c r="L15" s="123">
        <f t="shared" si="0"/>
        <v>90941</v>
      </c>
      <c r="M15" s="123">
        <f t="shared" si="0"/>
        <v>7089</v>
      </c>
      <c r="N15" s="123">
        <f t="shared" si="0"/>
        <v>26306</v>
      </c>
      <c r="O15" s="123">
        <v>167437</v>
      </c>
      <c r="P15" s="388">
        <f>'Summary -White maize'!O15+'Summary -Yellow maize'!P15</f>
        <v>216992</v>
      </c>
      <c r="Q15" s="377">
        <f>AVERAGE(K15:O15)</f>
        <v>62932.6</v>
      </c>
    </row>
    <row r="16" spans="1:17" ht="15">
      <c r="A16" s="12"/>
      <c r="B16" s="198" t="s">
        <v>44</v>
      </c>
      <c r="C16" s="256"/>
      <c r="D16" s="290">
        <f aca="true" t="shared" si="1" ref="D16:J16">SUM(D14:D15)</f>
        <v>669033</v>
      </c>
      <c r="E16" s="290">
        <f t="shared" si="1"/>
        <v>351719</v>
      </c>
      <c r="F16" s="290">
        <f t="shared" si="1"/>
        <v>113000</v>
      </c>
      <c r="G16" s="290">
        <f t="shared" si="1"/>
        <v>124240</v>
      </c>
      <c r="H16" s="290">
        <f t="shared" si="1"/>
        <v>227959</v>
      </c>
      <c r="I16" s="290">
        <f t="shared" si="1"/>
        <v>316188</v>
      </c>
      <c r="J16" s="290">
        <f t="shared" si="1"/>
        <v>180448</v>
      </c>
      <c r="K16" s="290">
        <v>541956</v>
      </c>
      <c r="L16" s="290">
        <f>L13+L14+L15</f>
        <v>423699</v>
      </c>
      <c r="M16" s="290">
        <f>M13+M14+M15</f>
        <v>391791</v>
      </c>
      <c r="N16" s="390">
        <f>N13+N14+N15</f>
        <v>129699</v>
      </c>
      <c r="O16" s="390">
        <v>266943</v>
      </c>
      <c r="P16" s="456">
        <f>P13+P14+P15</f>
        <v>347732</v>
      </c>
      <c r="Q16" s="377">
        <f>SUM(Q14:Q15)</f>
        <v>269944.39999999997</v>
      </c>
    </row>
    <row r="17" spans="1:17" ht="18" thickBot="1">
      <c r="A17" s="12"/>
      <c r="B17" s="215" t="s">
        <v>19</v>
      </c>
      <c r="C17" s="197" t="s">
        <v>0</v>
      </c>
      <c r="D17" s="199" t="s">
        <v>29</v>
      </c>
      <c r="E17" s="196" t="s">
        <v>30</v>
      </c>
      <c r="F17" s="200" t="s">
        <v>31</v>
      </c>
      <c r="G17" s="196" t="str">
        <f>G3</f>
        <v>2011/12</v>
      </c>
      <c r="H17" s="199" t="str">
        <f>H3</f>
        <v>2012/13</v>
      </c>
      <c r="I17" s="196" t="str">
        <f>I3</f>
        <v>2013/14</v>
      </c>
      <c r="J17" s="263" t="s">
        <v>80</v>
      </c>
      <c r="K17" s="263" t="s">
        <v>81</v>
      </c>
      <c r="L17" s="263" t="s">
        <v>91</v>
      </c>
      <c r="M17" s="263" t="s">
        <v>95</v>
      </c>
      <c r="N17" s="199" t="s">
        <v>111</v>
      </c>
      <c r="O17" s="395" t="s">
        <v>128</v>
      </c>
      <c r="P17" s="334" t="s">
        <v>130</v>
      </c>
      <c r="Q17" s="244" t="s">
        <v>122</v>
      </c>
    </row>
    <row r="18" spans="1:17" ht="15">
      <c r="A18" s="12"/>
      <c r="B18" s="120" t="s">
        <v>77</v>
      </c>
      <c r="C18" s="78" t="s">
        <v>79</v>
      </c>
      <c r="D18" s="20">
        <f aca="true" t="shared" si="2" ref="D18:M18">D16</f>
        <v>669033</v>
      </c>
      <c r="E18" s="42">
        <f t="shared" si="2"/>
        <v>351719</v>
      </c>
      <c r="F18" s="20">
        <f t="shared" si="2"/>
        <v>113000</v>
      </c>
      <c r="G18" s="42">
        <f t="shared" si="2"/>
        <v>124240</v>
      </c>
      <c r="H18" s="42">
        <f t="shared" si="2"/>
        <v>227959</v>
      </c>
      <c r="I18" s="42">
        <f t="shared" si="2"/>
        <v>316188</v>
      </c>
      <c r="J18" s="42">
        <f t="shared" si="2"/>
        <v>180448</v>
      </c>
      <c r="K18" s="42">
        <f t="shared" si="2"/>
        <v>541956</v>
      </c>
      <c r="L18" s="42">
        <f t="shared" si="2"/>
        <v>423699</v>
      </c>
      <c r="M18" s="42">
        <f t="shared" si="2"/>
        <v>391791</v>
      </c>
      <c r="N18" s="42">
        <f>N16</f>
        <v>129699</v>
      </c>
      <c r="O18" s="42">
        <v>266943</v>
      </c>
      <c r="P18" s="405">
        <f>P16</f>
        <v>347732</v>
      </c>
      <c r="Q18" s="377">
        <f>Q16</f>
        <v>269944.39999999997</v>
      </c>
    </row>
    <row r="19" spans="1:17" ht="15">
      <c r="A19" s="12"/>
      <c r="B19" s="34">
        <v>1</v>
      </c>
      <c r="C19" s="206" t="s">
        <v>131</v>
      </c>
      <c r="D19" s="18">
        <v>183000</v>
      </c>
      <c r="E19" s="39">
        <v>114000</v>
      </c>
      <c r="F19" s="19">
        <v>63000</v>
      </c>
      <c r="G19" s="38">
        <v>26000</v>
      </c>
      <c r="H19" s="27">
        <v>178088</v>
      </c>
      <c r="I19" s="234">
        <v>240174</v>
      </c>
      <c r="J19" s="226">
        <v>85572</v>
      </c>
      <c r="K19" s="293">
        <v>23074</v>
      </c>
      <c r="L19" s="293">
        <v>156766</v>
      </c>
      <c r="M19" s="293">
        <v>168068</v>
      </c>
      <c r="N19" s="293">
        <v>34325</v>
      </c>
      <c r="O19" s="293">
        <v>35696</v>
      </c>
      <c r="P19" s="400">
        <f>'Mielies-Maize'!N19</f>
        <v>6244</v>
      </c>
      <c r="Q19" s="377">
        <f>AVERAGE(K19:O19)</f>
        <v>83585.8</v>
      </c>
    </row>
    <row r="20" spans="1:17" ht="15">
      <c r="A20" s="12"/>
      <c r="B20" s="34">
        <v>2</v>
      </c>
      <c r="C20" s="206" t="s">
        <v>132</v>
      </c>
      <c r="D20" s="18">
        <v>372000</v>
      </c>
      <c r="E20" s="39">
        <v>176000</v>
      </c>
      <c r="F20" s="19">
        <v>184000</v>
      </c>
      <c r="G20" s="38">
        <v>45000</v>
      </c>
      <c r="H20" s="27">
        <v>408805</v>
      </c>
      <c r="I20" s="234">
        <v>473735</v>
      </c>
      <c r="J20" s="226">
        <v>167878</v>
      </c>
      <c r="K20" s="293">
        <v>214667</v>
      </c>
      <c r="L20" s="293">
        <v>234124</v>
      </c>
      <c r="M20" s="293">
        <v>341357</v>
      </c>
      <c r="N20" s="293">
        <v>126775</v>
      </c>
      <c r="O20" s="293">
        <v>89636</v>
      </c>
      <c r="P20" s="400">
        <f>'Mielies-Maize'!N20</f>
        <v>91174</v>
      </c>
      <c r="Q20" s="377">
        <f aca="true" t="shared" si="3" ref="Q20:Q68">AVERAGE(K20:O20)</f>
        <v>201311.8</v>
      </c>
    </row>
    <row r="21" spans="1:17" ht="15">
      <c r="A21" s="12"/>
      <c r="B21" s="34">
        <v>3</v>
      </c>
      <c r="C21" s="206" t="s">
        <v>133</v>
      </c>
      <c r="D21" s="18">
        <v>590000</v>
      </c>
      <c r="E21" s="39">
        <v>340000</v>
      </c>
      <c r="F21" s="19">
        <v>214000</v>
      </c>
      <c r="G21" s="38">
        <v>65000</v>
      </c>
      <c r="H21" s="27">
        <v>564639</v>
      </c>
      <c r="I21" s="234">
        <v>420829</v>
      </c>
      <c r="J21" s="226">
        <v>356538</v>
      </c>
      <c r="K21" s="293">
        <v>352169</v>
      </c>
      <c r="L21" s="293">
        <v>185344</v>
      </c>
      <c r="M21" s="293">
        <v>317183</v>
      </c>
      <c r="N21" s="293">
        <v>144795</v>
      </c>
      <c r="O21" s="293">
        <v>217769</v>
      </c>
      <c r="P21" s="400">
        <f>'Mielies-Maize'!N21</f>
        <v>180919</v>
      </c>
      <c r="Q21" s="377">
        <f t="shared" si="3"/>
        <v>243452</v>
      </c>
    </row>
    <row r="22" spans="1:17" ht="15">
      <c r="A22" s="12"/>
      <c r="B22" s="34">
        <v>4</v>
      </c>
      <c r="C22" s="206" t="s">
        <v>134</v>
      </c>
      <c r="D22" s="18">
        <v>365000</v>
      </c>
      <c r="E22" s="39">
        <v>504000</v>
      </c>
      <c r="F22" s="19">
        <v>483000</v>
      </c>
      <c r="G22" s="38">
        <v>202000</v>
      </c>
      <c r="H22" s="27">
        <v>762180</v>
      </c>
      <c r="I22" s="234">
        <v>692760</v>
      </c>
      <c r="J22" s="226">
        <v>485417</v>
      </c>
      <c r="K22" s="293">
        <v>624450</v>
      </c>
      <c r="L22" s="293">
        <v>529960</v>
      </c>
      <c r="M22" s="293">
        <v>1582136</v>
      </c>
      <c r="N22" s="293">
        <v>627550</v>
      </c>
      <c r="O22" s="293">
        <v>408168</v>
      </c>
      <c r="P22" s="400">
        <f>'Mielies-Maize'!N22</f>
        <v>345775</v>
      </c>
      <c r="Q22" s="377">
        <f t="shared" si="3"/>
        <v>754452.8</v>
      </c>
    </row>
    <row r="23" spans="1:17" ht="15">
      <c r="A23" s="12"/>
      <c r="B23" s="34">
        <v>5</v>
      </c>
      <c r="C23" s="206" t="s">
        <v>135</v>
      </c>
      <c r="D23" s="18">
        <v>479000</v>
      </c>
      <c r="E23" s="39">
        <v>729000</v>
      </c>
      <c r="F23" s="19">
        <v>662000</v>
      </c>
      <c r="G23" s="38">
        <v>361000</v>
      </c>
      <c r="H23" s="27">
        <v>887960</v>
      </c>
      <c r="I23" s="234">
        <v>1075357</v>
      </c>
      <c r="J23" s="226">
        <v>859721</v>
      </c>
      <c r="K23" s="293">
        <v>928449</v>
      </c>
      <c r="L23" s="293">
        <v>353984</v>
      </c>
      <c r="M23" s="293">
        <v>873543</v>
      </c>
      <c r="N23" s="293">
        <v>46170</v>
      </c>
      <c r="O23" s="293">
        <v>686786</v>
      </c>
      <c r="P23" s="400">
        <f>'Mielies-Maize'!N23</f>
        <v>826399</v>
      </c>
      <c r="Q23" s="377">
        <f t="shared" si="3"/>
        <v>577786.4</v>
      </c>
    </row>
    <row r="24" spans="1:17" ht="15">
      <c r="A24" s="12"/>
      <c r="B24" s="34">
        <v>6</v>
      </c>
      <c r="C24" s="206" t="s">
        <v>136</v>
      </c>
      <c r="D24" s="18">
        <v>752000</v>
      </c>
      <c r="E24" s="39">
        <v>405000</v>
      </c>
      <c r="F24" s="19">
        <v>1038000</v>
      </c>
      <c r="G24" s="38">
        <v>344000</v>
      </c>
      <c r="H24" s="27">
        <v>902569</v>
      </c>
      <c r="I24" s="234">
        <v>961341</v>
      </c>
      <c r="J24" s="226">
        <v>835609</v>
      </c>
      <c r="K24" s="293">
        <v>739886</v>
      </c>
      <c r="L24" s="293">
        <v>524754</v>
      </c>
      <c r="M24" s="293">
        <v>1028568</v>
      </c>
      <c r="N24" s="293">
        <v>511988</v>
      </c>
      <c r="O24" s="293">
        <v>663571</v>
      </c>
      <c r="P24" s="400">
        <f>'Mielies-Maize'!N24</f>
        <v>625349</v>
      </c>
      <c r="Q24" s="377">
        <f t="shared" si="3"/>
        <v>693753.4</v>
      </c>
    </row>
    <row r="25" spans="1:17" ht="15">
      <c r="A25" s="12"/>
      <c r="B25" s="34">
        <v>7</v>
      </c>
      <c r="C25" s="206" t="s">
        <v>137</v>
      </c>
      <c r="D25" s="18">
        <v>869000</v>
      </c>
      <c r="E25" s="39">
        <v>589000</v>
      </c>
      <c r="F25" s="19">
        <v>928000</v>
      </c>
      <c r="G25" s="38">
        <v>460000</v>
      </c>
      <c r="H25" s="27">
        <v>939355</v>
      </c>
      <c r="I25" s="234">
        <v>1042900</v>
      </c>
      <c r="J25" s="226">
        <v>1153598</v>
      </c>
      <c r="K25" s="293">
        <v>817476</v>
      </c>
      <c r="L25" s="293">
        <v>279998</v>
      </c>
      <c r="M25" s="293">
        <v>1097136</v>
      </c>
      <c r="N25" s="293">
        <v>768520</v>
      </c>
      <c r="O25" s="293">
        <v>741129</v>
      </c>
      <c r="P25" s="400">
        <f>'Mielies-Maize'!N25</f>
        <v>911395</v>
      </c>
      <c r="Q25" s="377">
        <f t="shared" si="3"/>
        <v>740851.8</v>
      </c>
    </row>
    <row r="26" spans="1:17" ht="15" customHeight="1">
      <c r="A26" s="12"/>
      <c r="B26" s="34">
        <v>8</v>
      </c>
      <c r="C26" s="206" t="s">
        <v>139</v>
      </c>
      <c r="D26" s="43">
        <v>952000</v>
      </c>
      <c r="E26" s="39">
        <v>833000</v>
      </c>
      <c r="F26" s="38">
        <v>1085000</v>
      </c>
      <c r="G26" s="38">
        <v>714000</v>
      </c>
      <c r="H26" s="27">
        <v>890770</v>
      </c>
      <c r="I26" s="234">
        <v>861146</v>
      </c>
      <c r="J26" s="226">
        <v>1152050</v>
      </c>
      <c r="K26" s="293">
        <v>640917</v>
      </c>
      <c r="L26" s="293">
        <v>903668</v>
      </c>
      <c r="M26" s="293">
        <v>1361854</v>
      </c>
      <c r="N26" s="293">
        <v>847682</v>
      </c>
      <c r="O26" s="293">
        <v>641247</v>
      </c>
      <c r="P26" s="400">
        <f>'Mielies-Maize'!N26</f>
        <v>643464</v>
      </c>
      <c r="Q26" s="377">
        <f t="shared" si="3"/>
        <v>879073.6</v>
      </c>
    </row>
    <row r="27" spans="1:17" ht="15" customHeight="1">
      <c r="A27" s="12"/>
      <c r="B27" s="34">
        <v>9</v>
      </c>
      <c r="C27" s="206" t="s">
        <v>140</v>
      </c>
      <c r="D27" s="36">
        <v>1822000</v>
      </c>
      <c r="E27" s="39">
        <v>1083000</v>
      </c>
      <c r="F27" s="38">
        <v>1031000</v>
      </c>
      <c r="G27" s="38">
        <v>829000</v>
      </c>
      <c r="H27" s="27">
        <v>469630</v>
      </c>
      <c r="I27" s="234">
        <v>1144150</v>
      </c>
      <c r="J27" s="226">
        <v>1816173</v>
      </c>
      <c r="K27" s="293">
        <v>1341444</v>
      </c>
      <c r="L27" s="293">
        <v>371663</v>
      </c>
      <c r="M27" s="293">
        <v>1642548</v>
      </c>
      <c r="N27" s="293">
        <v>1141738</v>
      </c>
      <c r="O27" s="293">
        <v>927345</v>
      </c>
      <c r="P27" s="400">
        <f>'Mielies-Maize'!N27</f>
        <v>1838585</v>
      </c>
      <c r="Q27" s="377">
        <f t="shared" si="3"/>
        <v>1084947.6</v>
      </c>
    </row>
    <row r="28" spans="1:17" ht="15" customHeight="1">
      <c r="A28" s="12"/>
      <c r="B28" s="34">
        <v>10</v>
      </c>
      <c r="C28" s="206" t="s">
        <v>141</v>
      </c>
      <c r="D28" s="36">
        <v>1088000</v>
      </c>
      <c r="E28" s="39">
        <v>1331000</v>
      </c>
      <c r="F28" s="38">
        <v>1309000</v>
      </c>
      <c r="G28" s="38">
        <v>770000</v>
      </c>
      <c r="H28" s="27">
        <v>758221</v>
      </c>
      <c r="I28" s="234">
        <v>623266</v>
      </c>
      <c r="J28" s="226">
        <v>1139974</v>
      </c>
      <c r="K28" s="293">
        <v>413705</v>
      </c>
      <c r="L28" s="293">
        <v>356246</v>
      </c>
      <c r="M28" s="293">
        <v>1110309</v>
      </c>
      <c r="N28" s="293">
        <v>896702</v>
      </c>
      <c r="O28" s="293">
        <v>491316</v>
      </c>
      <c r="P28" s="400">
        <f>'Mielies-Maize'!N28</f>
        <v>572931</v>
      </c>
      <c r="Q28" s="377">
        <f t="shared" si="3"/>
        <v>653655.6</v>
      </c>
    </row>
    <row r="29" spans="1:17" ht="15" customHeight="1">
      <c r="A29" s="12"/>
      <c r="B29" s="34">
        <v>11</v>
      </c>
      <c r="C29" s="206" t="s">
        <v>142</v>
      </c>
      <c r="D29" s="36">
        <v>803000</v>
      </c>
      <c r="E29" s="39">
        <v>1070000</v>
      </c>
      <c r="F29" s="38">
        <v>942000</v>
      </c>
      <c r="G29" s="38">
        <v>1102000</v>
      </c>
      <c r="H29" s="27">
        <v>738207</v>
      </c>
      <c r="I29" s="234">
        <v>533619</v>
      </c>
      <c r="J29" s="226">
        <v>1050299</v>
      </c>
      <c r="K29" s="293">
        <v>462585</v>
      </c>
      <c r="L29" s="293">
        <v>398989</v>
      </c>
      <c r="M29" s="293">
        <v>1089664</v>
      </c>
      <c r="N29" s="293">
        <v>781615</v>
      </c>
      <c r="O29" s="293">
        <v>535526</v>
      </c>
      <c r="P29" s="400">
        <f>'Mielies-Maize'!N29</f>
        <v>1056702</v>
      </c>
      <c r="Q29" s="377">
        <f t="shared" si="3"/>
        <v>653675.8</v>
      </c>
    </row>
    <row r="30" spans="1:17" ht="15" customHeight="1">
      <c r="A30" s="12"/>
      <c r="B30" s="34">
        <v>12</v>
      </c>
      <c r="C30" s="206" t="s">
        <v>143</v>
      </c>
      <c r="D30" s="36">
        <v>650000</v>
      </c>
      <c r="E30" s="39">
        <v>962000</v>
      </c>
      <c r="F30" s="38">
        <v>789000</v>
      </c>
      <c r="G30" s="38">
        <v>882000</v>
      </c>
      <c r="H30" s="27">
        <v>826931</v>
      </c>
      <c r="I30" s="234">
        <v>430147</v>
      </c>
      <c r="J30" s="226">
        <v>953879</v>
      </c>
      <c r="K30" s="293">
        <v>468955</v>
      </c>
      <c r="L30" s="293">
        <v>432805</v>
      </c>
      <c r="M30" s="293">
        <v>967142</v>
      </c>
      <c r="N30" s="293">
        <v>771033</v>
      </c>
      <c r="O30" s="293">
        <v>569265</v>
      </c>
      <c r="P30" s="400">
        <f>'Mielies-Maize'!N30</f>
        <v>1047133</v>
      </c>
      <c r="Q30" s="377">
        <f t="shared" si="3"/>
        <v>641840</v>
      </c>
    </row>
    <row r="31" spans="1:17" ht="15" customHeight="1">
      <c r="A31" s="12"/>
      <c r="B31" s="34">
        <v>13</v>
      </c>
      <c r="C31" s="206" t="s">
        <v>146</v>
      </c>
      <c r="D31" s="36">
        <v>467000</v>
      </c>
      <c r="E31" s="39">
        <v>738000</v>
      </c>
      <c r="F31" s="38">
        <v>637000</v>
      </c>
      <c r="G31" s="38">
        <v>687000</v>
      </c>
      <c r="H31" s="27">
        <v>487471</v>
      </c>
      <c r="I31" s="234">
        <v>755689</v>
      </c>
      <c r="J31" s="226">
        <v>1294925</v>
      </c>
      <c r="K31" s="293">
        <v>311891</v>
      </c>
      <c r="L31" s="293">
        <v>211246</v>
      </c>
      <c r="M31" s="293">
        <v>1290753</v>
      </c>
      <c r="N31" s="293">
        <v>1475101</v>
      </c>
      <c r="O31" s="293">
        <v>1271422</v>
      </c>
      <c r="P31" s="400">
        <f>'Mielies-Maize'!N31</f>
        <v>1072429</v>
      </c>
      <c r="Q31" s="377">
        <f t="shared" si="3"/>
        <v>912082.6</v>
      </c>
    </row>
    <row r="32" spans="1:17" ht="15" customHeight="1">
      <c r="A32" s="12"/>
      <c r="B32" s="34">
        <v>14</v>
      </c>
      <c r="C32" s="206" t="s">
        <v>147</v>
      </c>
      <c r="D32" s="36">
        <v>476000</v>
      </c>
      <c r="E32" s="39">
        <v>421000</v>
      </c>
      <c r="F32" s="38">
        <v>476000</v>
      </c>
      <c r="G32" s="38">
        <v>591000</v>
      </c>
      <c r="H32" s="27">
        <v>368426</v>
      </c>
      <c r="I32" s="234">
        <v>212992</v>
      </c>
      <c r="J32" s="226">
        <v>504763</v>
      </c>
      <c r="K32" s="293">
        <v>439925</v>
      </c>
      <c r="L32" s="293">
        <v>202635</v>
      </c>
      <c r="M32" s="293">
        <v>424468</v>
      </c>
      <c r="N32" s="293">
        <v>496403</v>
      </c>
      <c r="O32" s="293">
        <v>200700</v>
      </c>
      <c r="P32" s="400">
        <f>'Mielies-Maize'!N32</f>
        <v>1653777</v>
      </c>
      <c r="Q32" s="377">
        <f t="shared" si="3"/>
        <v>352826.2</v>
      </c>
    </row>
    <row r="33" spans="1:17" ht="15" customHeight="1">
      <c r="A33" s="12"/>
      <c r="B33" s="34">
        <v>15</v>
      </c>
      <c r="C33" s="206" t="s">
        <v>148</v>
      </c>
      <c r="D33" s="36">
        <v>494000</v>
      </c>
      <c r="E33" s="39">
        <v>662000</v>
      </c>
      <c r="F33" s="38">
        <v>637000</v>
      </c>
      <c r="G33" s="38">
        <v>739000</v>
      </c>
      <c r="H33" s="27">
        <v>234835</v>
      </c>
      <c r="I33" s="234">
        <v>179734</v>
      </c>
      <c r="J33" s="226">
        <v>362593</v>
      </c>
      <c r="K33" s="293">
        <v>168925</v>
      </c>
      <c r="L33" s="293">
        <v>240817</v>
      </c>
      <c r="M33" s="293">
        <v>373057</v>
      </c>
      <c r="N33" s="293">
        <v>649509</v>
      </c>
      <c r="O33" s="293">
        <v>496840</v>
      </c>
      <c r="P33" s="400">
        <f>'Mielies-Maize'!N33</f>
        <v>724664</v>
      </c>
      <c r="Q33" s="377">
        <f t="shared" si="3"/>
        <v>385829.6</v>
      </c>
    </row>
    <row r="34" spans="1:17" ht="15" customHeight="1">
      <c r="A34" s="12"/>
      <c r="B34" s="34">
        <v>16</v>
      </c>
      <c r="C34" s="206" t="s">
        <v>149</v>
      </c>
      <c r="D34" s="36">
        <v>220000</v>
      </c>
      <c r="E34" s="39">
        <v>289000</v>
      </c>
      <c r="F34" s="38">
        <v>181000</v>
      </c>
      <c r="G34" s="38">
        <v>370000</v>
      </c>
      <c r="H34" s="27">
        <v>167767</v>
      </c>
      <c r="I34" s="234">
        <v>114233</v>
      </c>
      <c r="J34" s="226">
        <v>255864</v>
      </c>
      <c r="K34" s="293">
        <v>98053</v>
      </c>
      <c r="L34" s="293">
        <v>210093</v>
      </c>
      <c r="M34" s="293">
        <v>267093</v>
      </c>
      <c r="N34" s="293">
        <v>558736</v>
      </c>
      <c r="O34" s="293">
        <v>493813</v>
      </c>
      <c r="P34" s="400">
        <f>'Mielies-Maize'!N34</f>
        <v>532619</v>
      </c>
      <c r="Q34" s="377">
        <f t="shared" si="3"/>
        <v>325557.6</v>
      </c>
    </row>
    <row r="35" spans="1:17" ht="15" customHeight="1">
      <c r="A35" s="12"/>
      <c r="B35" s="34">
        <v>17</v>
      </c>
      <c r="C35" s="206" t="s">
        <v>150</v>
      </c>
      <c r="D35" s="36">
        <v>141000</v>
      </c>
      <c r="E35" s="39">
        <v>168000</v>
      </c>
      <c r="F35" s="38">
        <v>126000</v>
      </c>
      <c r="G35" s="38">
        <v>287000</v>
      </c>
      <c r="H35" s="27">
        <v>451116</v>
      </c>
      <c r="I35" s="234">
        <v>82164</v>
      </c>
      <c r="J35" s="226">
        <v>157937</v>
      </c>
      <c r="K35" s="293">
        <v>82483</v>
      </c>
      <c r="L35" s="293">
        <v>341856</v>
      </c>
      <c r="M35" s="293">
        <v>532914</v>
      </c>
      <c r="N35" s="293">
        <v>391291</v>
      </c>
      <c r="O35" s="293">
        <v>384192</v>
      </c>
      <c r="P35" s="400">
        <f>'Mielies-Maize'!N35</f>
        <v>369118</v>
      </c>
      <c r="Q35" s="377">
        <f t="shared" si="3"/>
        <v>346547.2</v>
      </c>
    </row>
    <row r="36" spans="1:17" ht="15" customHeight="1">
      <c r="A36" s="12"/>
      <c r="B36" s="34">
        <f>'Mielies-Maize'!B36</f>
        <v>18</v>
      </c>
      <c r="C36" s="206" t="s">
        <v>151</v>
      </c>
      <c r="D36" s="36">
        <v>71000</v>
      </c>
      <c r="E36" s="39">
        <v>92000</v>
      </c>
      <c r="F36" s="38">
        <v>96000</v>
      </c>
      <c r="G36" s="38">
        <v>195000</v>
      </c>
      <c r="H36" s="27">
        <v>89872</v>
      </c>
      <c r="I36" s="234">
        <v>-71193</v>
      </c>
      <c r="J36" s="226">
        <v>-232246</v>
      </c>
      <c r="K36" s="293">
        <v>122267</v>
      </c>
      <c r="L36" s="293">
        <v>64967</v>
      </c>
      <c r="M36" s="293">
        <v>48381</v>
      </c>
      <c r="N36" s="293">
        <v>488848</v>
      </c>
      <c r="O36" s="293">
        <v>651617</v>
      </c>
      <c r="P36" s="400">
        <f>'Mielies-Maize'!N36</f>
        <v>694142</v>
      </c>
      <c r="Q36" s="377">
        <f t="shared" si="3"/>
        <v>275216</v>
      </c>
    </row>
    <row r="37" spans="1:17" ht="15" customHeight="1">
      <c r="A37" s="12"/>
      <c r="B37" s="34">
        <f>'Mielies-Maize'!B37</f>
        <v>19</v>
      </c>
      <c r="C37" s="206" t="s">
        <v>152</v>
      </c>
      <c r="D37" s="36">
        <v>47000</v>
      </c>
      <c r="E37" s="39">
        <v>223000</v>
      </c>
      <c r="F37" s="38">
        <v>342000</v>
      </c>
      <c r="G37" s="38">
        <v>109000</v>
      </c>
      <c r="H37" s="27">
        <v>59131</v>
      </c>
      <c r="I37" s="234">
        <v>39460</v>
      </c>
      <c r="J37" s="226">
        <v>57937</v>
      </c>
      <c r="K37" s="293">
        <v>34177</v>
      </c>
      <c r="L37" s="293">
        <v>69387</v>
      </c>
      <c r="M37" s="293">
        <v>44994</v>
      </c>
      <c r="N37" s="293">
        <v>139054</v>
      </c>
      <c r="O37" s="293">
        <v>149366</v>
      </c>
      <c r="P37" s="400">
        <f>'Mielies-Maize'!N37</f>
        <v>60863</v>
      </c>
      <c r="Q37" s="377">
        <f t="shared" si="3"/>
        <v>87395.6</v>
      </c>
    </row>
    <row r="38" spans="1:17" ht="15" customHeight="1">
      <c r="A38" s="12"/>
      <c r="B38" s="34">
        <f>'Mielies-Maize'!B38</f>
        <v>20</v>
      </c>
      <c r="C38" s="206" t="s">
        <v>153</v>
      </c>
      <c r="D38" s="202">
        <v>59000</v>
      </c>
      <c r="E38" s="203">
        <v>39000</v>
      </c>
      <c r="F38" s="204">
        <v>49000</v>
      </c>
      <c r="G38" s="204">
        <v>392000</v>
      </c>
      <c r="H38" s="27">
        <v>39818</v>
      </c>
      <c r="I38" s="234">
        <v>37537</v>
      </c>
      <c r="J38" s="226">
        <v>41398</v>
      </c>
      <c r="K38" s="293">
        <v>47685</v>
      </c>
      <c r="L38" s="293">
        <v>50479</v>
      </c>
      <c r="M38" s="293">
        <v>51137</v>
      </c>
      <c r="N38" s="293">
        <v>103657</v>
      </c>
      <c r="O38" s="293">
        <v>94372</v>
      </c>
      <c r="P38" s="400">
        <f>'Mielies-Maize'!N38</f>
        <v>100786</v>
      </c>
      <c r="Q38" s="377">
        <f t="shared" si="3"/>
        <v>69466</v>
      </c>
    </row>
    <row r="39" spans="1:17" ht="15" customHeight="1">
      <c r="A39" s="12"/>
      <c r="B39" s="34">
        <f>'Mielies-Maize'!B39</f>
        <v>21</v>
      </c>
      <c r="C39" s="206" t="s">
        <v>154</v>
      </c>
      <c r="D39" s="202">
        <v>23000</v>
      </c>
      <c r="E39" s="203">
        <v>28000</v>
      </c>
      <c r="F39" s="204">
        <v>39000</v>
      </c>
      <c r="G39" s="204">
        <v>120000</v>
      </c>
      <c r="H39" s="27">
        <v>156902</v>
      </c>
      <c r="I39" s="234">
        <v>30093</v>
      </c>
      <c r="J39" s="226">
        <v>36189</v>
      </c>
      <c r="K39" s="293">
        <v>31184</v>
      </c>
      <c r="L39" s="293">
        <v>39178</v>
      </c>
      <c r="M39" s="293">
        <v>38075</v>
      </c>
      <c r="N39" s="293">
        <v>63743</v>
      </c>
      <c r="O39" s="293">
        <v>51097</v>
      </c>
      <c r="P39" s="400">
        <f>'Mielies-Maize'!N39</f>
        <v>65008</v>
      </c>
      <c r="Q39" s="377">
        <f t="shared" si="3"/>
        <v>44655.4</v>
      </c>
    </row>
    <row r="40" spans="1:17" ht="15" customHeight="1">
      <c r="A40" s="12"/>
      <c r="B40" s="34">
        <f>'Mielies-Maize'!B40</f>
        <v>22</v>
      </c>
      <c r="C40" s="206" t="s">
        <v>155</v>
      </c>
      <c r="D40" s="202">
        <v>18000</v>
      </c>
      <c r="E40" s="203">
        <v>23000</v>
      </c>
      <c r="F40" s="204">
        <v>38000</v>
      </c>
      <c r="G40" s="204">
        <v>36000</v>
      </c>
      <c r="H40" s="27">
        <v>30795</v>
      </c>
      <c r="I40" s="234">
        <v>65360</v>
      </c>
      <c r="J40" s="226">
        <v>89673</v>
      </c>
      <c r="K40" s="293">
        <v>63650</v>
      </c>
      <c r="L40" s="293">
        <v>46687</v>
      </c>
      <c r="M40" s="293">
        <v>116821</v>
      </c>
      <c r="N40" s="293">
        <v>156305</v>
      </c>
      <c r="O40" s="293">
        <v>153160</v>
      </c>
      <c r="P40" s="400">
        <f>'Mielies-Maize'!N40</f>
        <v>269347</v>
      </c>
      <c r="Q40" s="377">
        <f t="shared" si="3"/>
        <v>107324.6</v>
      </c>
    </row>
    <row r="41" spans="1:17" ht="15" customHeight="1">
      <c r="A41" s="12"/>
      <c r="B41" s="34">
        <f>'Mielies-Maize'!B41</f>
        <v>23</v>
      </c>
      <c r="C41" s="206" t="s">
        <v>156</v>
      </c>
      <c r="D41" s="216">
        <v>20000</v>
      </c>
      <c r="E41" s="203">
        <v>123000</v>
      </c>
      <c r="F41" s="204">
        <v>113000</v>
      </c>
      <c r="G41" s="204">
        <v>17000</v>
      </c>
      <c r="H41" s="27">
        <v>26612</v>
      </c>
      <c r="I41" s="234">
        <v>23565</v>
      </c>
      <c r="J41" s="226">
        <v>8545</v>
      </c>
      <c r="K41" s="293">
        <v>23462</v>
      </c>
      <c r="L41" s="293">
        <v>18255</v>
      </c>
      <c r="M41" s="293">
        <v>27298</v>
      </c>
      <c r="N41" s="293">
        <v>24832</v>
      </c>
      <c r="O41" s="293">
        <v>26895</v>
      </c>
      <c r="P41" s="400">
        <f>'Mielies-Maize'!N41</f>
        <v>10826</v>
      </c>
      <c r="Q41" s="377">
        <f t="shared" si="3"/>
        <v>24148.4</v>
      </c>
    </row>
    <row r="42" spans="1:17" ht="15" customHeight="1">
      <c r="A42" s="12"/>
      <c r="B42" s="34">
        <f>'Mielies-Maize'!B42</f>
        <v>24</v>
      </c>
      <c r="C42" s="206" t="s">
        <v>157</v>
      </c>
      <c r="D42" s="36">
        <v>190000</v>
      </c>
      <c r="E42" s="39">
        <v>24000</v>
      </c>
      <c r="F42" s="38">
        <v>38000</v>
      </c>
      <c r="G42" s="38">
        <v>28000</v>
      </c>
      <c r="H42" s="27">
        <v>26031</v>
      </c>
      <c r="I42" s="234">
        <v>28713</v>
      </c>
      <c r="J42" s="226">
        <v>28007</v>
      </c>
      <c r="K42" s="293">
        <v>26319</v>
      </c>
      <c r="L42" s="293">
        <v>18585</v>
      </c>
      <c r="M42" s="293">
        <v>31469</v>
      </c>
      <c r="N42" s="293">
        <v>32147</v>
      </c>
      <c r="O42" s="293">
        <v>26468</v>
      </c>
      <c r="P42" s="400">
        <f>'Mielies-Maize'!N42</f>
        <v>29004</v>
      </c>
      <c r="Q42" s="377">
        <f t="shared" si="3"/>
        <v>26997.6</v>
      </c>
    </row>
    <row r="43" spans="1:17" ht="15" customHeight="1">
      <c r="A43" s="12"/>
      <c r="B43" s="34">
        <f>'Mielies-Maize'!B43</f>
        <v>25</v>
      </c>
      <c r="C43" s="206" t="s">
        <v>158</v>
      </c>
      <c r="D43" s="36">
        <v>22000</v>
      </c>
      <c r="E43" s="39">
        <v>27000</v>
      </c>
      <c r="F43" s="38">
        <v>60000</v>
      </c>
      <c r="G43" s="38">
        <v>32000</v>
      </c>
      <c r="H43" s="27">
        <v>54077</v>
      </c>
      <c r="I43" s="234">
        <v>28012</v>
      </c>
      <c r="J43" s="226">
        <v>19090</v>
      </c>
      <c r="K43" s="293">
        <v>29270</v>
      </c>
      <c r="L43" s="293">
        <v>11610</v>
      </c>
      <c r="M43" s="293">
        <v>29200</v>
      </c>
      <c r="N43" s="293">
        <v>24125</v>
      </c>
      <c r="O43" s="293">
        <v>26578</v>
      </c>
      <c r="P43" s="400">
        <f>'Mielies-Maize'!N43</f>
        <v>25011</v>
      </c>
      <c r="Q43" s="377">
        <f t="shared" si="3"/>
        <v>24156.6</v>
      </c>
    </row>
    <row r="44" spans="1:17" ht="15" customHeight="1">
      <c r="A44" s="12"/>
      <c r="B44" s="34">
        <f>'Mielies-Maize'!B44</f>
        <v>26</v>
      </c>
      <c r="C44" s="206" t="s">
        <v>159</v>
      </c>
      <c r="D44" s="36">
        <v>18000</v>
      </c>
      <c r="E44" s="39">
        <v>27000</v>
      </c>
      <c r="F44" s="79">
        <v>26000</v>
      </c>
      <c r="G44" s="38">
        <v>29000</v>
      </c>
      <c r="H44" s="27">
        <v>23623</v>
      </c>
      <c r="I44" s="234">
        <v>63648</v>
      </c>
      <c r="J44" s="226">
        <v>18634</v>
      </c>
      <c r="K44" s="293">
        <v>27236</v>
      </c>
      <c r="L44" s="293">
        <v>34106</v>
      </c>
      <c r="M44" s="293">
        <v>106412</v>
      </c>
      <c r="N44" s="293">
        <v>107920</v>
      </c>
      <c r="O44" s="293">
        <v>126769</v>
      </c>
      <c r="P44" s="400">
        <f>'Mielies-Maize'!N44</f>
        <v>21112</v>
      </c>
      <c r="Q44" s="377">
        <f t="shared" si="3"/>
        <v>80488.6</v>
      </c>
    </row>
    <row r="45" spans="1:17" ht="15" customHeight="1">
      <c r="A45" s="12"/>
      <c r="B45" s="34">
        <f>'Mielies-Maize'!B45</f>
        <v>27</v>
      </c>
      <c r="C45" s="206" t="s">
        <v>160</v>
      </c>
      <c r="D45" s="36">
        <v>18000</v>
      </c>
      <c r="E45" s="39">
        <v>19000</v>
      </c>
      <c r="F45" s="79">
        <v>26000</v>
      </c>
      <c r="G45" s="79">
        <v>21000</v>
      </c>
      <c r="H45" s="27">
        <v>16866</v>
      </c>
      <c r="I45" s="234">
        <v>22275</v>
      </c>
      <c r="J45" s="226">
        <v>77905</v>
      </c>
      <c r="K45" s="293">
        <v>39533</v>
      </c>
      <c r="L45" s="293">
        <v>7178</v>
      </c>
      <c r="M45" s="293">
        <v>10783</v>
      </c>
      <c r="N45" s="293">
        <v>6765</v>
      </c>
      <c r="O45" s="293">
        <v>4391</v>
      </c>
      <c r="P45" s="400">
        <f>'Mielies-Maize'!N45</f>
        <v>136221</v>
      </c>
      <c r="Q45" s="377">
        <f t="shared" si="3"/>
        <v>13730</v>
      </c>
    </row>
    <row r="46" spans="1:17" ht="15" customHeight="1">
      <c r="A46" s="12"/>
      <c r="B46" s="34">
        <f>'Mielies-Maize'!B46</f>
        <v>28</v>
      </c>
      <c r="C46" s="206" t="s">
        <v>161</v>
      </c>
      <c r="D46" s="36">
        <v>17000</v>
      </c>
      <c r="E46" s="39">
        <v>50000</v>
      </c>
      <c r="F46" s="38">
        <v>39000</v>
      </c>
      <c r="G46" s="79">
        <v>12000</v>
      </c>
      <c r="H46" s="27">
        <v>21766</v>
      </c>
      <c r="I46" s="234">
        <v>15295</v>
      </c>
      <c r="J46" s="226">
        <v>16901</v>
      </c>
      <c r="K46" s="293">
        <v>19255</v>
      </c>
      <c r="L46" s="293">
        <v>6845</v>
      </c>
      <c r="M46" s="293">
        <v>17414</v>
      </c>
      <c r="N46" s="293">
        <v>14713</v>
      </c>
      <c r="O46" s="293">
        <v>16139</v>
      </c>
      <c r="P46" s="400">
        <f>'Mielies-Maize'!N46</f>
        <v>13467</v>
      </c>
      <c r="Q46" s="377">
        <f t="shared" si="3"/>
        <v>14873.2</v>
      </c>
    </row>
    <row r="47" spans="1:17" ht="15" customHeight="1">
      <c r="A47" s="12"/>
      <c r="B47" s="34">
        <f>'Mielies-Maize'!B47</f>
        <v>29</v>
      </c>
      <c r="C47" s="206" t="s">
        <v>162</v>
      </c>
      <c r="D47" s="36">
        <v>38000</v>
      </c>
      <c r="E47" s="39">
        <v>20000</v>
      </c>
      <c r="F47" s="38">
        <v>24000</v>
      </c>
      <c r="G47" s="79">
        <v>28000</v>
      </c>
      <c r="H47" s="27">
        <v>19043</v>
      </c>
      <c r="I47" s="234">
        <v>-4197</v>
      </c>
      <c r="J47" s="226">
        <v>16145</v>
      </c>
      <c r="K47" s="293">
        <v>20508</v>
      </c>
      <c r="L47" s="293">
        <v>9858</v>
      </c>
      <c r="M47" s="293">
        <v>17344</v>
      </c>
      <c r="N47" s="293">
        <v>14326</v>
      </c>
      <c r="O47" s="293">
        <v>12433</v>
      </c>
      <c r="P47" s="400">
        <f>'Mielies-Maize'!N47</f>
        <v>10988</v>
      </c>
      <c r="Q47" s="377">
        <f t="shared" si="3"/>
        <v>14893.8</v>
      </c>
    </row>
    <row r="48" spans="1:17" ht="15" customHeight="1">
      <c r="A48" s="12"/>
      <c r="B48" s="34">
        <f>'Mielies-Maize'!B48</f>
        <v>30</v>
      </c>
      <c r="C48" s="206" t="s">
        <v>163</v>
      </c>
      <c r="D48" s="36">
        <v>34000</v>
      </c>
      <c r="E48" s="39">
        <v>25000</v>
      </c>
      <c r="F48" s="38">
        <v>27000</v>
      </c>
      <c r="G48" s="79">
        <v>48000</v>
      </c>
      <c r="H48" s="27">
        <v>57876</v>
      </c>
      <c r="I48" s="234">
        <v>15132</v>
      </c>
      <c r="J48" s="226">
        <v>16187</v>
      </c>
      <c r="K48" s="293">
        <v>11077</v>
      </c>
      <c r="L48" s="293">
        <v>58749</v>
      </c>
      <c r="M48" s="293">
        <v>107653</v>
      </c>
      <c r="N48" s="293">
        <v>16251</v>
      </c>
      <c r="O48" s="293">
        <v>7872</v>
      </c>
      <c r="P48" s="400">
        <f>'Mielies-Maize'!N48</f>
        <v>9669</v>
      </c>
      <c r="Q48" s="377">
        <f t="shared" si="3"/>
        <v>40320.4</v>
      </c>
    </row>
    <row r="49" spans="1:17" ht="15" customHeight="1">
      <c r="A49" s="12"/>
      <c r="B49" s="34">
        <f>'Mielies-Maize'!B49</f>
        <v>31</v>
      </c>
      <c r="C49" s="206" t="s">
        <v>164</v>
      </c>
      <c r="D49" s="43">
        <v>-4000</v>
      </c>
      <c r="E49" s="39">
        <v>15000</v>
      </c>
      <c r="F49" s="38">
        <v>17000</v>
      </c>
      <c r="G49" s="79">
        <v>15000</v>
      </c>
      <c r="H49" s="27">
        <v>23769</v>
      </c>
      <c r="I49" s="234">
        <v>43649</v>
      </c>
      <c r="J49" s="226">
        <v>53618</v>
      </c>
      <c r="K49" s="293">
        <v>43075</v>
      </c>
      <c r="L49" s="293">
        <v>6854</v>
      </c>
      <c r="M49" s="293">
        <v>10642</v>
      </c>
      <c r="N49" s="293">
        <v>68407</v>
      </c>
      <c r="O49" s="293">
        <v>66898</v>
      </c>
      <c r="P49" s="400">
        <f>'Mielies-Maize'!N49</f>
        <v>77281</v>
      </c>
      <c r="Q49" s="377">
        <f t="shared" si="3"/>
        <v>39175.2</v>
      </c>
    </row>
    <row r="50" spans="1:17" ht="15" customHeight="1">
      <c r="A50" s="12"/>
      <c r="B50" s="34">
        <f>'Mielies-Maize'!B50</f>
        <v>32</v>
      </c>
      <c r="C50" s="206" t="s">
        <v>165</v>
      </c>
      <c r="D50" s="43">
        <v>26000</v>
      </c>
      <c r="E50" s="39">
        <v>25000</v>
      </c>
      <c r="F50" s="38">
        <v>-13000</v>
      </c>
      <c r="G50" s="79">
        <v>30000</v>
      </c>
      <c r="H50" s="27">
        <v>20991</v>
      </c>
      <c r="I50" s="234">
        <v>13905</v>
      </c>
      <c r="J50" s="226">
        <v>16735</v>
      </c>
      <c r="K50" s="293">
        <v>12352</v>
      </c>
      <c r="L50" s="293">
        <v>0</v>
      </c>
      <c r="M50" s="293">
        <v>9794</v>
      </c>
      <c r="N50" s="293">
        <v>9041</v>
      </c>
      <c r="O50" s="293">
        <v>5070</v>
      </c>
      <c r="P50" s="400">
        <f>'Mielies-Maize'!N50</f>
        <v>8259</v>
      </c>
      <c r="Q50" s="377">
        <f t="shared" si="3"/>
        <v>7251.4</v>
      </c>
    </row>
    <row r="51" spans="1:17" ht="15" customHeight="1">
      <c r="A51" s="12"/>
      <c r="B51" s="34">
        <v>33</v>
      </c>
      <c r="C51" s="206" t="s">
        <v>166</v>
      </c>
      <c r="D51" s="43">
        <v>0</v>
      </c>
      <c r="E51" s="39">
        <v>0</v>
      </c>
      <c r="F51" s="38">
        <v>5000</v>
      </c>
      <c r="G51" s="79">
        <v>0</v>
      </c>
      <c r="H51" s="27">
        <v>0</v>
      </c>
      <c r="I51" s="234">
        <v>0</v>
      </c>
      <c r="J51" s="226">
        <v>0</v>
      </c>
      <c r="K51" s="293">
        <v>0</v>
      </c>
      <c r="L51" s="293">
        <v>0</v>
      </c>
      <c r="M51" s="293">
        <v>0</v>
      </c>
      <c r="N51" s="293">
        <v>9330</v>
      </c>
      <c r="O51" s="293">
        <v>3207</v>
      </c>
      <c r="P51" s="400">
        <f>'Mielies-Maize'!N51</f>
        <v>10284</v>
      </c>
      <c r="Q51" s="377">
        <f t="shared" si="3"/>
        <v>2507.4</v>
      </c>
    </row>
    <row r="52" spans="1:17" ht="15" customHeight="1">
      <c r="A52" s="12"/>
      <c r="B52" s="34">
        <v>34</v>
      </c>
      <c r="C52" s="206" t="s">
        <v>167</v>
      </c>
      <c r="D52" s="43">
        <v>31000</v>
      </c>
      <c r="E52" s="39">
        <v>0</v>
      </c>
      <c r="F52" s="38">
        <v>5000</v>
      </c>
      <c r="G52" s="79">
        <v>0</v>
      </c>
      <c r="H52" s="27">
        <v>0</v>
      </c>
      <c r="I52" s="234">
        <v>0</v>
      </c>
      <c r="J52" s="226">
        <v>0</v>
      </c>
      <c r="K52" s="293">
        <v>0</v>
      </c>
      <c r="L52" s="293">
        <v>0</v>
      </c>
      <c r="M52" s="293">
        <v>0</v>
      </c>
      <c r="N52" s="293">
        <v>11816</v>
      </c>
      <c r="O52" s="293">
        <v>6117</v>
      </c>
      <c r="P52" s="400">
        <f>'Mielies-Maize'!N52</f>
        <v>7758</v>
      </c>
      <c r="Q52" s="377">
        <f t="shared" si="3"/>
        <v>3586.6</v>
      </c>
    </row>
    <row r="53" spans="1:17" ht="15" customHeight="1">
      <c r="A53" s="12"/>
      <c r="B53" s="34">
        <f>'Mielies-Maize'!B53</f>
        <v>35</v>
      </c>
      <c r="C53" s="206" t="s">
        <v>168</v>
      </c>
      <c r="D53" s="43">
        <v>34000</v>
      </c>
      <c r="E53" s="39">
        <v>35000</v>
      </c>
      <c r="F53" s="38">
        <v>5000</v>
      </c>
      <c r="G53" s="79">
        <v>15000</v>
      </c>
      <c r="H53" s="27">
        <v>75763</v>
      </c>
      <c r="I53" s="234">
        <v>46907</v>
      </c>
      <c r="J53" s="226">
        <v>68533</v>
      </c>
      <c r="K53" s="293">
        <v>57507</v>
      </c>
      <c r="L53" s="293">
        <v>40486</v>
      </c>
      <c r="M53" s="293">
        <v>61431</v>
      </c>
      <c r="N53" s="293">
        <v>20993</v>
      </c>
      <c r="O53" s="293">
        <v>31539</v>
      </c>
      <c r="P53" s="400">
        <f>'Mielies-Maize'!N53</f>
        <v>59121</v>
      </c>
      <c r="Q53" s="377">
        <f t="shared" si="3"/>
        <v>42391.2</v>
      </c>
    </row>
    <row r="54" spans="1:17" ht="15" customHeight="1">
      <c r="A54" s="12"/>
      <c r="B54" s="34">
        <f>'Mielies-Maize'!B54</f>
        <v>36</v>
      </c>
      <c r="C54" s="206" t="s">
        <v>169</v>
      </c>
      <c r="D54" s="43">
        <v>13000</v>
      </c>
      <c r="E54" s="39">
        <v>12000</v>
      </c>
      <c r="F54" s="38">
        <v>5000</v>
      </c>
      <c r="G54" s="79">
        <v>10000</v>
      </c>
      <c r="H54" s="27">
        <v>4419</v>
      </c>
      <c r="I54" s="234">
        <v>7173</v>
      </c>
      <c r="J54" s="226">
        <v>5394</v>
      </c>
      <c r="K54" s="293">
        <v>3773</v>
      </c>
      <c r="L54" s="293">
        <v>2678</v>
      </c>
      <c r="M54" s="293">
        <v>6295</v>
      </c>
      <c r="N54" s="293">
        <v>934</v>
      </c>
      <c r="O54" s="293">
        <v>553</v>
      </c>
      <c r="P54" s="400">
        <f>'Mielies-Maize'!N54</f>
        <v>470</v>
      </c>
      <c r="Q54" s="377">
        <f t="shared" si="3"/>
        <v>2846.6</v>
      </c>
    </row>
    <row r="55" spans="1:17" ht="15" customHeight="1">
      <c r="A55" s="12"/>
      <c r="B55" s="34">
        <f>'Mielies-Maize'!B55</f>
        <v>37</v>
      </c>
      <c r="C55" s="206" t="s">
        <v>170</v>
      </c>
      <c r="D55" s="36">
        <v>17000</v>
      </c>
      <c r="E55" s="39">
        <v>4000</v>
      </c>
      <c r="F55" s="38">
        <v>7000</v>
      </c>
      <c r="G55" s="79">
        <v>13000</v>
      </c>
      <c r="H55" s="27">
        <v>11178</v>
      </c>
      <c r="I55" s="234">
        <v>11752</v>
      </c>
      <c r="J55" s="226">
        <v>10088</v>
      </c>
      <c r="K55" s="293">
        <v>6980</v>
      </c>
      <c r="L55" s="293">
        <v>10518</v>
      </c>
      <c r="M55" s="293">
        <v>10667</v>
      </c>
      <c r="N55" s="293">
        <v>5605</v>
      </c>
      <c r="O55" s="293">
        <v>5778</v>
      </c>
      <c r="P55" s="400">
        <f>'Mielies-Maize'!N55</f>
        <v>4739</v>
      </c>
      <c r="Q55" s="377">
        <f t="shared" si="3"/>
        <v>7909.6</v>
      </c>
    </row>
    <row r="56" spans="1:17" ht="15" customHeight="1">
      <c r="A56" s="12"/>
      <c r="B56" s="34">
        <f>'Mielies-Maize'!B56</f>
        <v>38</v>
      </c>
      <c r="C56" s="206" t="s">
        <v>173</v>
      </c>
      <c r="D56" s="36">
        <v>10000</v>
      </c>
      <c r="E56" s="39">
        <v>12000</v>
      </c>
      <c r="F56" s="38">
        <v>3000</v>
      </c>
      <c r="G56" s="79">
        <v>14000</v>
      </c>
      <c r="H56" s="27">
        <v>9457</v>
      </c>
      <c r="I56" s="234">
        <v>12500</v>
      </c>
      <c r="J56" s="226">
        <v>16621</v>
      </c>
      <c r="K56" s="293">
        <v>14135</v>
      </c>
      <c r="L56" s="293">
        <v>16958</v>
      </c>
      <c r="M56" s="293">
        <v>9207</v>
      </c>
      <c r="N56" s="293">
        <v>7482</v>
      </c>
      <c r="O56" s="293">
        <v>12026</v>
      </c>
      <c r="P56" s="400">
        <f>'Mielies-Maize'!N56</f>
        <v>9828</v>
      </c>
      <c r="Q56" s="377">
        <f t="shared" si="3"/>
        <v>11961.6</v>
      </c>
    </row>
    <row r="57" spans="1:17" ht="15" customHeight="1">
      <c r="A57" s="12"/>
      <c r="B57" s="34">
        <f>'Mielies-Maize'!B57</f>
        <v>39</v>
      </c>
      <c r="C57" s="206" t="s">
        <v>174</v>
      </c>
      <c r="D57" s="36">
        <v>20000</v>
      </c>
      <c r="E57" s="39">
        <v>16000</v>
      </c>
      <c r="F57" s="38">
        <v>11000</v>
      </c>
      <c r="G57" s="79">
        <v>14000</v>
      </c>
      <c r="H57" s="27">
        <v>31329</v>
      </c>
      <c r="I57" s="234">
        <v>28954</v>
      </c>
      <c r="J57" s="226">
        <v>18997</v>
      </c>
      <c r="K57" s="293">
        <v>21957</v>
      </c>
      <c r="L57" s="293">
        <v>55917</v>
      </c>
      <c r="M57" s="293">
        <v>67194</v>
      </c>
      <c r="N57" s="293">
        <v>50806</v>
      </c>
      <c r="O57" s="293">
        <v>14618</v>
      </c>
      <c r="P57" s="400">
        <f>'Mielies-Maize'!N57</f>
        <v>13813</v>
      </c>
      <c r="Q57" s="377">
        <f t="shared" si="3"/>
        <v>42098.4</v>
      </c>
    </row>
    <row r="58" spans="1:17" ht="15" customHeight="1">
      <c r="A58" s="12"/>
      <c r="B58" s="34">
        <f>'Mielies-Maize'!B58</f>
        <v>40</v>
      </c>
      <c r="C58" s="206" t="s">
        <v>176</v>
      </c>
      <c r="D58" s="36">
        <v>15000</v>
      </c>
      <c r="E58" s="39">
        <v>15000</v>
      </c>
      <c r="F58" s="38">
        <v>13000</v>
      </c>
      <c r="G58" s="79">
        <v>8000</v>
      </c>
      <c r="H58" s="27">
        <v>14541</v>
      </c>
      <c r="I58" s="234">
        <v>44177</v>
      </c>
      <c r="J58" s="226">
        <v>73924</v>
      </c>
      <c r="K58" s="293">
        <v>70882</v>
      </c>
      <c r="L58" s="293">
        <v>8794</v>
      </c>
      <c r="M58" s="293">
        <v>2672</v>
      </c>
      <c r="N58" s="293">
        <v>2895</v>
      </c>
      <c r="O58" s="293">
        <v>67168</v>
      </c>
      <c r="P58" s="400">
        <f>'Mielies-Maize'!N58</f>
        <v>70991</v>
      </c>
      <c r="Q58" s="377">
        <f t="shared" si="3"/>
        <v>30482.2</v>
      </c>
    </row>
    <row r="59" spans="1:17" ht="15" customHeight="1">
      <c r="A59" s="12"/>
      <c r="B59" s="34">
        <f>'Mielies-Maize'!B59</f>
        <v>41</v>
      </c>
      <c r="C59" s="206" t="s">
        <v>177</v>
      </c>
      <c r="D59" s="36">
        <v>18000</v>
      </c>
      <c r="E59" s="39">
        <v>21000</v>
      </c>
      <c r="F59" s="38">
        <v>16000</v>
      </c>
      <c r="G59" s="79">
        <v>6000</v>
      </c>
      <c r="H59" s="27">
        <v>18083</v>
      </c>
      <c r="I59" s="234">
        <v>24623</v>
      </c>
      <c r="J59" s="226">
        <v>24978</v>
      </c>
      <c r="K59" s="293">
        <v>33366</v>
      </c>
      <c r="L59" s="293">
        <v>27581</v>
      </c>
      <c r="M59" s="293">
        <v>11706</v>
      </c>
      <c r="N59" s="293">
        <v>9659</v>
      </c>
      <c r="O59" s="293">
        <v>16451</v>
      </c>
      <c r="P59" s="400">
        <f>'Mielies-Maize'!N59</f>
        <v>9175</v>
      </c>
      <c r="Q59" s="377">
        <f t="shared" si="3"/>
        <v>19752.6</v>
      </c>
    </row>
    <row r="60" spans="1:17" ht="15" customHeight="1">
      <c r="A60" s="12"/>
      <c r="B60" s="34">
        <f>'Mielies-Maize'!B60</f>
        <v>42</v>
      </c>
      <c r="C60" s="206" t="s">
        <v>178</v>
      </c>
      <c r="D60" s="36">
        <v>15000</v>
      </c>
      <c r="E60" s="39">
        <v>11000</v>
      </c>
      <c r="F60" s="38">
        <v>21000</v>
      </c>
      <c r="G60" s="79">
        <v>33000</v>
      </c>
      <c r="H60" s="27">
        <v>24607</v>
      </c>
      <c r="I60" s="234">
        <v>29549</v>
      </c>
      <c r="J60" s="226">
        <v>32476</v>
      </c>
      <c r="K60" s="293">
        <v>45464</v>
      </c>
      <c r="L60" s="293">
        <v>46977</v>
      </c>
      <c r="M60" s="293">
        <v>9435</v>
      </c>
      <c r="N60" s="293">
        <v>6454</v>
      </c>
      <c r="O60" s="293">
        <v>18267</v>
      </c>
      <c r="P60" s="400">
        <f>'Mielies-Maize'!N60</f>
        <v>16189</v>
      </c>
      <c r="Q60" s="377">
        <f t="shared" si="3"/>
        <v>25319.4</v>
      </c>
    </row>
    <row r="61" spans="1:17" ht="15" customHeight="1">
      <c r="A61" s="12"/>
      <c r="B61" s="34">
        <f>'Mielies-Maize'!B61</f>
        <v>43</v>
      </c>
      <c r="C61" s="206" t="s">
        <v>179</v>
      </c>
      <c r="D61" s="105">
        <v>22000</v>
      </c>
      <c r="E61" s="39">
        <v>13000</v>
      </c>
      <c r="F61" s="38">
        <v>13000</v>
      </c>
      <c r="G61" s="79">
        <v>18000</v>
      </c>
      <c r="H61" s="27">
        <v>74611</v>
      </c>
      <c r="I61" s="234">
        <v>37777</v>
      </c>
      <c r="J61" s="226">
        <v>35813</v>
      </c>
      <c r="K61" s="293">
        <v>34233</v>
      </c>
      <c r="L61" s="293">
        <v>75833</v>
      </c>
      <c r="M61" s="293">
        <v>68018</v>
      </c>
      <c r="N61" s="293">
        <v>52292</v>
      </c>
      <c r="O61" s="293">
        <v>24426</v>
      </c>
      <c r="P61" s="400">
        <f>'Mielies-Maize'!N61</f>
        <v>18856</v>
      </c>
      <c r="Q61" s="377">
        <f t="shared" si="3"/>
        <v>50960.4</v>
      </c>
    </row>
    <row r="62" spans="1:17" ht="15" customHeight="1">
      <c r="A62" s="12"/>
      <c r="B62" s="194">
        <f>'Mielies-Maize'!B62</f>
        <v>44</v>
      </c>
      <c r="C62" s="206" t="s">
        <v>180</v>
      </c>
      <c r="D62" s="240">
        <v>152000</v>
      </c>
      <c r="E62" s="241">
        <v>12000</v>
      </c>
      <c r="F62" s="241">
        <v>15000</v>
      </c>
      <c r="G62" s="242">
        <v>14000</v>
      </c>
      <c r="H62" s="241">
        <v>48477</v>
      </c>
      <c r="I62" s="234">
        <v>56253</v>
      </c>
      <c r="J62" s="226">
        <v>91654</v>
      </c>
      <c r="K62" s="293">
        <v>89529</v>
      </c>
      <c r="L62" s="293">
        <v>12553</v>
      </c>
      <c r="M62" s="293">
        <v>3373</v>
      </c>
      <c r="N62" s="293">
        <v>2372</v>
      </c>
      <c r="O62" s="293">
        <v>64009</v>
      </c>
      <c r="P62" s="400">
        <f>'Mielies-Maize'!N62</f>
        <v>68948</v>
      </c>
      <c r="Q62" s="377">
        <f t="shared" si="3"/>
        <v>34367.2</v>
      </c>
    </row>
    <row r="63" spans="1:17" ht="15" customHeight="1">
      <c r="A63" s="12"/>
      <c r="B63" s="34">
        <f>'Mielies-Maize'!B63</f>
        <v>45</v>
      </c>
      <c r="C63" s="206" t="s">
        <v>182</v>
      </c>
      <c r="D63" s="36">
        <v>22000</v>
      </c>
      <c r="E63" s="39">
        <v>11000</v>
      </c>
      <c r="F63" s="38">
        <v>44000</v>
      </c>
      <c r="G63" s="79">
        <v>27000</v>
      </c>
      <c r="H63" s="27">
        <v>53181</v>
      </c>
      <c r="I63" s="234">
        <v>17466</v>
      </c>
      <c r="J63" s="226">
        <v>28346</v>
      </c>
      <c r="K63" s="293">
        <v>29898</v>
      </c>
      <c r="L63" s="293">
        <v>36209</v>
      </c>
      <c r="M63" s="293">
        <v>13326</v>
      </c>
      <c r="N63" s="293">
        <v>11452</v>
      </c>
      <c r="O63" s="293">
        <v>13109</v>
      </c>
      <c r="P63" s="400">
        <f>'Mielies-Maize'!N63</f>
        <v>17003</v>
      </c>
      <c r="Q63" s="377">
        <f t="shared" si="3"/>
        <v>20798.8</v>
      </c>
    </row>
    <row r="64" spans="1:17" ht="15" customHeight="1">
      <c r="A64" s="12"/>
      <c r="B64" s="34">
        <f>'Mielies-Maize'!B64</f>
        <v>46</v>
      </c>
      <c r="C64" s="206" t="s">
        <v>183</v>
      </c>
      <c r="D64" s="36">
        <v>39000</v>
      </c>
      <c r="E64" s="39">
        <v>25000</v>
      </c>
      <c r="F64" s="38">
        <v>12000</v>
      </c>
      <c r="G64" s="79">
        <v>42000</v>
      </c>
      <c r="H64" s="27">
        <v>58073</v>
      </c>
      <c r="I64" s="234">
        <v>16832</v>
      </c>
      <c r="J64" s="226">
        <v>36727</v>
      </c>
      <c r="K64" s="293">
        <v>44640</v>
      </c>
      <c r="L64" s="293">
        <v>77684</v>
      </c>
      <c r="M64" s="293">
        <v>17827</v>
      </c>
      <c r="N64" s="293">
        <v>6612</v>
      </c>
      <c r="O64" s="293">
        <v>11130</v>
      </c>
      <c r="P64" s="400">
        <f>'Mielies-Maize'!N64</f>
        <v>27911</v>
      </c>
      <c r="Q64" s="377">
        <f t="shared" si="3"/>
        <v>31578.6</v>
      </c>
    </row>
    <row r="65" spans="1:17" ht="15" customHeight="1">
      <c r="A65" s="12"/>
      <c r="B65" s="34">
        <f>'Mielies-Maize'!B65</f>
        <v>47</v>
      </c>
      <c r="C65" s="206" t="s">
        <v>184</v>
      </c>
      <c r="D65" s="36">
        <v>28000</v>
      </c>
      <c r="E65" s="39">
        <v>14000</v>
      </c>
      <c r="F65" s="38">
        <v>13000</v>
      </c>
      <c r="G65" s="79">
        <v>40000</v>
      </c>
      <c r="H65" s="27">
        <v>92058</v>
      </c>
      <c r="I65" s="234">
        <v>30836</v>
      </c>
      <c r="J65" s="226">
        <v>34682</v>
      </c>
      <c r="K65" s="293">
        <v>38794</v>
      </c>
      <c r="L65" s="293">
        <v>76354</v>
      </c>
      <c r="M65" s="293">
        <v>8388</v>
      </c>
      <c r="N65" s="293">
        <v>9861</v>
      </c>
      <c r="O65" s="293">
        <v>15400</v>
      </c>
      <c r="P65" s="400">
        <f>'Mielies-Maize'!N65</f>
        <v>28463</v>
      </c>
      <c r="Q65" s="377">
        <f t="shared" si="3"/>
        <v>29759.4</v>
      </c>
    </row>
    <row r="66" spans="1:17" ht="15" customHeight="1">
      <c r="A66" s="12"/>
      <c r="B66" s="34">
        <f>'Mielies-Maize'!B66</f>
        <v>48</v>
      </c>
      <c r="C66" s="206" t="s">
        <v>185</v>
      </c>
      <c r="D66" s="36">
        <v>28000</v>
      </c>
      <c r="E66" s="39">
        <v>8000</v>
      </c>
      <c r="F66" s="38">
        <v>15000</v>
      </c>
      <c r="G66" s="79">
        <v>52000</v>
      </c>
      <c r="H66" s="27">
        <v>44272</v>
      </c>
      <c r="I66" s="234">
        <v>87845</v>
      </c>
      <c r="J66" s="226">
        <v>100063</v>
      </c>
      <c r="K66" s="293">
        <v>134526</v>
      </c>
      <c r="L66" s="293">
        <v>174620</v>
      </c>
      <c r="M66" s="293">
        <v>58012</v>
      </c>
      <c r="N66" s="293">
        <v>45854</v>
      </c>
      <c r="O66" s="293">
        <v>41465</v>
      </c>
      <c r="P66" s="400">
        <f>'Mielies-Maize'!N66</f>
        <v>93965</v>
      </c>
      <c r="Q66" s="377">
        <f t="shared" si="3"/>
        <v>90895.4</v>
      </c>
    </row>
    <row r="67" spans="1:17" ht="15" customHeight="1">
      <c r="A67" s="12"/>
      <c r="B67" s="34">
        <f>'Mielies-Maize'!B67</f>
        <v>49</v>
      </c>
      <c r="C67" s="206" t="s">
        <v>186</v>
      </c>
      <c r="D67" s="36">
        <v>-9000</v>
      </c>
      <c r="E67" s="39">
        <v>59000</v>
      </c>
      <c r="F67" s="38">
        <v>14000</v>
      </c>
      <c r="G67" s="79">
        <v>35000</v>
      </c>
      <c r="H67" s="27">
        <v>40598</v>
      </c>
      <c r="I67" s="234">
        <v>34657</v>
      </c>
      <c r="J67" s="226">
        <v>27403</v>
      </c>
      <c r="K67" s="293">
        <v>22890</v>
      </c>
      <c r="L67" s="293">
        <v>90941</v>
      </c>
      <c r="M67" s="293">
        <v>7089</v>
      </c>
      <c r="N67" s="293">
        <v>28612</v>
      </c>
      <c r="O67" s="293">
        <v>12880</v>
      </c>
      <c r="P67" s="400">
        <f>'Mielies-Maize'!N67</f>
        <v>13427</v>
      </c>
      <c r="Q67" s="377">
        <f t="shared" si="3"/>
        <v>32482.4</v>
      </c>
    </row>
    <row r="68" spans="1:17" ht="15" customHeight="1">
      <c r="A68" s="12"/>
      <c r="B68" s="34">
        <f>'Mielies-Maize'!B68</f>
        <v>50</v>
      </c>
      <c r="C68" s="206"/>
      <c r="D68" s="36">
        <v>48000</v>
      </c>
      <c r="E68" s="39">
        <v>35000</v>
      </c>
      <c r="F68" s="38">
        <v>37500</v>
      </c>
      <c r="G68" s="79">
        <v>93000</v>
      </c>
      <c r="H68" s="27">
        <v>94097</v>
      </c>
      <c r="I68" s="234">
        <v>51986</v>
      </c>
      <c r="J68" s="226">
        <v>33877</v>
      </c>
      <c r="K68" s="293">
        <v>70188</v>
      </c>
      <c r="L68" s="293">
        <v>46810</v>
      </c>
      <c r="M68" s="293">
        <v>17603</v>
      </c>
      <c r="N68" s="293">
        <v>28612</v>
      </c>
      <c r="O68" s="293">
        <v>0</v>
      </c>
      <c r="P68" s="400">
        <f>'Mielies-Maize'!N68</f>
        <v>45328</v>
      </c>
      <c r="Q68" s="377">
        <f t="shared" si="3"/>
        <v>32642.6</v>
      </c>
    </row>
    <row r="69" spans="1:17" ht="15" customHeight="1">
      <c r="A69" s="12"/>
      <c r="B69" s="34">
        <f>'Mielies-Maize'!B69</f>
        <v>51</v>
      </c>
      <c r="C69" s="206"/>
      <c r="D69" s="36">
        <v>62000</v>
      </c>
      <c r="E69" s="39">
        <v>55000</v>
      </c>
      <c r="F69" s="38">
        <v>29000</v>
      </c>
      <c r="G69" s="79">
        <v>144000</v>
      </c>
      <c r="H69" s="27">
        <v>181300</v>
      </c>
      <c r="I69" s="234">
        <v>47621</v>
      </c>
      <c r="J69" s="226">
        <v>72371</v>
      </c>
      <c r="K69" s="293">
        <v>95688</v>
      </c>
      <c r="L69" s="293">
        <v>89128</v>
      </c>
      <c r="M69" s="293">
        <v>22826</v>
      </c>
      <c r="N69" s="293">
        <v>28612</v>
      </c>
      <c r="O69" s="293">
        <v>0</v>
      </c>
      <c r="P69" s="400">
        <f>'Mielies-Maize'!N69</f>
        <v>0</v>
      </c>
      <c r="Q69" s="377"/>
    </row>
    <row r="70" spans="1:17" ht="15" customHeight="1">
      <c r="A70" s="12"/>
      <c r="B70" s="34">
        <f>'Mielies-Maize'!B70</f>
        <v>52</v>
      </c>
      <c r="C70" s="206"/>
      <c r="D70" s="36">
        <v>0</v>
      </c>
      <c r="E70" s="39">
        <v>47000</v>
      </c>
      <c r="F70" s="38">
        <v>10500</v>
      </c>
      <c r="G70" s="79">
        <v>92000</v>
      </c>
      <c r="H70" s="27">
        <v>349127</v>
      </c>
      <c r="I70" s="234">
        <v>209597</v>
      </c>
      <c r="J70" s="226">
        <v>76631</v>
      </c>
      <c r="K70" s="293">
        <v>98505</v>
      </c>
      <c r="L70" s="293">
        <v>129651</v>
      </c>
      <c r="M70" s="293">
        <v>24557</v>
      </c>
      <c r="N70" s="293">
        <v>28612</v>
      </c>
      <c r="O70" s="293">
        <v>0</v>
      </c>
      <c r="P70" s="400">
        <f>'Mielies-Maize'!N70</f>
        <v>0</v>
      </c>
      <c r="Q70" s="377"/>
    </row>
    <row r="71" spans="1:17" ht="14.25" customHeight="1">
      <c r="A71" s="12"/>
      <c r="B71" s="34">
        <v>53</v>
      </c>
      <c r="C71" s="312"/>
      <c r="D71" s="38"/>
      <c r="E71" s="38"/>
      <c r="F71" s="38"/>
      <c r="G71" s="38"/>
      <c r="H71" s="38"/>
      <c r="I71" s="293"/>
      <c r="J71" s="293"/>
      <c r="K71" s="293"/>
      <c r="L71" s="293"/>
      <c r="M71" s="293">
        <f>'Mielies-Maize'!F72</f>
        <v>0</v>
      </c>
      <c r="N71" s="293"/>
      <c r="O71" s="293">
        <v>0</v>
      </c>
      <c r="P71" s="400">
        <f>'Mielies-Maize'!N71</f>
        <v>0</v>
      </c>
      <c r="Q71" s="377"/>
    </row>
    <row r="72" spans="1:17" ht="14.25" customHeight="1">
      <c r="A72" s="12"/>
      <c r="B72" s="34">
        <v>54</v>
      </c>
      <c r="C72" s="206"/>
      <c r="D72" s="46"/>
      <c r="E72" s="46"/>
      <c r="F72" s="46"/>
      <c r="G72" s="46"/>
      <c r="H72" s="46"/>
      <c r="I72" s="292"/>
      <c r="J72" s="292"/>
      <c r="K72" s="292"/>
      <c r="L72" s="292"/>
      <c r="M72" s="292">
        <f>'Mielies-Maize'!F73</f>
        <v>0</v>
      </c>
      <c r="N72" s="292">
        <f>'Mielies-Maize'!G73</f>
        <v>0</v>
      </c>
      <c r="O72" s="292">
        <v>0</v>
      </c>
      <c r="P72" s="400">
        <f>'Mielies-Maize'!N72</f>
        <v>0</v>
      </c>
      <c r="Q72" s="377"/>
    </row>
    <row r="73" spans="1:17" ht="15">
      <c r="A73" s="12"/>
      <c r="B73" s="219" t="s">
        <v>35</v>
      </c>
      <c r="C73" s="220"/>
      <c r="D73" s="221">
        <v>12700000</v>
      </c>
      <c r="E73" s="221">
        <v>12050000</v>
      </c>
      <c r="F73" s="299" t="e">
        <f>'Summary -White maize'!#REF!+'Summary -Yellow maize'!F73</f>
        <v>#REF!</v>
      </c>
      <c r="G73" s="299">
        <f>'Summary -White maize'!F73+'Summary -Yellow maize'!G73</f>
        <v>10360000</v>
      </c>
      <c r="H73" s="299">
        <f>'Summary -White maize'!G73+'Summary -Yellow maize'!H73</f>
        <v>12120656</v>
      </c>
      <c r="I73" s="237">
        <v>11810600</v>
      </c>
      <c r="J73" s="237">
        <v>14250000</v>
      </c>
      <c r="K73" s="299">
        <v>9955000</v>
      </c>
      <c r="L73" s="299">
        <v>7778500</v>
      </c>
      <c r="M73" s="287">
        <v>16820000</v>
      </c>
      <c r="N73" s="237">
        <v>12510000</v>
      </c>
      <c r="O73" s="237">
        <v>11275000</v>
      </c>
      <c r="P73" s="287">
        <f>'Table-SAGIS deliver vs CEC est'!E8</f>
        <v>15408180</v>
      </c>
      <c r="Q73" s="377">
        <f>AVERAGE(K73:O73)</f>
        <v>11667700</v>
      </c>
    </row>
    <row r="74" spans="1:17" ht="14.25" customHeight="1">
      <c r="A74" s="12"/>
      <c r="B74" s="276" t="s">
        <v>84</v>
      </c>
      <c r="C74" s="235"/>
      <c r="D74" s="133">
        <f>'Summary -White maize'!D74+'Summary -Yellow maize'!D74</f>
        <v>553776</v>
      </c>
      <c r="E74" s="135">
        <f>'Summary -White maize'!E74+'Summary -Yellow maize'!E74</f>
        <v>424556</v>
      </c>
      <c r="F74" s="135" t="e">
        <f>'Summary -White maize'!#REF!+'Summary -Yellow maize'!F74</f>
        <v>#REF!</v>
      </c>
      <c r="G74" s="135">
        <f>'Summary -White maize'!F74+'Summary -Yellow maize'!G74</f>
        <v>474076</v>
      </c>
      <c r="H74" s="135">
        <f>'Summary -White maize'!G74+'Summary -Yellow maize'!H74</f>
        <v>433528</v>
      </c>
      <c r="I74" s="135">
        <f>'Summary -White maize'!H74+'Summary -Yellow maize'!I74</f>
        <v>457811</v>
      </c>
      <c r="J74" s="135">
        <f>'Summary -White maize'!I74+'Summary -Yellow maize'!J74</f>
        <v>519651</v>
      </c>
      <c r="K74" s="154">
        <v>472530</v>
      </c>
      <c r="L74" s="300">
        <v>327716</v>
      </c>
      <c r="M74" s="280">
        <f>'Summary -White maize'!L74+'Summary -Yellow maize'!M74</f>
        <v>581000</v>
      </c>
      <c r="N74" s="396">
        <v>550000</v>
      </c>
      <c r="O74" s="396">
        <v>510000</v>
      </c>
      <c r="P74" s="335">
        <f>'Table-SAGIS deliver vs CEC est'!E9+'Table-SAGIS deliver vs CEC est'!E10</f>
        <v>670000</v>
      </c>
      <c r="Q74" s="377">
        <f>AVERAGE(K74:O74)</f>
        <v>488249.2</v>
      </c>
    </row>
    <row r="75" spans="1:17" ht="14.25" customHeight="1">
      <c r="A75" s="12"/>
      <c r="B75" s="277" t="s">
        <v>82</v>
      </c>
      <c r="C75" s="238"/>
      <c r="D75" s="136">
        <f aca="true" t="shared" si="4" ref="D75:I75">D73-D74</f>
        <v>12146224</v>
      </c>
      <c r="E75" s="136">
        <f t="shared" si="4"/>
        <v>11625444</v>
      </c>
      <c r="F75" s="136" t="e">
        <f t="shared" si="4"/>
        <v>#REF!</v>
      </c>
      <c r="G75" s="136">
        <f t="shared" si="4"/>
        <v>9885924</v>
      </c>
      <c r="H75" s="136">
        <f>H73-H74</f>
        <v>11687128</v>
      </c>
      <c r="I75" s="136">
        <f t="shared" si="4"/>
        <v>11352789</v>
      </c>
      <c r="J75" s="136">
        <f>J73-J74</f>
        <v>13730349</v>
      </c>
      <c r="K75" s="155">
        <v>9482470</v>
      </c>
      <c r="L75" s="155">
        <f>L73-L74</f>
        <v>7450784</v>
      </c>
      <c r="M75" s="281">
        <f>M73-M74</f>
        <v>16239000</v>
      </c>
      <c r="N75" s="397">
        <f>N73-N74</f>
        <v>11960000</v>
      </c>
      <c r="O75" s="397">
        <v>10765000</v>
      </c>
      <c r="P75" s="401">
        <f>P73-P74</f>
        <v>14738180</v>
      </c>
      <c r="Q75" s="377">
        <f>Q73-Q74</f>
        <v>11179450.8</v>
      </c>
    </row>
    <row r="76" spans="1:16" ht="12.75" thickBot="1">
      <c r="A76" s="12"/>
      <c r="B76" s="131"/>
      <c r="C76" s="132"/>
      <c r="D76" s="108"/>
      <c r="E76" s="108"/>
      <c r="F76" s="108"/>
      <c r="G76" s="108"/>
      <c r="H76" s="108"/>
      <c r="I76" s="108"/>
      <c r="J76" s="108"/>
      <c r="K76" s="255"/>
      <c r="L76" s="255"/>
      <c r="M76" s="255"/>
      <c r="N76" s="398"/>
      <c r="O76" s="398"/>
      <c r="P76" s="402"/>
    </row>
    <row r="77" spans="1:17" ht="17.25">
      <c r="A77" s="12"/>
      <c r="B77" s="217" t="s">
        <v>70</v>
      </c>
      <c r="C77" s="357"/>
      <c r="D77" s="356" t="s">
        <v>29</v>
      </c>
      <c r="E77" s="337" t="s">
        <v>30</v>
      </c>
      <c r="F77" s="337" t="s">
        <v>31</v>
      </c>
      <c r="G77" s="337" t="s">
        <v>28</v>
      </c>
      <c r="H77" s="337" t="s">
        <v>34</v>
      </c>
      <c r="I77" s="337" t="s">
        <v>61</v>
      </c>
      <c r="J77" s="337" t="s">
        <v>80</v>
      </c>
      <c r="K77" s="338" t="s">
        <v>81</v>
      </c>
      <c r="L77" s="338" t="s">
        <v>91</v>
      </c>
      <c r="M77" s="338" t="s">
        <v>95</v>
      </c>
      <c r="N77" s="338" t="s">
        <v>111</v>
      </c>
      <c r="O77" s="338" t="s">
        <v>128</v>
      </c>
      <c r="P77" s="338" t="s">
        <v>130</v>
      </c>
      <c r="Q77" s="2" t="s">
        <v>138</v>
      </c>
    </row>
    <row r="78" spans="1:17" ht="12">
      <c r="A78" s="12"/>
      <c r="B78" s="23" t="s">
        <v>113</v>
      </c>
      <c r="C78" s="358"/>
      <c r="D78" s="336">
        <f aca="true" t="shared" si="5" ref="D78:K78">D16</f>
        <v>669033</v>
      </c>
      <c r="E78" s="339">
        <f t="shared" si="5"/>
        <v>351719</v>
      </c>
      <c r="F78" s="339">
        <f t="shared" si="5"/>
        <v>113000</v>
      </c>
      <c r="G78" s="339">
        <f t="shared" si="5"/>
        <v>124240</v>
      </c>
      <c r="H78" s="339">
        <f t="shared" si="5"/>
        <v>227959</v>
      </c>
      <c r="I78" s="340">
        <f t="shared" si="5"/>
        <v>316188</v>
      </c>
      <c r="J78" s="339">
        <f t="shared" si="5"/>
        <v>180448</v>
      </c>
      <c r="K78" s="339">
        <f t="shared" si="5"/>
        <v>541956</v>
      </c>
      <c r="L78" s="339">
        <f>L18</f>
        <v>423699</v>
      </c>
      <c r="M78" s="339">
        <f>M18</f>
        <v>391791</v>
      </c>
      <c r="N78" s="339">
        <f>N18</f>
        <v>129699</v>
      </c>
      <c r="O78" s="339">
        <f>O18</f>
        <v>266943</v>
      </c>
      <c r="P78" s="339">
        <f>P18</f>
        <v>347732</v>
      </c>
      <c r="Q78" s="377">
        <f>AVERAGE(K78:O78)</f>
        <v>350817.6</v>
      </c>
    </row>
    <row r="79" spans="1:17" ht="12.75" thickBot="1">
      <c r="A79" s="12"/>
      <c r="B79" s="35" t="s">
        <v>114</v>
      </c>
      <c r="C79" s="359"/>
      <c r="D79" s="345">
        <f aca="true" t="shared" si="6" ref="D79:O79">SUM(D19:D55)</f>
        <v>11415000</v>
      </c>
      <c r="E79" s="345">
        <f t="shared" si="6"/>
        <v>11225000</v>
      </c>
      <c r="F79" s="345">
        <f t="shared" si="6"/>
        <v>11733000</v>
      </c>
      <c r="G79" s="345">
        <f t="shared" si="6"/>
        <v>9624000</v>
      </c>
      <c r="H79" s="345">
        <f t="shared" si="6"/>
        <v>10795502</v>
      </c>
      <c r="I79" s="345">
        <f t="shared" si="6"/>
        <v>10261322</v>
      </c>
      <c r="J79" s="345">
        <f t="shared" si="6"/>
        <v>12981523</v>
      </c>
      <c r="K79" s="345">
        <f t="shared" si="6"/>
        <v>8748364</v>
      </c>
      <c r="L79" s="345">
        <f t="shared" si="6"/>
        <v>6431368</v>
      </c>
      <c r="M79" s="345">
        <f t="shared" si="6"/>
        <v>15213603</v>
      </c>
      <c r="N79" s="345">
        <f t="shared" si="6"/>
        <v>11588745</v>
      </c>
      <c r="O79" s="345">
        <f t="shared" si="6"/>
        <v>10320740</v>
      </c>
      <c r="P79" s="345">
        <f>SUM(P19:P55)</f>
        <v>14113033</v>
      </c>
      <c r="Q79" s="345">
        <f>SUM(Q19:Q55)</f>
        <v>10460563.999999994</v>
      </c>
    </row>
    <row r="80" spans="1:17" ht="15.75" thickBot="1">
      <c r="A80" s="12"/>
      <c r="B80" s="195" t="s">
        <v>115</v>
      </c>
      <c r="C80" s="360"/>
      <c r="D80" s="250">
        <f aca="true" t="shared" si="7" ref="D80:K80">D78+D79</f>
        <v>12084033</v>
      </c>
      <c r="E80" s="250">
        <f t="shared" si="7"/>
        <v>11576719</v>
      </c>
      <c r="F80" s="250">
        <f t="shared" si="7"/>
        <v>11846000</v>
      </c>
      <c r="G80" s="250">
        <f t="shared" si="7"/>
        <v>9748240</v>
      </c>
      <c r="H80" s="250">
        <f t="shared" si="7"/>
        <v>11023461</v>
      </c>
      <c r="I80" s="250">
        <f t="shared" si="7"/>
        <v>10577510</v>
      </c>
      <c r="J80" s="250">
        <f t="shared" si="7"/>
        <v>13161971</v>
      </c>
      <c r="K80" s="250">
        <f t="shared" si="7"/>
        <v>9290320</v>
      </c>
      <c r="L80" s="250">
        <f aca="true" t="shared" si="8" ref="L80:Q80">L78+L79</f>
        <v>6855067</v>
      </c>
      <c r="M80" s="250">
        <f t="shared" si="8"/>
        <v>15605394</v>
      </c>
      <c r="N80" s="250">
        <f t="shared" si="8"/>
        <v>11718444</v>
      </c>
      <c r="O80" s="250">
        <f t="shared" si="8"/>
        <v>10587683</v>
      </c>
      <c r="P80" s="250">
        <f t="shared" si="8"/>
        <v>14460765</v>
      </c>
      <c r="Q80" s="403">
        <f t="shared" si="8"/>
        <v>10811381.599999994</v>
      </c>
    </row>
    <row r="81" spans="1:17" ht="15.75" thickTop="1">
      <c r="A81" s="12"/>
      <c r="B81" s="376" t="s">
        <v>119</v>
      </c>
      <c r="C81" s="374"/>
      <c r="D81" s="375">
        <f>'Summary -White maize'!D81+'Summary -Yellow maize'!D81</f>
        <v>12189636</v>
      </c>
      <c r="E81" s="375">
        <f>'Summary -White maize'!E81+'Summary -Yellow maize'!E81</f>
        <v>11688842</v>
      </c>
      <c r="F81" s="375" t="e">
        <f>'Summary -White maize'!#REF!+'Summary -Yellow maize'!F81</f>
        <v>#REF!</v>
      </c>
      <c r="G81" s="375">
        <f>'Summary -White maize'!F81+'Summary -Yellow maize'!G81</f>
        <v>9577221</v>
      </c>
      <c r="H81" s="478">
        <f>'Summary -White maize'!G81+'Summary -Yellow maize'!H81</f>
        <v>11580166</v>
      </c>
      <c r="I81" s="478">
        <f>'Summary -White maize'!H81+'Summary -Yellow maize'!I81</f>
        <v>11112070</v>
      </c>
      <c r="J81" s="478">
        <f>'Summary -White maize'!I81+'Summary -Yellow maize'!J81</f>
        <v>13690780</v>
      </c>
      <c r="K81" s="478">
        <f>'Summary -White maize'!J81+'Summary -Yellow maize'!K81</f>
        <v>9597305</v>
      </c>
      <c r="L81" s="478">
        <f>'Summary -White maize'!K81+'Summary -Yellow maize'!L81</f>
        <v>7408884</v>
      </c>
      <c r="M81" s="478">
        <f>'Summary -White maize'!L81+'Summary -Yellow maize'!M81</f>
        <v>16192347</v>
      </c>
      <c r="N81" s="457"/>
      <c r="O81" s="458"/>
      <c r="P81" s="459"/>
      <c r="Q81" s="460"/>
    </row>
    <row r="82" spans="1:17" ht="15.75" thickBot="1">
      <c r="A82" s="12"/>
      <c r="B82" s="219" t="s">
        <v>116</v>
      </c>
      <c r="C82" s="350"/>
      <c r="D82" s="254">
        <f>D80/D75</f>
        <v>0.9948798079139657</v>
      </c>
      <c r="E82" s="297">
        <f>E80/E75</f>
        <v>0.9958087622287802</v>
      </c>
      <c r="F82" s="297" t="e">
        <f>F80/F75</f>
        <v>#REF!</v>
      </c>
      <c r="G82" s="297">
        <f aca="true" t="shared" si="9" ref="G82:L82">G80/G75</f>
        <v>0.9860727231971438</v>
      </c>
      <c r="H82" s="461">
        <f>H80/H75</f>
        <v>0.9432138503146368</v>
      </c>
      <c r="I82" s="461">
        <f t="shared" si="9"/>
        <v>0.9317102608002316</v>
      </c>
      <c r="J82" s="461">
        <f t="shared" si="9"/>
        <v>0.9586042568910667</v>
      </c>
      <c r="K82" s="484">
        <f t="shared" si="9"/>
        <v>0.9797362923373341</v>
      </c>
      <c r="L82" s="484">
        <f t="shared" si="9"/>
        <v>0.920046400486177</v>
      </c>
      <c r="M82" s="484">
        <f>M80/M75</f>
        <v>0.9609824496582302</v>
      </c>
      <c r="N82" s="484">
        <f>N80/N75</f>
        <v>0.9798030100334448</v>
      </c>
      <c r="O82" s="484">
        <f>O80/O75</f>
        <v>0.9835283790060381</v>
      </c>
      <c r="P82" s="461">
        <f>P80/P75</f>
        <v>0.9811771195629311</v>
      </c>
      <c r="Q82" s="461">
        <f>Q80/Q75</f>
        <v>0.9670762717610415</v>
      </c>
    </row>
    <row r="83" spans="1:16" ht="15" customHeight="1">
      <c r="A83" s="12"/>
      <c r="B83" s="283" t="s">
        <v>46</v>
      </c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399"/>
    </row>
    <row r="84" spans="1:16" ht="15" customHeight="1">
      <c r="A84" s="12"/>
      <c r="B84" s="542" t="s">
        <v>47</v>
      </c>
      <c r="C84" s="543"/>
      <c r="D84" s="543"/>
      <c r="E84" s="543"/>
      <c r="F84" s="543"/>
      <c r="G84" s="543"/>
      <c r="H84" s="543"/>
      <c r="I84" s="543"/>
      <c r="J84" s="543"/>
      <c r="K84" s="543"/>
      <c r="L84" s="543"/>
      <c r="M84" s="543"/>
      <c r="N84" s="12"/>
      <c r="O84" s="12"/>
      <c r="P84" s="393"/>
    </row>
    <row r="85" spans="1:16" ht="15.75" customHeight="1" thickBot="1">
      <c r="A85" s="12"/>
      <c r="B85" s="544" t="s">
        <v>48</v>
      </c>
      <c r="C85" s="545"/>
      <c r="D85" s="545"/>
      <c r="E85" s="545"/>
      <c r="F85" s="545"/>
      <c r="G85" s="545"/>
      <c r="H85" s="545"/>
      <c r="I85" s="545"/>
      <c r="J85" s="545"/>
      <c r="K85" s="545"/>
      <c r="L85" s="545"/>
      <c r="M85" s="545"/>
      <c r="N85" s="157"/>
      <c r="O85" s="157"/>
      <c r="P85" s="404"/>
    </row>
    <row r="86" ht="12" hidden="1"/>
    <row r="87" spans="2:11" ht="12.75" hidden="1">
      <c r="B87" s="2" t="s">
        <v>89</v>
      </c>
      <c r="D87" s="141">
        <f aca="true" t="shared" si="10" ref="D87:J87">SUM(D48:D62)/D75</f>
        <v>0.03317903572336555</v>
      </c>
      <c r="E87" s="141">
        <f t="shared" si="10"/>
        <v>0.018579935527623718</v>
      </c>
      <c r="F87" s="141" t="e">
        <f t="shared" si="10"/>
        <v>#REF!</v>
      </c>
      <c r="G87" s="141">
        <f t="shared" si="10"/>
        <v>0.024074633792450763</v>
      </c>
      <c r="H87" s="141">
        <f t="shared" si="10"/>
        <v>0.03551779359308806</v>
      </c>
      <c r="I87" s="141">
        <f t="shared" si="10"/>
        <v>0.032798196108462865</v>
      </c>
      <c r="J87" s="141">
        <f t="shared" si="10"/>
        <v>0.03386789367116597</v>
      </c>
      <c r="K87" s="138">
        <f>1-K82</f>
        <v>0.020263707662665942</v>
      </c>
    </row>
    <row r="88" ht="12" hidden="1"/>
    <row r="89" spans="9:10" ht="12" hidden="1">
      <c r="I89" s="2" t="s">
        <v>90</v>
      </c>
      <c r="J89" s="142" t="e">
        <f>SUM(AVERAGE(D87:J87))</f>
        <v>#REF!</v>
      </c>
    </row>
    <row r="90" ht="12" hidden="1"/>
    <row r="93" spans="8:16" ht="12">
      <c r="H93" s="460"/>
      <c r="I93" s="460"/>
      <c r="J93" s="460"/>
      <c r="K93" s="460"/>
      <c r="L93" s="460"/>
      <c r="M93" s="460"/>
      <c r="N93" s="460"/>
      <c r="O93" s="460"/>
      <c r="P93" s="460"/>
    </row>
  </sheetData>
  <sheetProtection/>
  <mergeCells count="3">
    <mergeCell ref="B84:M84"/>
    <mergeCell ref="B85:M85"/>
    <mergeCell ref="B2:P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="85" zoomScaleNormal="85" zoomScalePageLayoutView="0" workbookViewId="0" topLeftCell="A1">
      <selection activeCell="E4" sqref="E4"/>
    </sheetView>
  </sheetViews>
  <sheetFormatPr defaultColWidth="9.140625" defaultRowHeight="12.75"/>
  <cols>
    <col min="1" max="1" width="12.28125" style="80" customWidth="1"/>
    <col min="2" max="2" width="15.7109375" style="0" customWidth="1"/>
    <col min="3" max="5" width="11.8515625" style="82" bestFit="1" customWidth="1"/>
    <col min="6" max="6" width="11.421875" style="82" customWidth="1"/>
    <col min="7" max="8" width="11.8515625" style="82" bestFit="1" customWidth="1"/>
    <col min="9" max="9" width="11.8515625" style="82" customWidth="1"/>
    <col min="10" max="10" width="13.140625" style="82" customWidth="1"/>
    <col min="11" max="11" width="11.421875" style="0" customWidth="1"/>
    <col min="12" max="12" width="12.421875" style="0" customWidth="1"/>
    <col min="13" max="15" width="12.421875" style="329" customWidth="1"/>
  </cols>
  <sheetData>
    <row r="1" ht="18">
      <c r="A1" s="333" t="s">
        <v>78</v>
      </c>
    </row>
    <row r="2" ht="13.5" thickBot="1">
      <c r="A2" s="84"/>
    </row>
    <row r="3" spans="1:15" ht="13.5" thickBot="1">
      <c r="A3" s="81" t="s">
        <v>74</v>
      </c>
      <c r="B3" s="102"/>
      <c r="C3" s="103"/>
      <c r="D3" s="103"/>
      <c r="E3" s="103"/>
      <c r="F3" s="103"/>
      <c r="G3" s="103"/>
      <c r="H3" s="103"/>
      <c r="I3" s="103"/>
      <c r="J3" s="104"/>
      <c r="K3" s="104"/>
      <c r="L3" s="104"/>
      <c r="M3" s="104"/>
      <c r="N3" s="104"/>
      <c r="O3" s="104"/>
    </row>
    <row r="4" spans="1:15" ht="13.5" thickBot="1">
      <c r="A4" s="549" t="s">
        <v>70</v>
      </c>
      <c r="B4" s="550"/>
      <c r="C4" s="110" t="str">
        <f>'Summary -White maize'!D77</f>
        <v>2008/09</v>
      </c>
      <c r="D4" s="85" t="str">
        <f>'Summary -White maize'!E77</f>
        <v>2009/10</v>
      </c>
      <c r="E4" s="110" t="e">
        <f>'Summary -White maize'!#REF!</f>
        <v>#REF!</v>
      </c>
      <c r="F4" s="110" t="str">
        <f>'Summary -White maize'!F77</f>
        <v>2011/12</v>
      </c>
      <c r="G4" s="110" t="str">
        <f>'Summary -White maize'!G77</f>
        <v>2012/13</v>
      </c>
      <c r="H4" s="110" t="str">
        <f>'Summary -White maize'!H77</f>
        <v>2013/14</v>
      </c>
      <c r="I4" s="111" t="str">
        <f>'Summary -White maize'!I77</f>
        <v>2014/15</v>
      </c>
      <c r="J4" s="379" t="s">
        <v>81</v>
      </c>
      <c r="K4" s="379" t="s">
        <v>91</v>
      </c>
      <c r="L4" s="379" t="s">
        <v>95</v>
      </c>
      <c r="M4" s="379" t="s">
        <v>110</v>
      </c>
      <c r="N4" s="379" t="s">
        <v>120</v>
      </c>
      <c r="O4" s="379" t="s">
        <v>130</v>
      </c>
    </row>
    <row r="5" spans="1:15" ht="13.5" thickBot="1">
      <c r="A5" s="86" t="s">
        <v>69</v>
      </c>
      <c r="B5" s="87"/>
      <c r="C5" s="88">
        <f>'Summary -White maize'!D78</f>
        <v>328341</v>
      </c>
      <c r="D5" s="88">
        <f>'Summary -White maize'!E78</f>
        <v>115703</v>
      </c>
      <c r="E5" s="88" t="e">
        <f>'Summary -White maize'!#REF!</f>
        <v>#REF!</v>
      </c>
      <c r="F5" s="88">
        <f>'Summary -White maize'!F78</f>
        <v>97000</v>
      </c>
      <c r="G5" s="88">
        <f>'Summary -White maize'!G78</f>
        <v>139234</v>
      </c>
      <c r="H5" s="88">
        <f>'Summary -White maize'!H78</f>
        <v>83365</v>
      </c>
      <c r="I5" s="88">
        <f>'Summary -White maize'!I78</f>
        <v>87437</v>
      </c>
      <c r="J5" s="88">
        <f>'Summary -White maize'!J78</f>
        <v>174836</v>
      </c>
      <c r="K5" s="88">
        <f>'Summary -White maize'!K78</f>
        <v>342315</v>
      </c>
      <c r="L5" s="88">
        <f>'Summary -White maize'!L78</f>
        <v>503551</v>
      </c>
      <c r="M5" s="88">
        <f>'Summary -White maize'!M78</f>
        <v>117369</v>
      </c>
      <c r="N5" s="88">
        <f>'Summary -White maize'!N78</f>
        <v>85898</v>
      </c>
      <c r="O5" s="88">
        <f>'Summary -White maize'!O78</f>
        <v>131241</v>
      </c>
    </row>
    <row r="6" spans="1:15" ht="13.5" thickBot="1">
      <c r="A6" s="90" t="s">
        <v>63</v>
      </c>
      <c r="B6" s="91"/>
      <c r="C6" s="88">
        <f>'Summary -White maize'!D79</f>
        <v>7047000</v>
      </c>
      <c r="D6" s="88">
        <f>'Summary -White maize'!E79</f>
        <v>6594000</v>
      </c>
      <c r="E6" s="88" t="e">
        <f>'Summary -White maize'!#REF!</f>
        <v>#REF!</v>
      </c>
      <c r="F6" s="88">
        <f>'Summary -White maize'!F79</f>
        <v>5493800</v>
      </c>
      <c r="G6" s="88">
        <f>'Summary -White maize'!G79</f>
        <v>6440516</v>
      </c>
      <c r="H6" s="88">
        <f>'Summary -White maize'!H79</f>
        <v>5081850</v>
      </c>
      <c r="I6" s="88">
        <f>'Summary -White maize'!I79</f>
        <v>7285187</v>
      </c>
      <c r="J6" s="88">
        <f>'Summary -White maize'!J79</f>
        <v>4356756</v>
      </c>
      <c r="K6" s="88">
        <f>'Summary -White maize'!K79</f>
        <v>2944897</v>
      </c>
      <c r="L6" s="88">
        <f>'Summary -White maize'!L79</f>
        <v>9109377</v>
      </c>
      <c r="M6" s="88">
        <f>'Summary -White maize'!M79</f>
        <v>6199780</v>
      </c>
      <c r="N6" s="88">
        <f>'Summary -White maize'!N79</f>
        <v>5234552</v>
      </c>
      <c r="O6" s="88">
        <f>'Summary -White maize'!O79</f>
        <v>8083955</v>
      </c>
    </row>
    <row r="7" spans="1:15" ht="13.5" thickBot="1">
      <c r="A7" s="94" t="s">
        <v>32</v>
      </c>
      <c r="B7" s="95"/>
      <c r="C7" s="96">
        <f>'Summary -White maize'!D80</f>
        <v>7375341</v>
      </c>
      <c r="D7" s="96">
        <f>'Summary -White maize'!E80</f>
        <v>6709703</v>
      </c>
      <c r="E7" s="96" t="e">
        <f>'Summary -White maize'!#REF!</f>
        <v>#REF!</v>
      </c>
      <c r="F7" s="97">
        <f>'Summary -White maize'!F80</f>
        <v>5590800</v>
      </c>
      <c r="G7" s="96">
        <f>'Summary -White maize'!G80</f>
        <v>6579750</v>
      </c>
      <c r="H7" s="96">
        <f>'Summary -White maize'!H80</f>
        <v>5165215</v>
      </c>
      <c r="I7" s="96">
        <f>'Summary -White maize'!I80</f>
        <v>7372624</v>
      </c>
      <c r="J7" s="96">
        <f>'Summary -White maize'!J80</f>
        <v>4531592</v>
      </c>
      <c r="K7" s="96">
        <f>'Summary -White maize'!K80</f>
        <v>3287212</v>
      </c>
      <c r="L7" s="96">
        <f>'Summary -White maize'!L80</f>
        <v>9612928</v>
      </c>
      <c r="M7" s="96">
        <f>'Summary -White maize'!M80</f>
        <v>6317149</v>
      </c>
      <c r="N7" s="96">
        <f>'Summary -White maize'!N80</f>
        <v>5320450</v>
      </c>
      <c r="O7" s="96">
        <f>'Summary -White maize'!O80</f>
        <v>8215196</v>
      </c>
    </row>
    <row r="8" spans="1:15" ht="14.25" thickBot="1" thickTop="1">
      <c r="A8" s="112" t="s">
        <v>33</v>
      </c>
      <c r="B8" s="113"/>
      <c r="C8" s="114">
        <f>'Summary -White maize'!D82</f>
        <v>1</v>
      </c>
      <c r="D8" s="100">
        <f>'Summary -White maize'!E82</f>
        <v>1</v>
      </c>
      <c r="E8" s="114" t="e">
        <f>'Summary -White maize'!#REF!</f>
        <v>#REF!</v>
      </c>
      <c r="F8" s="109">
        <f>'Summary -White maize'!F82</f>
        <v>0.9393637569711315</v>
      </c>
      <c r="G8" s="114">
        <f>'Summary -White maize'!G82</f>
        <v>0.9690982875323714</v>
      </c>
      <c r="H8" s="114">
        <f>'Summary -White maize'!H82</f>
        <v>0.9398377832906163</v>
      </c>
      <c r="I8" s="114">
        <f>'Summary -White maize'!I82</f>
        <v>0.9735724907441191</v>
      </c>
      <c r="J8" s="114">
        <f>'Summary -White maize'!J82</f>
        <v>0.9798269796687057</v>
      </c>
      <c r="K8" s="152">
        <f>'Summary -White maize'!K82</f>
        <v>0.9761730544911161</v>
      </c>
      <c r="L8" s="330">
        <f>'Summary -White maize'!L82</f>
        <v>0.9923534634045628</v>
      </c>
      <c r="M8" s="330">
        <f>'Summary -White maize'!M82</f>
        <v>0.9963957413249211</v>
      </c>
      <c r="N8" s="330">
        <f>'Summary -White maize'!N82</f>
        <v>0.9880129990714949</v>
      </c>
      <c r="O8" s="330">
        <f>'Summary -White maize'!O82</f>
        <v>0.9784293338383171</v>
      </c>
    </row>
    <row r="9" spans="1:15" ht="13.5" thickBot="1">
      <c r="A9" s="119"/>
      <c r="B9" s="102"/>
      <c r="C9" s="103"/>
      <c r="D9" s="103"/>
      <c r="E9" s="103"/>
      <c r="F9" s="103"/>
      <c r="G9" s="103"/>
      <c r="H9" s="103"/>
      <c r="I9" s="103"/>
      <c r="J9" s="104"/>
      <c r="K9" s="104"/>
      <c r="L9" s="104"/>
      <c r="M9" s="104"/>
      <c r="N9" s="104"/>
      <c r="O9" s="104"/>
    </row>
    <row r="10" spans="1:15" ht="13.5" thickBot="1">
      <c r="A10" s="115" t="s">
        <v>75</v>
      </c>
      <c r="B10" s="116"/>
      <c r="C10" s="117"/>
      <c r="D10" s="117"/>
      <c r="E10" s="117"/>
      <c r="F10" s="117"/>
      <c r="G10" s="117"/>
      <c r="H10" s="117"/>
      <c r="I10" s="118"/>
      <c r="J10" s="118"/>
      <c r="K10" s="118"/>
      <c r="L10" s="118"/>
      <c r="M10" s="118"/>
      <c r="N10" s="118"/>
      <c r="O10" s="118"/>
    </row>
    <row r="11" spans="1:15" ht="13.5" thickBot="1">
      <c r="A11" s="551" t="s">
        <v>70</v>
      </c>
      <c r="B11" s="552"/>
      <c r="C11" s="83" t="str">
        <f>'Summary -Yellow maize'!D77</f>
        <v>2008/09</v>
      </c>
      <c r="D11" s="85" t="str">
        <f>'Summary -Yellow maize'!E77</f>
        <v>2009/10</v>
      </c>
      <c r="E11" s="83" t="str">
        <f>'Summary -Yellow maize'!F77</f>
        <v>2010/11</v>
      </c>
      <c r="F11" s="83" t="str">
        <f>'Summary -Yellow maize'!G77</f>
        <v>2011/12</v>
      </c>
      <c r="G11" s="83" t="str">
        <f>'Summary -Yellow maize'!H77</f>
        <v>2012/13</v>
      </c>
      <c r="H11" s="83" t="str">
        <f>'Summary -Yellow maize'!I77</f>
        <v>2013/14</v>
      </c>
      <c r="I11" s="85" t="str">
        <f>'Summary -Yellow maize'!J77</f>
        <v>2014/15</v>
      </c>
      <c r="J11" s="379" t="s">
        <v>81</v>
      </c>
      <c r="K11" s="379" t="s">
        <v>91</v>
      </c>
      <c r="L11" s="379" t="s">
        <v>95</v>
      </c>
      <c r="M11" s="379" t="s">
        <v>110</v>
      </c>
      <c r="N11" s="379" t="s">
        <v>110</v>
      </c>
      <c r="O11" s="379" t="s">
        <v>110</v>
      </c>
    </row>
    <row r="12" spans="1:15" ht="12.75">
      <c r="A12" s="86" t="s">
        <v>69</v>
      </c>
      <c r="B12" s="87"/>
      <c r="C12" s="88">
        <f>'Summary -Yellow maize'!D78</f>
        <v>340692</v>
      </c>
      <c r="D12" s="88">
        <f>'Summary -Yellow maize'!E78</f>
        <v>236016</v>
      </c>
      <c r="E12" s="88">
        <f>'Summary -Yellow maize'!F78</f>
        <v>77000</v>
      </c>
      <c r="F12" s="89">
        <f>'Summary -Yellow maize'!G78</f>
        <v>77000</v>
      </c>
      <c r="G12" s="88">
        <f>'Summary -Yellow maize'!H78</f>
        <v>138000</v>
      </c>
      <c r="H12" s="88">
        <f>'Summary -Yellow maize'!I78</f>
        <v>526969</v>
      </c>
      <c r="I12" s="88">
        <f>'Summary -Yellow maize'!J78</f>
        <v>144565</v>
      </c>
      <c r="J12" s="88">
        <f>'Summary -Yellow maize'!K78</f>
        <v>367120</v>
      </c>
      <c r="K12" s="88">
        <f>'Summary -Yellow maize'!L78</f>
        <v>449955</v>
      </c>
      <c r="L12" s="88">
        <f>'Summary -Yellow maize'!M78</f>
        <v>300642</v>
      </c>
      <c r="M12" s="88">
        <f>'Summary -Yellow maize'!N78</f>
        <v>122548</v>
      </c>
      <c r="N12" s="88">
        <f>'Summary -Yellow maize'!O78</f>
        <v>181045</v>
      </c>
      <c r="O12" s="88">
        <f>'Summary -Yellow maize'!P78</f>
        <v>216491</v>
      </c>
    </row>
    <row r="13" spans="1:15" ht="13.5" thickBot="1">
      <c r="A13" s="90" t="s">
        <v>63</v>
      </c>
      <c r="B13" s="91"/>
      <c r="C13" s="92">
        <f>'Summary -Yellow maize'!D79</f>
        <v>4045000</v>
      </c>
      <c r="D13" s="92">
        <f>'Summary -Yellow maize'!E79</f>
        <v>4107000</v>
      </c>
      <c r="E13" s="92">
        <f>'Summary -Yellow maize'!F79</f>
        <v>3664375</v>
      </c>
      <c r="F13" s="93">
        <f>'Summary -Yellow maize'!G79</f>
        <v>2827943</v>
      </c>
      <c r="G13" s="92">
        <f>'Summary -Yellow maize'!H79</f>
        <v>4395772</v>
      </c>
      <c r="H13" s="92">
        <f>'Summary -Yellow maize'!I79</f>
        <v>5228019</v>
      </c>
      <c r="I13" s="92">
        <f>'Summary -Yellow maize'!J79</f>
        <v>5731954</v>
      </c>
      <c r="J13" s="92">
        <f>'Summary -Yellow maize'!K79</f>
        <v>4427700</v>
      </c>
      <c r="K13" s="92">
        <f>'Summary -Yellow maize'!L79</f>
        <v>3559346</v>
      </c>
      <c r="L13" s="92">
        <f>'Summary -Yellow maize'!M79</f>
        <v>6180627</v>
      </c>
      <c r="M13" s="92">
        <f>'Summary -Yellow maize'!N79</f>
        <v>5448128</v>
      </c>
      <c r="N13" s="92">
        <f>'Summary -Yellow maize'!O79</f>
        <v>5112832</v>
      </c>
      <c r="O13" s="92">
        <f>'Summary -Yellow maize'!P79</f>
        <v>6052719</v>
      </c>
    </row>
    <row r="14" spans="1:15" ht="13.5" thickBot="1">
      <c r="A14" s="94" t="s">
        <v>32</v>
      </c>
      <c r="B14" s="95"/>
      <c r="C14" s="96">
        <f>'Summary -Yellow maize'!D80</f>
        <v>4385692</v>
      </c>
      <c r="D14" s="96">
        <f>'Summary -Yellow maize'!E80</f>
        <v>4343016</v>
      </c>
      <c r="E14" s="96">
        <f>'Summary -Yellow maize'!F80</f>
        <v>3741375</v>
      </c>
      <c r="F14" s="97">
        <f>'Summary -Yellow maize'!G80</f>
        <v>2904943</v>
      </c>
      <c r="G14" s="96">
        <f>'Summary -Yellow maize'!H80</f>
        <v>4533772</v>
      </c>
      <c r="H14" s="96">
        <f>'Summary -Yellow maize'!I80</f>
        <v>5754988</v>
      </c>
      <c r="I14" s="96">
        <f>'Summary -Yellow maize'!J80</f>
        <v>5876519</v>
      </c>
      <c r="J14" s="96">
        <f>'Summary -Yellow maize'!K80</f>
        <v>4794820</v>
      </c>
      <c r="K14" s="96">
        <f>'Summary -Yellow maize'!L80</f>
        <v>4009301</v>
      </c>
      <c r="L14" s="96">
        <f>'Summary -Yellow maize'!M80</f>
        <v>6481269</v>
      </c>
      <c r="M14" s="96">
        <f>'Summary -Yellow maize'!N80</f>
        <v>5570676</v>
      </c>
      <c r="N14" s="96">
        <f>'Summary -Yellow maize'!O80</f>
        <v>5293877</v>
      </c>
      <c r="O14" s="96">
        <f>'Summary -Yellow maize'!P80</f>
        <v>6269210</v>
      </c>
    </row>
    <row r="15" spans="1:15" ht="14.25" thickBot="1" thickTop="1">
      <c r="A15" s="112" t="s">
        <v>33</v>
      </c>
      <c r="B15" s="113"/>
      <c r="C15" s="114">
        <f>'Summary -Yellow maize'!D82</f>
        <v>0.9109728423372477</v>
      </c>
      <c r="D15" s="100">
        <f>'Summary -Yellow maize'!E82</f>
        <v>0.8722423696145056</v>
      </c>
      <c r="E15" s="114">
        <f>'Summary -Yellow maize'!F82</f>
        <v>0.8240757994452087</v>
      </c>
      <c r="F15" s="109">
        <f>'Summary -Yellow maize'!G82</f>
        <v>0.7338640836838729</v>
      </c>
      <c r="G15" s="114">
        <f>'Summary -Yellow maize'!H82</f>
        <v>0.9243250803167573</v>
      </c>
      <c r="H15" s="114">
        <f>'Summary -Yellow maize'!I82</f>
        <v>0.9828515529001525</v>
      </c>
      <c r="I15" s="114">
        <f>'Summary -Yellow maize'!J82</f>
        <v>0.9495133285290953</v>
      </c>
      <c r="J15" s="114">
        <f>'Summary -Yellow maize'!K82</f>
        <v>0.9778924779603926</v>
      </c>
      <c r="K15" s="152">
        <f>'Summary -Yellow maize'!L82</f>
        <v>0.9857908269079791</v>
      </c>
      <c r="L15" s="330">
        <f>'Summary -Yellow maize'!M82</f>
        <v>0.9912951350551062</v>
      </c>
      <c r="M15" s="330">
        <f>'Summary -Yellow maize'!N82</f>
        <v>0.991223487544484</v>
      </c>
      <c r="N15" s="330">
        <f>'Summary -Yellow maize'!O82</f>
        <v>0.9839920074349442</v>
      </c>
      <c r="O15" s="330">
        <f>'Summary -Yellow maize'!P82</f>
        <v>0.9885428115051239</v>
      </c>
    </row>
    <row r="16" spans="1:15" ht="13.5" thickBot="1">
      <c r="A16" s="119"/>
      <c r="B16" s="102"/>
      <c r="C16" s="103"/>
      <c r="D16" s="103"/>
      <c r="E16" s="103"/>
      <c r="F16" s="103"/>
      <c r="G16" s="103"/>
      <c r="H16" s="103"/>
      <c r="I16" s="103"/>
      <c r="J16" s="104"/>
      <c r="K16" s="104"/>
      <c r="L16" s="104"/>
      <c r="M16" s="104"/>
      <c r="N16" s="104"/>
      <c r="O16" s="104"/>
    </row>
    <row r="17" spans="1:15" ht="13.5" thickBot="1">
      <c r="A17" s="115" t="s">
        <v>64</v>
      </c>
      <c r="B17" s="116"/>
      <c r="C17" s="117"/>
      <c r="D17" s="117"/>
      <c r="E17" s="117"/>
      <c r="F17" s="117"/>
      <c r="G17" s="117"/>
      <c r="H17" s="117"/>
      <c r="I17" s="118"/>
      <c r="J17" s="118"/>
      <c r="K17" s="118"/>
      <c r="L17" s="118"/>
      <c r="M17" s="118"/>
      <c r="N17" s="118"/>
      <c r="O17" s="118"/>
    </row>
    <row r="18" spans="1:15" ht="13.5" thickBot="1">
      <c r="A18" s="551" t="s">
        <v>70</v>
      </c>
      <c r="B18" s="552"/>
      <c r="C18" s="83" t="str">
        <f>'Summary -Total maize'!D77</f>
        <v>2008/09</v>
      </c>
      <c r="D18" s="85" t="str">
        <f>'Summary -Total maize'!E77</f>
        <v>2009/10</v>
      </c>
      <c r="E18" s="83" t="str">
        <f>'Summary -Total maize'!F77</f>
        <v>2010/11</v>
      </c>
      <c r="F18" s="83" t="str">
        <f>'Summary -Total maize'!G77</f>
        <v>2011/12</v>
      </c>
      <c r="G18" s="83" t="str">
        <f>'Summary -Total maize'!H77</f>
        <v>2012/13</v>
      </c>
      <c r="H18" s="83" t="str">
        <f>'Summary -Total maize'!I77</f>
        <v>2013/14</v>
      </c>
      <c r="I18" s="85" t="str">
        <f>'Summary -Total maize'!J77</f>
        <v>2014/15</v>
      </c>
      <c r="J18" s="379" t="s">
        <v>81</v>
      </c>
      <c r="K18" s="379" t="s">
        <v>91</v>
      </c>
      <c r="L18" s="379" t="s">
        <v>95</v>
      </c>
      <c r="M18" s="379" t="s">
        <v>110</v>
      </c>
      <c r="N18" s="379" t="s">
        <v>110</v>
      </c>
      <c r="O18" s="379" t="s">
        <v>110</v>
      </c>
    </row>
    <row r="19" spans="1:15" ht="12.75">
      <c r="A19" s="86" t="s">
        <v>69</v>
      </c>
      <c r="B19" s="87"/>
      <c r="C19" s="88">
        <f>'Summary -Total maize'!D78</f>
        <v>669033</v>
      </c>
      <c r="D19" s="88">
        <f>'Summary -Total maize'!E78</f>
        <v>351719</v>
      </c>
      <c r="E19" s="88">
        <f>'Summary -Total maize'!F78</f>
        <v>113000</v>
      </c>
      <c r="F19" s="89">
        <f>'Summary -Total maize'!G78</f>
        <v>124240</v>
      </c>
      <c r="G19" s="88">
        <f>'Summary -Total maize'!H78</f>
        <v>227959</v>
      </c>
      <c r="H19" s="88">
        <f>'Summary -Total maize'!I78</f>
        <v>316188</v>
      </c>
      <c r="I19" s="88">
        <f>'Summary -Total maize'!J78</f>
        <v>180448</v>
      </c>
      <c r="J19" s="88">
        <f>'Summary -Total maize'!K78</f>
        <v>541956</v>
      </c>
      <c r="K19" s="88">
        <f>'Summary -Total maize'!L78</f>
        <v>423699</v>
      </c>
      <c r="L19" s="88">
        <f>'Summary -Total maize'!M78</f>
        <v>391791</v>
      </c>
      <c r="M19" s="88">
        <f>'Summary -Total maize'!N78</f>
        <v>129699</v>
      </c>
      <c r="N19" s="88">
        <f>'Summary -Total maize'!O78</f>
        <v>266943</v>
      </c>
      <c r="O19" s="88">
        <f>'Summary -Total maize'!P78</f>
        <v>347732</v>
      </c>
    </row>
    <row r="20" spans="1:15" ht="13.5" thickBot="1">
      <c r="A20" s="90" t="s">
        <v>63</v>
      </c>
      <c r="B20" s="91"/>
      <c r="C20" s="92">
        <f>'Summary -Total maize'!D79</f>
        <v>11415000</v>
      </c>
      <c r="D20" s="92">
        <f>'Summary -Total maize'!E79</f>
        <v>11225000</v>
      </c>
      <c r="E20" s="92">
        <f>'Summary -Total maize'!F79</f>
        <v>11733000</v>
      </c>
      <c r="F20" s="93">
        <f>'Summary -Total maize'!G79</f>
        <v>9624000</v>
      </c>
      <c r="G20" s="92">
        <f>'Summary -Total maize'!H79</f>
        <v>10795502</v>
      </c>
      <c r="H20" s="92">
        <f>'Summary -Total maize'!I79</f>
        <v>10261322</v>
      </c>
      <c r="I20" s="92">
        <f>'Summary -Total maize'!J79</f>
        <v>12981523</v>
      </c>
      <c r="J20" s="92">
        <f>'Summary -Total maize'!K79</f>
        <v>8748364</v>
      </c>
      <c r="K20" s="92">
        <f>'Summary -Total maize'!L79</f>
        <v>6431368</v>
      </c>
      <c r="L20" s="92">
        <f>'Summary -Total maize'!M79</f>
        <v>15213603</v>
      </c>
      <c r="M20" s="92">
        <f>'Summary -Total maize'!N79</f>
        <v>11588745</v>
      </c>
      <c r="N20" s="92">
        <f>'Summary -Total maize'!O79</f>
        <v>10320740</v>
      </c>
      <c r="O20" s="92">
        <f>'Summary -Total maize'!P79</f>
        <v>14113033</v>
      </c>
    </row>
    <row r="21" spans="1:15" ht="13.5" thickBot="1">
      <c r="A21" s="94" t="s">
        <v>32</v>
      </c>
      <c r="B21" s="95"/>
      <c r="C21" s="96">
        <f>'Summary -Total maize'!D80</f>
        <v>12084033</v>
      </c>
      <c r="D21" s="96">
        <f>'Summary -Total maize'!E80</f>
        <v>11576719</v>
      </c>
      <c r="E21" s="96">
        <f>'Summary -Total maize'!F80</f>
        <v>11846000</v>
      </c>
      <c r="F21" s="97">
        <f>'Summary -Total maize'!G80</f>
        <v>9748240</v>
      </c>
      <c r="G21" s="96">
        <f>'Summary -Total maize'!H80</f>
        <v>11023461</v>
      </c>
      <c r="H21" s="96">
        <f>'Summary -Total maize'!I80</f>
        <v>10577510</v>
      </c>
      <c r="I21" s="96">
        <f>'Summary -Total maize'!J80</f>
        <v>13161971</v>
      </c>
      <c r="J21" s="96">
        <f>'Summary -Total maize'!K80</f>
        <v>9290320</v>
      </c>
      <c r="K21" s="96">
        <f>'Summary -Total maize'!L80</f>
        <v>6855067</v>
      </c>
      <c r="L21" s="96">
        <f>'Summary -Total maize'!M80</f>
        <v>15605394</v>
      </c>
      <c r="M21" s="96">
        <f>'Summary -Total maize'!N80</f>
        <v>11718444</v>
      </c>
      <c r="N21" s="96">
        <f>'Summary -Total maize'!O80</f>
        <v>10587683</v>
      </c>
      <c r="O21" s="96">
        <f>'Summary -Total maize'!P80</f>
        <v>14460765</v>
      </c>
    </row>
    <row r="22" spans="1:15" ht="14.25" thickBot="1" thickTop="1">
      <c r="A22" s="98" t="s">
        <v>33</v>
      </c>
      <c r="B22" s="99"/>
      <c r="C22" s="100">
        <f>'Summary -Total maize'!D82</f>
        <v>0.9948798079139657</v>
      </c>
      <c r="D22" s="100">
        <f>'Summary -Total maize'!E82</f>
        <v>0.9958087622287802</v>
      </c>
      <c r="E22" s="100" t="e">
        <f>'Summary -Total maize'!F82</f>
        <v>#REF!</v>
      </c>
      <c r="F22" s="101">
        <f>'Summary -Total maize'!G82</f>
        <v>0.9860727231971438</v>
      </c>
      <c r="G22" s="100">
        <f>'Summary -Total maize'!H82</f>
        <v>0.9432138503146368</v>
      </c>
      <c r="H22" s="100">
        <f>'Summary -Total maize'!I82</f>
        <v>0.9317102608002316</v>
      </c>
      <c r="I22" s="100">
        <f>'Summary -Total maize'!J82</f>
        <v>0.9586042568910667</v>
      </c>
      <c r="J22" s="100">
        <f>'Summary -Total maize'!K82</f>
        <v>0.9797362923373341</v>
      </c>
      <c r="K22" s="149">
        <f>'Summary -Total maize'!L82</f>
        <v>0.920046400486177</v>
      </c>
      <c r="L22" s="331">
        <f>'Summary -Total maize'!M82</f>
        <v>0.9609824496582302</v>
      </c>
      <c r="M22" s="331">
        <f>'Summary -Total maize'!N82</f>
        <v>0.9798030100334448</v>
      </c>
      <c r="N22" s="331">
        <f>'Summary -Total maize'!O82</f>
        <v>0.9835283790060381</v>
      </c>
      <c r="O22" s="331">
        <f>'Summary -Total maize'!P82</f>
        <v>0.9811771195629311</v>
      </c>
    </row>
    <row r="23" spans="1:15" ht="12.75">
      <c r="A23" s="84" t="s">
        <v>83</v>
      </c>
      <c r="L23" s="332"/>
      <c r="M23" s="332"/>
      <c r="N23" s="332"/>
      <c r="O23" s="332"/>
    </row>
    <row r="24" ht="12.75">
      <c r="A24" s="80" t="s">
        <v>94</v>
      </c>
    </row>
  </sheetData>
  <sheetProtection/>
  <mergeCells count="3">
    <mergeCell ref="A4:B4"/>
    <mergeCell ref="A11:B11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5"/>
  <sheetViews>
    <sheetView zoomScale="55" zoomScaleNormal="55" zoomScalePageLayoutView="0" workbookViewId="0" topLeftCell="A17">
      <selection activeCell="G37" sqref="G36:G37"/>
    </sheetView>
  </sheetViews>
  <sheetFormatPr defaultColWidth="9.140625" defaultRowHeight="12.75"/>
  <cols>
    <col min="1" max="1" width="1.28515625" style="11" customWidth="1"/>
    <col min="2" max="2" width="22.421875" style="11" customWidth="1"/>
    <col min="3" max="3" width="22.7109375" style="11" customWidth="1"/>
    <col min="4" max="4" width="17.8515625" style="11" customWidth="1"/>
    <col min="5" max="5" width="26.57421875" style="11" customWidth="1"/>
    <col min="6" max="6" width="42.421875" style="11" customWidth="1"/>
    <col min="7" max="7" width="44.7109375" style="11" customWidth="1"/>
    <col min="8" max="8" width="11.57421875" style="11" bestFit="1" customWidth="1"/>
    <col min="9" max="9" width="11.140625" style="11" customWidth="1"/>
    <col min="10" max="10" width="10.8515625" style="11" customWidth="1"/>
    <col min="11" max="11" width="10.7109375" style="11" customWidth="1"/>
    <col min="12" max="12" width="10.140625" style="11" customWidth="1"/>
    <col min="13" max="13" width="13.28125" style="11" bestFit="1" customWidth="1"/>
    <col min="14" max="14" width="13.8515625" style="11" customWidth="1"/>
    <col min="15" max="15" width="12.28125" style="11" customWidth="1"/>
    <col min="16" max="16" width="7.7109375" style="11" customWidth="1"/>
    <col min="17" max="16384" width="9.140625" style="11" customWidth="1"/>
  </cols>
  <sheetData>
    <row r="1" spans="2:15" ht="18" hidden="1">
      <c r="B1" s="472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4"/>
    </row>
    <row r="2" spans="2:15" ht="18" hidden="1">
      <c r="B2" s="475" t="s">
        <v>49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4"/>
    </row>
    <row r="3" spans="2:15" ht="18.75" hidden="1" thickBot="1">
      <c r="B3" s="553" t="s">
        <v>50</v>
      </c>
      <c r="C3" s="554"/>
      <c r="D3" s="555"/>
      <c r="E3" s="553" t="s">
        <v>51</v>
      </c>
      <c r="F3" s="556"/>
      <c r="G3" s="473"/>
      <c r="H3" s="473"/>
      <c r="I3" s="473"/>
      <c r="J3" s="473"/>
      <c r="K3" s="473"/>
      <c r="L3" s="473"/>
      <c r="M3" s="473"/>
      <c r="N3" s="473"/>
      <c r="O3" s="474"/>
    </row>
    <row r="4" spans="2:15" ht="18.75" hidden="1" thickBot="1">
      <c r="B4" s="553" t="s">
        <v>52</v>
      </c>
      <c r="C4" s="565"/>
      <c r="D4" s="555"/>
      <c r="E4" s="553" t="s">
        <v>52</v>
      </c>
      <c r="F4" s="556"/>
      <c r="G4" s="473"/>
      <c r="H4" s="473"/>
      <c r="I4" s="473"/>
      <c r="J4" s="473"/>
      <c r="K4" s="473"/>
      <c r="L4" s="473"/>
      <c r="M4" s="473"/>
      <c r="N4" s="473"/>
      <c r="O4" s="474"/>
    </row>
    <row r="5" spans="2:15" ht="39.75" customHeight="1" hidden="1" thickBot="1">
      <c r="B5" s="563" t="s">
        <v>72</v>
      </c>
      <c r="C5" s="564"/>
      <c r="D5" s="463">
        <v>1578455</v>
      </c>
      <c r="E5" s="563" t="s">
        <v>71</v>
      </c>
      <c r="F5" s="564"/>
      <c r="G5" s="473"/>
      <c r="H5" s="473"/>
      <c r="I5" s="473"/>
      <c r="J5" s="473"/>
      <c r="K5" s="473"/>
      <c r="L5" s="473"/>
      <c r="M5" s="473"/>
      <c r="N5" s="473"/>
      <c r="O5" s="474"/>
    </row>
    <row r="6" spans="2:15" ht="24.75" customHeight="1" hidden="1">
      <c r="B6" s="557" t="s">
        <v>53</v>
      </c>
      <c r="C6" s="558"/>
      <c r="D6" s="464">
        <v>4751</v>
      </c>
      <c r="E6" s="557" t="s">
        <v>53</v>
      </c>
      <c r="F6" s="558"/>
      <c r="G6" s="473"/>
      <c r="H6" s="473"/>
      <c r="I6" s="473"/>
      <c r="J6" s="473"/>
      <c r="K6" s="473"/>
      <c r="L6" s="473"/>
      <c r="M6" s="473"/>
      <c r="N6" s="473"/>
      <c r="O6" s="474"/>
    </row>
    <row r="7" spans="2:15" ht="43.5" customHeight="1" hidden="1">
      <c r="B7" s="559" t="s">
        <v>73</v>
      </c>
      <c r="C7" s="560"/>
      <c r="D7" s="465"/>
      <c r="E7" s="559" t="s">
        <v>73</v>
      </c>
      <c r="F7" s="560"/>
      <c r="G7" s="473"/>
      <c r="H7" s="473"/>
      <c r="I7" s="473"/>
      <c r="J7" s="473"/>
      <c r="K7" s="473"/>
      <c r="L7" s="473"/>
      <c r="M7" s="473"/>
      <c r="N7" s="473"/>
      <c r="O7" s="474"/>
    </row>
    <row r="8" spans="2:15" ht="18" hidden="1">
      <c r="B8" s="566" t="s">
        <v>20</v>
      </c>
      <c r="C8" s="567"/>
      <c r="D8" s="466">
        <v>380100</v>
      </c>
      <c r="E8" s="568" t="s">
        <v>54</v>
      </c>
      <c r="F8" s="569"/>
      <c r="G8" s="473"/>
      <c r="H8" s="473"/>
      <c r="I8" s="473"/>
      <c r="J8" s="473"/>
      <c r="K8" s="473"/>
      <c r="L8" s="473"/>
      <c r="M8" s="473"/>
      <c r="N8" s="473"/>
      <c r="O8" s="474"/>
    </row>
    <row r="9" spans="2:15" ht="18" hidden="1">
      <c r="B9" s="561" t="s">
        <v>21</v>
      </c>
      <c r="C9" s="562"/>
      <c r="D9" s="467">
        <v>12257</v>
      </c>
      <c r="E9" s="568" t="s">
        <v>55</v>
      </c>
      <c r="F9" s="569"/>
      <c r="G9" s="473"/>
      <c r="H9" s="473"/>
      <c r="I9" s="473"/>
      <c r="J9" s="473"/>
      <c r="K9" s="473"/>
      <c r="L9" s="473"/>
      <c r="M9" s="473"/>
      <c r="N9" s="473"/>
      <c r="O9" s="474"/>
    </row>
    <row r="10" spans="2:15" ht="18" hidden="1">
      <c r="B10" s="561" t="s">
        <v>22</v>
      </c>
      <c r="C10" s="562"/>
      <c r="D10" s="467">
        <v>1028</v>
      </c>
      <c r="E10" s="568" t="s">
        <v>56</v>
      </c>
      <c r="F10" s="569"/>
      <c r="G10" s="473"/>
      <c r="H10" s="473"/>
      <c r="I10" s="473"/>
      <c r="J10" s="473"/>
      <c r="K10" s="473"/>
      <c r="L10" s="473"/>
      <c r="M10" s="473"/>
      <c r="N10" s="473"/>
      <c r="O10" s="474"/>
    </row>
    <row r="11" spans="2:15" ht="18" hidden="1">
      <c r="B11" s="561" t="s">
        <v>57</v>
      </c>
      <c r="C11" s="562"/>
      <c r="D11" s="468">
        <v>69</v>
      </c>
      <c r="E11" s="568" t="s">
        <v>58</v>
      </c>
      <c r="F11" s="569"/>
      <c r="G11" s="473"/>
      <c r="H11" s="473"/>
      <c r="I11" s="473"/>
      <c r="J11" s="473"/>
      <c r="K11" s="473"/>
      <c r="L11" s="473"/>
      <c r="M11" s="473"/>
      <c r="N11" s="473"/>
      <c r="O11" s="474"/>
    </row>
    <row r="12" spans="2:15" ht="18" hidden="1">
      <c r="B12" s="570" t="s">
        <v>59</v>
      </c>
      <c r="C12" s="576"/>
      <c r="D12" s="469">
        <v>0</v>
      </c>
      <c r="E12" s="570" t="s">
        <v>59</v>
      </c>
      <c r="F12" s="571"/>
      <c r="G12" s="473"/>
      <c r="H12" s="473"/>
      <c r="I12" s="473"/>
      <c r="J12" s="473"/>
      <c r="K12" s="473"/>
      <c r="L12" s="473"/>
      <c r="M12" s="473"/>
      <c r="N12" s="473"/>
      <c r="O12" s="474"/>
    </row>
    <row r="13" spans="2:15" ht="18" hidden="1">
      <c r="B13" s="582" t="s">
        <v>60</v>
      </c>
      <c r="C13" s="583"/>
      <c r="D13" s="470">
        <v>484624</v>
      </c>
      <c r="E13" s="582" t="s">
        <v>60</v>
      </c>
      <c r="F13" s="583"/>
      <c r="G13" s="473"/>
      <c r="H13" s="473"/>
      <c r="I13" s="473"/>
      <c r="J13" s="473"/>
      <c r="K13" s="473"/>
      <c r="L13" s="473"/>
      <c r="M13" s="473"/>
      <c r="N13" s="473"/>
      <c r="O13" s="474"/>
    </row>
    <row r="14" spans="2:15" ht="18.75" hidden="1" thickBot="1">
      <c r="B14" s="579" t="s">
        <v>13</v>
      </c>
      <c r="C14" s="580"/>
      <c r="D14" s="471">
        <v>2067830</v>
      </c>
      <c r="E14" s="579" t="s">
        <v>13</v>
      </c>
      <c r="F14" s="581"/>
      <c r="G14" s="476"/>
      <c r="H14" s="476"/>
      <c r="I14" s="476"/>
      <c r="J14" s="476"/>
      <c r="K14" s="476"/>
      <c r="L14" s="476"/>
      <c r="M14" s="476"/>
      <c r="N14" s="476"/>
      <c r="O14" s="477"/>
    </row>
    <row r="15" ht="18" hidden="1"/>
    <row r="16" ht="18" hidden="1"/>
    <row r="17" ht="18">
      <c r="B17" s="3" t="s">
        <v>49</v>
      </c>
    </row>
    <row r="18" spans="2:7" ht="24" customHeight="1">
      <c r="B18" s="572" t="s">
        <v>97</v>
      </c>
      <c r="C18" s="573"/>
      <c r="D18" s="572" t="s">
        <v>98</v>
      </c>
      <c r="E18" s="573"/>
      <c r="F18" s="462" t="s">
        <v>97</v>
      </c>
      <c r="G18" s="308" t="s">
        <v>98</v>
      </c>
    </row>
    <row r="19" spans="2:7" ht="24" customHeight="1">
      <c r="B19" s="574" t="s">
        <v>99</v>
      </c>
      <c r="C19" s="575"/>
      <c r="D19" s="574" t="s">
        <v>99</v>
      </c>
      <c r="E19" s="575"/>
      <c r="F19" s="307" t="s">
        <v>109</v>
      </c>
      <c r="G19" s="309" t="s">
        <v>109</v>
      </c>
    </row>
    <row r="20" spans="2:7" ht="48" customHeight="1">
      <c r="B20" s="577" t="s">
        <v>187</v>
      </c>
      <c r="C20" s="578"/>
      <c r="D20" s="577" t="s">
        <v>187</v>
      </c>
      <c r="E20" s="578"/>
      <c r="F20" s="577" t="s">
        <v>187</v>
      </c>
      <c r="G20" s="578"/>
    </row>
    <row r="21" spans="2:7" ht="24" customHeight="1">
      <c r="B21" s="301" t="s">
        <v>100</v>
      </c>
      <c r="C21" s="480">
        <v>6962731</v>
      </c>
      <c r="D21" s="302" t="s">
        <v>101</v>
      </c>
      <c r="E21" s="480">
        <v>5957816</v>
      </c>
      <c r="F21" s="310">
        <f>C21/$C$25</f>
        <v>0.8421874690049007</v>
      </c>
      <c r="G21" s="311">
        <f>E21/$E$25</f>
        <v>0.9487732610302677</v>
      </c>
    </row>
    <row r="22" spans="2:7" ht="24" customHeight="1">
      <c r="B22" s="301" t="s">
        <v>102</v>
      </c>
      <c r="C22" s="480">
        <v>951334</v>
      </c>
      <c r="D22" s="302" t="s">
        <v>103</v>
      </c>
      <c r="E22" s="480">
        <v>262218</v>
      </c>
      <c r="F22" s="310">
        <f>C22/$C$25</f>
        <v>0.11507001687101055</v>
      </c>
      <c r="G22" s="310">
        <f>E22/$E$25</f>
        <v>0.04175782316218472</v>
      </c>
    </row>
    <row r="23" spans="2:7" ht="24" customHeight="1">
      <c r="B23" s="301" t="s">
        <v>104</v>
      </c>
      <c r="C23" s="480">
        <v>289655</v>
      </c>
      <c r="D23" s="302" t="s">
        <v>105</v>
      </c>
      <c r="E23" s="480">
        <v>26478</v>
      </c>
      <c r="F23" s="310">
        <f>C23/$C$25</f>
        <v>0.03503565071444158</v>
      </c>
      <c r="G23" s="310">
        <f>E23/$E$25</f>
        <v>0.004216581781907905</v>
      </c>
    </row>
    <row r="24" spans="2:7" ht="24" customHeight="1">
      <c r="B24" s="301" t="s">
        <v>106</v>
      </c>
      <c r="C24" s="480">
        <v>63716</v>
      </c>
      <c r="D24" s="302" t="s">
        <v>107</v>
      </c>
      <c r="E24" s="480">
        <v>32982</v>
      </c>
      <c r="F24" s="310">
        <f>C24/$C$25</f>
        <v>0.0077068634096471985</v>
      </c>
      <c r="G24" s="310">
        <f>E24/$E$25</f>
        <v>0.005252334025639646</v>
      </c>
    </row>
    <row r="25" spans="2:7" ht="24" customHeight="1">
      <c r="B25" s="301" t="s">
        <v>108</v>
      </c>
      <c r="C25" s="481">
        <f>SUM(C21:C24)</f>
        <v>8267436</v>
      </c>
      <c r="D25" s="302" t="s">
        <v>108</v>
      </c>
      <c r="E25" s="481">
        <f>SUM(E21:E24)</f>
        <v>6279494</v>
      </c>
      <c r="F25" s="306">
        <f>C25/$C$25</f>
        <v>1</v>
      </c>
      <c r="G25" s="306">
        <f>E25/$E$25</f>
        <v>1</v>
      </c>
    </row>
  </sheetData>
  <sheetProtection/>
  <mergeCells count="31">
    <mergeCell ref="D20:E20"/>
    <mergeCell ref="B14:C14"/>
    <mergeCell ref="E14:F14"/>
    <mergeCell ref="D18:E18"/>
    <mergeCell ref="E13:F13"/>
    <mergeCell ref="B13:C13"/>
    <mergeCell ref="F20:G20"/>
    <mergeCell ref="B20:C20"/>
    <mergeCell ref="D19:E19"/>
    <mergeCell ref="E12:F12"/>
    <mergeCell ref="B18:C18"/>
    <mergeCell ref="B19:C19"/>
    <mergeCell ref="B11:C11"/>
    <mergeCell ref="B12:C12"/>
    <mergeCell ref="E11:F11"/>
    <mergeCell ref="E9:F9"/>
    <mergeCell ref="E4:F4"/>
    <mergeCell ref="E8:F8"/>
    <mergeCell ref="E5:F5"/>
    <mergeCell ref="B10:C10"/>
    <mergeCell ref="E10:F10"/>
    <mergeCell ref="B3:D3"/>
    <mergeCell ref="E3:F3"/>
    <mergeCell ref="E6:F6"/>
    <mergeCell ref="E7:F7"/>
    <mergeCell ref="B9:C9"/>
    <mergeCell ref="B5:C5"/>
    <mergeCell ref="B6:C6"/>
    <mergeCell ref="B7:C7"/>
    <mergeCell ref="B4:D4"/>
    <mergeCell ref="B8:C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Lemmer (Grain SA)</dc:creator>
  <cp:keywords/>
  <dc:description/>
  <cp:lastModifiedBy>Luzelle Botha</cp:lastModifiedBy>
  <cp:lastPrinted>2021-03-31T12:48:12Z</cp:lastPrinted>
  <dcterms:created xsi:type="dcterms:W3CDTF">2005-11-02T09:45:58Z</dcterms:created>
  <dcterms:modified xsi:type="dcterms:W3CDTF">2021-04-14T12:47:37Z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0x010100A5EBEC803B950B4D8803913CE08BBC3C</vt:lpwstr>
  </property>
</Properties>
</file>